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UNSCH\UNSCH-2023-1\Proyectos de Inversion\"/>
    </mc:Choice>
  </mc:AlternateContent>
  <bookViews>
    <workbookView xWindow="0" yWindow="0" windowWidth="20490" windowHeight="7650" tabRatio="769"/>
  </bookViews>
  <sheets>
    <sheet name="TERREN Y OBR CIV" sheetId="1" r:id="rId1"/>
    <sheet name="MUEB, MAQ, EQUIP" sheetId="2" r:id="rId2"/>
    <sheet name="INVERS FIJ INTANG" sheetId="3" r:id="rId3"/>
    <sheet name="REMUNERACION" sheetId="4" r:id="rId4"/>
    <sheet name="CAP TRABAJ" sheetId="5" r:id="rId5"/>
    <sheet name="COSTO PROD Y OPER" sheetId="9" r:id="rId6"/>
    <sheet name="INVERSION" sheetId="10" r:id="rId7"/>
    <sheet name="FINANCIAMIENT" sheetId="11" r:id="rId8"/>
    <sheet name="SERV. DEUD" sheetId="12" r:id="rId9"/>
    <sheet name="DEPRECIAC" sheetId="13" r:id="rId10"/>
    <sheet name="PPTO DE EGRES" sheetId="14" r:id="rId11"/>
    <sheet name="INGRESOS" sheetId="15" r:id="rId12"/>
    <sheet name="ESTADO GyP" sheetId="16" r:id="rId13"/>
    <sheet name="FLUJO DE CAJA" sheetId="17" r:id="rId14"/>
    <sheet name="ANALISIS SESIB" sheetId="18" r:id="rId15"/>
  </sheets>
  <externalReferences>
    <externalReference r:id="rId16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" i="17" l="1"/>
  <c r="D17" i="18"/>
  <c r="C17" i="18"/>
  <c r="B17" i="18"/>
  <c r="J6" i="18"/>
  <c r="J5" i="18"/>
  <c r="I6" i="18"/>
  <c r="I7" i="18"/>
  <c r="J7" i="18" s="1"/>
  <c r="I8" i="18"/>
  <c r="I9" i="18"/>
  <c r="J9" i="18" s="1"/>
  <c r="I10" i="18"/>
  <c r="I5" i="18"/>
  <c r="H6" i="18"/>
  <c r="H7" i="18"/>
  <c r="H8" i="18"/>
  <c r="H9" i="18"/>
  <c r="H10" i="18"/>
  <c r="R30" i="17"/>
  <c r="H5" i="18"/>
  <c r="H1" i="18"/>
  <c r="B1" i="18"/>
  <c r="C5" i="18"/>
  <c r="B6" i="18"/>
  <c r="B7" i="18"/>
  <c r="B8" i="18"/>
  <c r="B9" i="18"/>
  <c r="B10" i="18"/>
  <c r="B5" i="18"/>
  <c r="K21" i="18"/>
  <c r="J21" i="18"/>
  <c r="K20" i="18"/>
  <c r="J20" i="18"/>
  <c r="K19" i="18"/>
  <c r="J19" i="18"/>
  <c r="K18" i="18"/>
  <c r="J18" i="18"/>
  <c r="K17" i="18"/>
  <c r="J17" i="18"/>
  <c r="I16" i="18"/>
  <c r="J10" i="18"/>
  <c r="C10" i="18"/>
  <c r="D10" i="18"/>
  <c r="C9" i="18"/>
  <c r="D9" i="18" s="1"/>
  <c r="J8" i="18"/>
  <c r="C8" i="18"/>
  <c r="D8" i="18" s="1"/>
  <c r="D7" i="18"/>
  <c r="C7" i="18"/>
  <c r="C6" i="18"/>
  <c r="D5" i="18"/>
  <c r="O31" i="17"/>
  <c r="O30" i="17"/>
  <c r="L30" i="17"/>
  <c r="K30" i="17"/>
  <c r="B40" i="17"/>
  <c r="B39" i="17"/>
  <c r="C37" i="17"/>
  <c r="D34" i="17"/>
  <c r="C34" i="17"/>
  <c r="B34" i="17"/>
  <c r="B32" i="17"/>
  <c r="K26" i="17"/>
  <c r="E27" i="17"/>
  <c r="E25" i="17"/>
  <c r="E24" i="17"/>
  <c r="B25" i="17"/>
  <c r="F34" i="17" s="1"/>
  <c r="D21" i="17"/>
  <c r="E21" i="17"/>
  <c r="F21" i="17"/>
  <c r="G21" i="17"/>
  <c r="C21" i="17"/>
  <c r="G20" i="17"/>
  <c r="F20" i="17"/>
  <c r="E20" i="17"/>
  <c r="D20" i="17"/>
  <c r="C20" i="17"/>
  <c r="G19" i="17"/>
  <c r="F19" i="17"/>
  <c r="E19" i="17"/>
  <c r="D19" i="17"/>
  <c r="C19" i="17"/>
  <c r="D17" i="17"/>
  <c r="E17" i="17"/>
  <c r="F17" i="17"/>
  <c r="G17" i="17"/>
  <c r="G16" i="17"/>
  <c r="D16" i="17"/>
  <c r="E16" i="17"/>
  <c r="F16" i="17"/>
  <c r="C16" i="17"/>
  <c r="C7" i="17" s="1"/>
  <c r="C33" i="17" s="1"/>
  <c r="D15" i="17"/>
  <c r="E15" i="17"/>
  <c r="F15" i="17"/>
  <c r="G15" i="17"/>
  <c r="C15" i="17"/>
  <c r="D14" i="17"/>
  <c r="E14" i="17"/>
  <c r="F14" i="17"/>
  <c r="F7" i="17" s="1"/>
  <c r="F33" i="17" s="1"/>
  <c r="G14" i="17"/>
  <c r="C14" i="17"/>
  <c r="B8" i="17"/>
  <c r="D11" i="17"/>
  <c r="E11" i="17"/>
  <c r="F11" i="17"/>
  <c r="G11" i="17"/>
  <c r="C11" i="17"/>
  <c r="G5" i="17"/>
  <c r="D4" i="17"/>
  <c r="D3" i="17" s="1"/>
  <c r="E4" i="17"/>
  <c r="F4" i="17"/>
  <c r="G4" i="17"/>
  <c r="C4" i="17"/>
  <c r="B18" i="17"/>
  <c r="B17" i="17"/>
  <c r="B21" i="17" s="1"/>
  <c r="B13" i="17"/>
  <c r="B12" i="17"/>
  <c r="B11" i="17"/>
  <c r="B10" i="17"/>
  <c r="B9" i="17"/>
  <c r="B3" i="17"/>
  <c r="S35" i="17"/>
  <c r="S34" i="17"/>
  <c r="S32" i="17"/>
  <c r="S31" i="17"/>
  <c r="S30" i="17"/>
  <c r="S26" i="17"/>
  <c r="S33" i="17" s="1"/>
  <c r="Q26" i="17"/>
  <c r="G34" i="17"/>
  <c r="G7" i="17"/>
  <c r="G33" i="17" s="1"/>
  <c r="F3" i="17"/>
  <c r="E3" i="17"/>
  <c r="C3" i="17"/>
  <c r="C52" i="16"/>
  <c r="D51" i="16"/>
  <c r="C51" i="16"/>
  <c r="D50" i="16"/>
  <c r="C50" i="16"/>
  <c r="B39" i="16"/>
  <c r="C38" i="16"/>
  <c r="B38" i="16"/>
  <c r="F37" i="16"/>
  <c r="E37" i="16"/>
  <c r="D37" i="16"/>
  <c r="C37" i="16"/>
  <c r="B37" i="16"/>
  <c r="B36" i="16"/>
  <c r="F35" i="16"/>
  <c r="E35" i="16"/>
  <c r="D35" i="16"/>
  <c r="C35" i="16"/>
  <c r="B35" i="16"/>
  <c r="B34" i="16"/>
  <c r="B33" i="16"/>
  <c r="B32" i="16"/>
  <c r="B31" i="16"/>
  <c r="B29" i="16"/>
  <c r="I18" i="16"/>
  <c r="J16" i="16"/>
  <c r="K16" i="16"/>
  <c r="L16" i="16"/>
  <c r="M16" i="16"/>
  <c r="I16" i="16"/>
  <c r="I15" i="16"/>
  <c r="I14" i="16"/>
  <c r="J13" i="16"/>
  <c r="K13" i="16"/>
  <c r="L13" i="16"/>
  <c r="M13" i="16"/>
  <c r="I13" i="16"/>
  <c r="I6" i="16"/>
  <c r="B23" i="16"/>
  <c r="D17" i="16"/>
  <c r="B18" i="16"/>
  <c r="B17" i="16"/>
  <c r="B15" i="16"/>
  <c r="B16" i="16"/>
  <c r="C18" i="14"/>
  <c r="F15" i="16"/>
  <c r="F29" i="16" s="1"/>
  <c r="E15" i="16"/>
  <c r="E29" i="16" s="1"/>
  <c r="D15" i="16"/>
  <c r="C15" i="16"/>
  <c r="C9" i="16"/>
  <c r="C14" i="16"/>
  <c r="B14" i="16"/>
  <c r="C13" i="16"/>
  <c r="D13" i="16"/>
  <c r="E13" i="16"/>
  <c r="F13" i="16"/>
  <c r="B13" i="16"/>
  <c r="B28" i="16" s="1"/>
  <c r="C12" i="16"/>
  <c r="D12" i="16"/>
  <c r="E12" i="16"/>
  <c r="F12" i="16"/>
  <c r="B12" i="16"/>
  <c r="C11" i="16"/>
  <c r="D11" i="16"/>
  <c r="D33" i="16" s="1"/>
  <c r="E11" i="16"/>
  <c r="F11" i="16"/>
  <c r="B11" i="16"/>
  <c r="B9" i="16"/>
  <c r="C8" i="16"/>
  <c r="D8" i="16"/>
  <c r="E8" i="16"/>
  <c r="F8" i="16"/>
  <c r="F32" i="16" s="1"/>
  <c r="B8" i="16"/>
  <c r="I8" i="16" s="1"/>
  <c r="F7" i="16"/>
  <c r="F6" i="16"/>
  <c r="E6" i="16"/>
  <c r="L6" i="16" s="1"/>
  <c r="L9" i="16" s="1"/>
  <c r="D6" i="16"/>
  <c r="D5" i="16" s="1"/>
  <c r="D9" i="16" s="1"/>
  <c r="C6" i="16"/>
  <c r="C5" i="16"/>
  <c r="B6" i="16"/>
  <c r="B5" i="16" s="1"/>
  <c r="Q7" i="15"/>
  <c r="Q8" i="15"/>
  <c r="Q9" i="15"/>
  <c r="Q10" i="15"/>
  <c r="S10" i="15" s="1"/>
  <c r="T10" i="15" s="1"/>
  <c r="Q6" i="15"/>
  <c r="S6" i="15" s="1"/>
  <c r="T6" i="15" s="1"/>
  <c r="C26" i="14"/>
  <c r="C24" i="14"/>
  <c r="G25" i="14"/>
  <c r="F25" i="14"/>
  <c r="E25" i="14"/>
  <c r="D25" i="14"/>
  <c r="C25" i="14"/>
  <c r="F33" i="16"/>
  <c r="E30" i="16"/>
  <c r="C30" i="16"/>
  <c r="C29" i="16"/>
  <c r="E28" i="16"/>
  <c r="C28" i="16"/>
  <c r="D29" i="16"/>
  <c r="D28" i="16"/>
  <c r="L12" i="16"/>
  <c r="J12" i="16"/>
  <c r="F30" i="16"/>
  <c r="D30" i="16"/>
  <c r="B30" i="16"/>
  <c r="L11" i="16"/>
  <c r="J11" i="16"/>
  <c r="M11" i="16"/>
  <c r="E33" i="16"/>
  <c r="C33" i="16"/>
  <c r="F10" i="16"/>
  <c r="D10" i="16"/>
  <c r="L8" i="16"/>
  <c r="J8" i="16"/>
  <c r="E32" i="16"/>
  <c r="E31" i="16" s="1"/>
  <c r="D32" i="16"/>
  <c r="C32" i="16"/>
  <c r="C31" i="16" s="1"/>
  <c r="M6" i="16"/>
  <c r="S7" i="15"/>
  <c r="T7" i="15" s="1"/>
  <c r="S8" i="15"/>
  <c r="T8" i="15" s="1"/>
  <c r="S9" i="15"/>
  <c r="T9" i="15" s="1"/>
  <c r="J10" i="15"/>
  <c r="I10" i="15"/>
  <c r="H10" i="15"/>
  <c r="G10" i="15"/>
  <c r="F10" i="15"/>
  <c r="E10" i="15"/>
  <c r="D10" i="15"/>
  <c r="C10" i="15"/>
  <c r="J9" i="15"/>
  <c r="I9" i="15"/>
  <c r="H9" i="15"/>
  <c r="G9" i="15"/>
  <c r="F9" i="15"/>
  <c r="E9" i="15"/>
  <c r="D9" i="15"/>
  <c r="C9" i="15"/>
  <c r="J8" i="15"/>
  <c r="I8" i="15"/>
  <c r="H8" i="15"/>
  <c r="G8" i="15"/>
  <c r="F8" i="15"/>
  <c r="E8" i="15"/>
  <c r="D8" i="15"/>
  <c r="C8" i="15"/>
  <c r="J7" i="15"/>
  <c r="I7" i="15"/>
  <c r="H7" i="15"/>
  <c r="G7" i="15"/>
  <c r="F7" i="15"/>
  <c r="E7" i="15"/>
  <c r="D7" i="15"/>
  <c r="C7" i="15"/>
  <c r="I6" i="15"/>
  <c r="H6" i="15"/>
  <c r="G6" i="15"/>
  <c r="F6" i="15"/>
  <c r="E6" i="15"/>
  <c r="D6" i="15"/>
  <c r="C6" i="15"/>
  <c r="D15" i="14"/>
  <c r="E15" i="14"/>
  <c r="F15" i="14"/>
  <c r="G15" i="14"/>
  <c r="G17" i="14"/>
  <c r="G16" i="14" s="1"/>
  <c r="F17" i="14"/>
  <c r="E17" i="14"/>
  <c r="D17" i="14"/>
  <c r="D16" i="14"/>
  <c r="D11" i="14"/>
  <c r="E11" i="14"/>
  <c r="E9" i="14" s="1"/>
  <c r="F11" i="14"/>
  <c r="G11" i="14"/>
  <c r="D10" i="14"/>
  <c r="E10" i="14"/>
  <c r="F10" i="14"/>
  <c r="G10" i="14"/>
  <c r="D8" i="14"/>
  <c r="E8" i="14"/>
  <c r="F8" i="14"/>
  <c r="F6" i="14" s="1"/>
  <c r="G8" i="14"/>
  <c r="D7" i="14"/>
  <c r="E7" i="14"/>
  <c r="F7" i="14"/>
  <c r="G7" i="14"/>
  <c r="G6" i="14" s="1"/>
  <c r="C17" i="14"/>
  <c r="C16" i="14"/>
  <c r="C12" i="14"/>
  <c r="C15" i="14"/>
  <c r="C14" i="14"/>
  <c r="D14" i="14" s="1"/>
  <c r="E14" i="14" s="1"/>
  <c r="F14" i="14" s="1"/>
  <c r="G14" i="14" s="1"/>
  <c r="C13" i="14"/>
  <c r="D13" i="14"/>
  <c r="C11" i="14"/>
  <c r="C9" i="14" s="1"/>
  <c r="C5" i="14" s="1"/>
  <c r="C10" i="14"/>
  <c r="C8" i="14"/>
  <c r="C7" i="14"/>
  <c r="C6" i="14" s="1"/>
  <c r="F16" i="14"/>
  <c r="E16" i="14"/>
  <c r="F9" i="14"/>
  <c r="G9" i="14"/>
  <c r="H12" i="13"/>
  <c r="H11" i="13"/>
  <c r="H13" i="13" s="1"/>
  <c r="G11" i="13"/>
  <c r="H10" i="13"/>
  <c r="H9" i="13"/>
  <c r="H8" i="13"/>
  <c r="H7" i="13"/>
  <c r="D6" i="13"/>
  <c r="D13" i="13" s="1"/>
  <c r="E6" i="13"/>
  <c r="E13" i="13" s="1"/>
  <c r="F6" i="13"/>
  <c r="G6" i="13"/>
  <c r="C6" i="13"/>
  <c r="F13" i="13"/>
  <c r="G13" i="13"/>
  <c r="D11" i="13"/>
  <c r="E11" i="13"/>
  <c r="F11" i="13"/>
  <c r="C13" i="13"/>
  <c r="C12" i="13"/>
  <c r="C11" i="13"/>
  <c r="C10" i="13"/>
  <c r="D10" i="13" s="1"/>
  <c r="E10" i="13" s="1"/>
  <c r="F10" i="13" s="1"/>
  <c r="G10" i="13" s="1"/>
  <c r="C9" i="13"/>
  <c r="C8" i="13"/>
  <c r="D8" i="13" s="1"/>
  <c r="E8" i="13" s="1"/>
  <c r="F8" i="13" s="1"/>
  <c r="G8" i="13" s="1"/>
  <c r="G19" i="1"/>
  <c r="C7" i="13"/>
  <c r="H5" i="13"/>
  <c r="D12" i="13"/>
  <c r="D9" i="13"/>
  <c r="E9" i="13" s="1"/>
  <c r="F9" i="13" s="1"/>
  <c r="G9" i="13" s="1"/>
  <c r="C13" i="12"/>
  <c r="B8" i="12"/>
  <c r="B7" i="12"/>
  <c r="B2" i="12"/>
  <c r="B6" i="12"/>
  <c r="C20" i="11"/>
  <c r="C15" i="11"/>
  <c r="D11" i="11"/>
  <c r="C11" i="11"/>
  <c r="B6" i="11"/>
  <c r="B7" i="11"/>
  <c r="B8" i="11"/>
  <c r="B9" i="11"/>
  <c r="B10" i="11"/>
  <c r="B11" i="11"/>
  <c r="B12" i="11"/>
  <c r="B13" i="11"/>
  <c r="B14" i="11"/>
  <c r="B5" i="11"/>
  <c r="D12" i="11"/>
  <c r="C10" i="11"/>
  <c r="D10" i="11" s="1"/>
  <c r="D9" i="11"/>
  <c r="C9" i="11"/>
  <c r="D8" i="11"/>
  <c r="D7" i="11"/>
  <c r="D6" i="11" s="1"/>
  <c r="D5" i="11" s="1"/>
  <c r="D15" i="11" s="1"/>
  <c r="C7" i="11"/>
  <c r="C10" i="10"/>
  <c r="C8" i="10"/>
  <c r="C7" i="10"/>
  <c r="C5" i="10"/>
  <c r="C6" i="10"/>
  <c r="I28" i="5"/>
  <c r="J28" i="5"/>
  <c r="K28" i="5"/>
  <c r="L28" i="5"/>
  <c r="H28" i="5"/>
  <c r="I25" i="5"/>
  <c r="J25" i="5" s="1"/>
  <c r="K25" i="5" s="1"/>
  <c r="L25" i="5" s="1"/>
  <c r="H25" i="5"/>
  <c r="I24" i="5"/>
  <c r="J24" i="5" s="1"/>
  <c r="K24" i="5" s="1"/>
  <c r="L24" i="5" s="1"/>
  <c r="H24" i="5"/>
  <c r="I23" i="5"/>
  <c r="J23" i="5" s="1"/>
  <c r="K23" i="5" s="1"/>
  <c r="L23" i="5" s="1"/>
  <c r="H23" i="5"/>
  <c r="I22" i="5"/>
  <c r="J22" i="5" s="1"/>
  <c r="H22" i="5"/>
  <c r="I18" i="5"/>
  <c r="J18" i="5" s="1"/>
  <c r="K18" i="5" s="1"/>
  <c r="L18" i="5" s="1"/>
  <c r="H18" i="5"/>
  <c r="G21" i="5"/>
  <c r="I19" i="5"/>
  <c r="J19" i="5" s="1"/>
  <c r="K19" i="5" s="1"/>
  <c r="L19" i="5" s="1"/>
  <c r="L17" i="5"/>
  <c r="D17" i="5"/>
  <c r="G17" i="5" s="1"/>
  <c r="G16" i="5" s="1"/>
  <c r="G31" i="5" s="1"/>
  <c r="G22" i="5"/>
  <c r="F23" i="5"/>
  <c r="F24" i="5"/>
  <c r="F25" i="5"/>
  <c r="F26" i="5"/>
  <c r="F27" i="5"/>
  <c r="F28" i="5"/>
  <c r="F29" i="5"/>
  <c r="F30" i="5"/>
  <c r="F22" i="5"/>
  <c r="G13" i="5"/>
  <c r="F14" i="5"/>
  <c r="F15" i="5"/>
  <c r="F13" i="5"/>
  <c r="F18" i="5"/>
  <c r="F19" i="5"/>
  <c r="F20" i="5"/>
  <c r="F17" i="5"/>
  <c r="D29" i="5"/>
  <c r="D27" i="5"/>
  <c r="D25" i="5"/>
  <c r="D6" i="18" l="1"/>
  <c r="J12" i="18"/>
  <c r="D11" i="18"/>
  <c r="H16" i="18" s="1"/>
  <c r="J11" i="18"/>
  <c r="D12" i="18"/>
  <c r="K35" i="17"/>
  <c r="B35" i="17"/>
  <c r="E34" i="17"/>
  <c r="D7" i="17"/>
  <c r="D33" i="17" s="1"/>
  <c r="E7" i="17"/>
  <c r="E33" i="17" s="1"/>
  <c r="E36" i="17" s="1"/>
  <c r="G6" i="17"/>
  <c r="R31" i="17"/>
  <c r="T31" i="17" s="1"/>
  <c r="B7" i="17"/>
  <c r="F32" i="17"/>
  <c r="F35" i="17" s="1"/>
  <c r="G36" i="17"/>
  <c r="J30" i="17"/>
  <c r="F36" i="17"/>
  <c r="C35" i="17"/>
  <c r="B33" i="17"/>
  <c r="G3" i="17"/>
  <c r="C32" i="17"/>
  <c r="C36" i="17"/>
  <c r="D32" i="17"/>
  <c r="E32" i="17"/>
  <c r="E35" i="17" s="1"/>
  <c r="E36" i="16"/>
  <c r="C36" i="16"/>
  <c r="C39" i="16" s="1"/>
  <c r="D27" i="16"/>
  <c r="C27" i="16"/>
  <c r="J10" i="16"/>
  <c r="L10" i="16"/>
  <c r="L14" i="16" s="1"/>
  <c r="B27" i="16"/>
  <c r="C10" i="16"/>
  <c r="D14" i="16"/>
  <c r="D16" i="16" s="1"/>
  <c r="D18" i="16" s="1"/>
  <c r="K11" i="16"/>
  <c r="D31" i="16"/>
  <c r="D36" i="16" s="1"/>
  <c r="D38" i="16" s="1"/>
  <c r="D39" i="16" s="1"/>
  <c r="F31" i="16"/>
  <c r="F36" i="16" s="1"/>
  <c r="C16" i="16"/>
  <c r="E5" i="16"/>
  <c r="E9" i="16" s="1"/>
  <c r="F5" i="16"/>
  <c r="F9" i="16" s="1"/>
  <c r="F14" i="16" s="1"/>
  <c r="F16" i="16" s="1"/>
  <c r="F17" i="16" s="1"/>
  <c r="F18" i="16" s="1"/>
  <c r="E52" i="16"/>
  <c r="D52" i="16"/>
  <c r="C34" i="16"/>
  <c r="E27" i="16"/>
  <c r="M7" i="16"/>
  <c r="M5" i="16" s="1"/>
  <c r="K8" i="16"/>
  <c r="E10" i="16"/>
  <c r="K12" i="16"/>
  <c r="K10" i="16" s="1"/>
  <c r="F28" i="16"/>
  <c r="F27" i="16" s="1"/>
  <c r="E50" i="16"/>
  <c r="F50" i="16" s="1"/>
  <c r="G50" i="16" s="1"/>
  <c r="M8" i="16"/>
  <c r="M9" i="16" s="1"/>
  <c r="M12" i="16"/>
  <c r="M10" i="16" s="1"/>
  <c r="L5" i="16"/>
  <c r="J6" i="16"/>
  <c r="K6" i="16"/>
  <c r="I11" i="16"/>
  <c r="B10" i="16"/>
  <c r="I12" i="16"/>
  <c r="D9" i="14"/>
  <c r="F5" i="14"/>
  <c r="G5" i="14"/>
  <c r="D6" i="14"/>
  <c r="D5" i="14" s="1"/>
  <c r="E6" i="14"/>
  <c r="E5" i="14" s="1"/>
  <c r="D12" i="14"/>
  <c r="E13" i="14"/>
  <c r="H6" i="13"/>
  <c r="E12" i="13"/>
  <c r="D7" i="13"/>
  <c r="C16" i="11"/>
  <c r="C6" i="11"/>
  <c r="C5" i="11" s="1"/>
  <c r="D16" i="11"/>
  <c r="C4" i="10"/>
  <c r="H21" i="5"/>
  <c r="K22" i="5"/>
  <c r="J21" i="5"/>
  <c r="I21" i="5"/>
  <c r="L26" i="5"/>
  <c r="K26" i="5"/>
  <c r="J26" i="5"/>
  <c r="I26" i="5"/>
  <c r="H26" i="5"/>
  <c r="H17" i="5"/>
  <c r="I17" i="5" s="1"/>
  <c r="J17" i="5" s="1"/>
  <c r="K17" i="5" s="1"/>
  <c r="G23" i="5"/>
  <c r="G24" i="5"/>
  <c r="G26" i="5"/>
  <c r="D30" i="5"/>
  <c r="D28" i="5"/>
  <c r="G28" i="5" s="1"/>
  <c r="D26" i="5"/>
  <c r="D24" i="5"/>
  <c r="D23" i="5"/>
  <c r="D22" i="5"/>
  <c r="D40" i="9"/>
  <c r="B40" i="9"/>
  <c r="C40" i="9"/>
  <c r="A40" i="9"/>
  <c r="G79" i="9" s="1"/>
  <c r="A78" i="9"/>
  <c r="D62" i="9"/>
  <c r="E62" i="9" s="1"/>
  <c r="D20" i="5"/>
  <c r="D19" i="5"/>
  <c r="G19" i="5" s="1"/>
  <c r="D18" i="5"/>
  <c r="D14" i="5"/>
  <c r="G14" i="5" s="1"/>
  <c r="H14" i="5" s="1"/>
  <c r="I14" i="5" s="1"/>
  <c r="J14" i="5" s="1"/>
  <c r="K14" i="5" s="1"/>
  <c r="L14" i="5" s="1"/>
  <c r="D15" i="5"/>
  <c r="G15" i="5" s="1"/>
  <c r="H15" i="5" s="1"/>
  <c r="I15" i="5" s="1"/>
  <c r="J15" i="5" s="1"/>
  <c r="K15" i="5" s="1"/>
  <c r="L15" i="5" s="1"/>
  <c r="D13" i="5"/>
  <c r="G18" i="5"/>
  <c r="C6" i="5"/>
  <c r="C7" i="5" s="1"/>
  <c r="J80" i="9"/>
  <c r="K80" i="9"/>
  <c r="L80" i="9"/>
  <c r="I80" i="9"/>
  <c r="H80" i="9"/>
  <c r="J78" i="9"/>
  <c r="K78" i="9" s="1"/>
  <c r="L78" i="9" s="1"/>
  <c r="I78" i="9"/>
  <c r="L77" i="9"/>
  <c r="H77" i="9"/>
  <c r="I77" i="9" s="1"/>
  <c r="L76" i="9"/>
  <c r="K76" i="9"/>
  <c r="J76" i="9"/>
  <c r="I76" i="9"/>
  <c r="H76" i="9"/>
  <c r="G77" i="9"/>
  <c r="G76" i="9"/>
  <c r="K74" i="9"/>
  <c r="J74" i="9"/>
  <c r="I74" i="9"/>
  <c r="E76" i="9"/>
  <c r="E75" i="9"/>
  <c r="E77" i="9"/>
  <c r="D76" i="9"/>
  <c r="D75" i="9"/>
  <c r="A76" i="9"/>
  <c r="A75" i="9"/>
  <c r="A38" i="9"/>
  <c r="A80" i="9"/>
  <c r="E70" i="9"/>
  <c r="D61" i="9"/>
  <c r="F20" i="4"/>
  <c r="F17" i="4"/>
  <c r="G17" i="4" s="1"/>
  <c r="D50" i="9"/>
  <c r="E50" i="9" s="1"/>
  <c r="B38" i="9"/>
  <c r="C38" i="9"/>
  <c r="D38" i="9"/>
  <c r="E38" i="9"/>
  <c r="B37" i="9"/>
  <c r="C37" i="9"/>
  <c r="D37" i="9"/>
  <c r="E37" i="9"/>
  <c r="A37" i="9"/>
  <c r="A35" i="9"/>
  <c r="A34" i="9"/>
  <c r="E5" i="9"/>
  <c r="E6" i="9"/>
  <c r="E7" i="9"/>
  <c r="G82" i="9"/>
  <c r="G81" i="9"/>
  <c r="A81" i="9"/>
  <c r="D80" i="9"/>
  <c r="E80" i="9" s="1"/>
  <c r="G74" i="9"/>
  <c r="G73" i="9"/>
  <c r="G72" i="9"/>
  <c r="G71" i="9"/>
  <c r="D63" i="9"/>
  <c r="E63" i="9" s="1"/>
  <c r="E61" i="9"/>
  <c r="E60" i="9"/>
  <c r="E58" i="9"/>
  <c r="E57" i="9"/>
  <c r="D81" i="9"/>
  <c r="E81" i="9" s="1"/>
  <c r="E48" i="9"/>
  <c r="E47" i="9" s="1"/>
  <c r="E42" i="9"/>
  <c r="H81" i="9" s="1"/>
  <c r="I81" i="9" s="1"/>
  <c r="J81" i="9" s="1"/>
  <c r="K81" i="9" s="1"/>
  <c r="L81" i="9" s="1"/>
  <c r="D41" i="9"/>
  <c r="D79" i="9" s="1"/>
  <c r="E79" i="9" s="1"/>
  <c r="C41" i="9"/>
  <c r="B41" i="9"/>
  <c r="A41" i="9"/>
  <c r="G80" i="9" s="1"/>
  <c r="D78" i="9"/>
  <c r="E78" i="9" s="1"/>
  <c r="D39" i="9"/>
  <c r="C39" i="9"/>
  <c r="B39" i="9"/>
  <c r="A39" i="9"/>
  <c r="G78" i="9" s="1"/>
  <c r="C35" i="9"/>
  <c r="B35" i="9"/>
  <c r="D34" i="9"/>
  <c r="C34" i="9"/>
  <c r="B34" i="9"/>
  <c r="E28" i="9"/>
  <c r="E73" i="9" s="1"/>
  <c r="H73" i="9" s="1"/>
  <c r="I73" i="9" s="1"/>
  <c r="J73" i="9" s="1"/>
  <c r="K73" i="9" s="1"/>
  <c r="L73" i="9" s="1"/>
  <c r="E27" i="9"/>
  <c r="E71" i="9" s="1"/>
  <c r="E21" i="9"/>
  <c r="E72" i="9" s="1"/>
  <c r="H72" i="9" s="1"/>
  <c r="I72" i="9" s="1"/>
  <c r="J72" i="9" s="1"/>
  <c r="K72" i="9" s="1"/>
  <c r="L72" i="9" s="1"/>
  <c r="E17" i="9"/>
  <c r="E16" i="9"/>
  <c r="E11" i="9"/>
  <c r="E10" i="9"/>
  <c r="E9" i="9"/>
  <c r="E8" i="9"/>
  <c r="F19" i="4"/>
  <c r="G19" i="4" s="1"/>
  <c r="F18" i="4"/>
  <c r="G16" i="4"/>
  <c r="F16" i="4"/>
  <c r="F14" i="4"/>
  <c r="G14" i="4" s="1"/>
  <c r="G13" i="4" s="1"/>
  <c r="F13" i="4"/>
  <c r="G12" i="4"/>
  <c r="F12" i="4"/>
  <c r="G11" i="4"/>
  <c r="F11" i="4"/>
  <c r="F10" i="4"/>
  <c r="G10" i="4" s="1"/>
  <c r="G9" i="4"/>
  <c r="F9" i="4"/>
  <c r="F7" i="4" s="1"/>
  <c r="G8" i="4"/>
  <c r="G7" i="4" s="1"/>
  <c r="F8" i="4"/>
  <c r="F6" i="4"/>
  <c r="G6" i="4" s="1"/>
  <c r="G4" i="4" s="1"/>
  <c r="G5" i="4"/>
  <c r="F5" i="4"/>
  <c r="F4" i="4" s="1"/>
  <c r="C13" i="3"/>
  <c r="C9" i="10" s="1"/>
  <c r="E29" i="2"/>
  <c r="E28" i="2"/>
  <c r="E27" i="2"/>
  <c r="E26" i="2"/>
  <c r="E30" i="2" s="1"/>
  <c r="E21" i="2"/>
  <c r="E20" i="2"/>
  <c r="E22" i="2" s="1"/>
  <c r="E15" i="2"/>
  <c r="E14" i="2"/>
  <c r="E13" i="2"/>
  <c r="E12" i="2"/>
  <c r="E11" i="2"/>
  <c r="E10" i="2"/>
  <c r="E9" i="2"/>
  <c r="E6" i="2" s="1"/>
  <c r="E8" i="2"/>
  <c r="E7" i="2"/>
  <c r="E5" i="2"/>
  <c r="E4" i="2"/>
  <c r="E3" i="2"/>
  <c r="E16" i="2" s="1"/>
  <c r="F18" i="1"/>
  <c r="F17" i="1"/>
  <c r="F16" i="1"/>
  <c r="F15" i="1"/>
  <c r="F13" i="1"/>
  <c r="F12" i="1"/>
  <c r="F11" i="1"/>
  <c r="F10" i="1"/>
  <c r="F9" i="1"/>
  <c r="F8" i="1"/>
  <c r="F7" i="1"/>
  <c r="F6" i="1"/>
  <c r="F4" i="1"/>
  <c r="K34" i="17" l="1"/>
  <c r="K32" i="17"/>
  <c r="K33" i="17"/>
  <c r="B36" i="17"/>
  <c r="K31" i="17"/>
  <c r="R33" i="17"/>
  <c r="T33" i="17" s="1"/>
  <c r="F37" i="17"/>
  <c r="E37" i="17"/>
  <c r="J31" i="17"/>
  <c r="G32" i="17"/>
  <c r="G35" i="17" s="1"/>
  <c r="G37" i="17" s="1"/>
  <c r="D35" i="17"/>
  <c r="D36" i="17"/>
  <c r="J34" i="17"/>
  <c r="R34" i="17"/>
  <c r="T34" i="17" s="1"/>
  <c r="D34" i="16"/>
  <c r="E14" i="16"/>
  <c r="E16" i="16" s="1"/>
  <c r="E17" i="16" s="1"/>
  <c r="E18" i="16" s="1"/>
  <c r="M14" i="16"/>
  <c r="I9" i="16"/>
  <c r="I5" i="16"/>
  <c r="F52" i="16"/>
  <c r="E34" i="16"/>
  <c r="E38" i="16"/>
  <c r="E39" i="16" s="1"/>
  <c r="I10" i="16"/>
  <c r="C17" i="16"/>
  <c r="C18" i="16"/>
  <c r="K9" i="16"/>
  <c r="K14" i="16" s="1"/>
  <c r="K5" i="16"/>
  <c r="G52" i="16"/>
  <c r="F34" i="16"/>
  <c r="F38" i="16"/>
  <c r="F39" i="16" s="1"/>
  <c r="L15" i="16"/>
  <c r="J9" i="16"/>
  <c r="J14" i="16" s="1"/>
  <c r="J5" i="16"/>
  <c r="D18" i="14"/>
  <c r="E12" i="14"/>
  <c r="E18" i="14" s="1"/>
  <c r="F13" i="14"/>
  <c r="E7" i="13"/>
  <c r="F12" i="13"/>
  <c r="C19" i="11"/>
  <c r="C3" i="10"/>
  <c r="C13" i="10" s="1"/>
  <c r="K21" i="5"/>
  <c r="L22" i="5"/>
  <c r="L21" i="5" s="1"/>
  <c r="D16" i="5"/>
  <c r="G29" i="5"/>
  <c r="G25" i="5"/>
  <c r="G30" i="5"/>
  <c r="G20" i="5"/>
  <c r="J77" i="9"/>
  <c r="K77" i="9" s="1"/>
  <c r="H75" i="9"/>
  <c r="E69" i="9"/>
  <c r="A77" i="9"/>
  <c r="H74" i="9"/>
  <c r="L74" i="9" s="1"/>
  <c r="F15" i="4"/>
  <c r="E35" i="9"/>
  <c r="E34" i="9"/>
  <c r="E22" i="9"/>
  <c r="E56" i="9"/>
  <c r="E26" i="9"/>
  <c r="H82" i="9"/>
  <c r="I82" i="9" s="1"/>
  <c r="J82" i="9" s="1"/>
  <c r="K82" i="9" s="1"/>
  <c r="L82" i="9" s="1"/>
  <c r="E39" i="9"/>
  <c r="E41" i="9"/>
  <c r="E40" i="9"/>
  <c r="H79" i="9" s="1"/>
  <c r="I79" i="9" s="1"/>
  <c r="J79" i="9" s="1"/>
  <c r="K79" i="9" s="1"/>
  <c r="L79" i="9" s="1"/>
  <c r="E12" i="9"/>
  <c r="H71" i="9"/>
  <c r="E59" i="9"/>
  <c r="D77" i="9"/>
  <c r="E74" i="9" s="1"/>
  <c r="A79" i="9"/>
  <c r="G18" i="4"/>
  <c r="G15" i="4" s="1"/>
  <c r="G20" i="4" s="1"/>
  <c r="F14" i="1"/>
  <c r="F5" i="1"/>
  <c r="L34" i="17" l="1"/>
  <c r="L31" i="17"/>
  <c r="J33" i="17"/>
  <c r="L33" i="17" s="1"/>
  <c r="R32" i="17"/>
  <c r="T32" i="17" s="1"/>
  <c r="J32" i="17"/>
  <c r="L32" i="17" s="1"/>
  <c r="D37" i="17"/>
  <c r="T30" i="17"/>
  <c r="R35" i="17"/>
  <c r="T35" i="17" s="1"/>
  <c r="J35" i="17"/>
  <c r="E26" i="17"/>
  <c r="E51" i="16"/>
  <c r="F51" i="16" s="1"/>
  <c r="G51" i="16" s="1"/>
  <c r="J15" i="16"/>
  <c r="M15" i="16"/>
  <c r="K15" i="16"/>
  <c r="D24" i="14"/>
  <c r="D26" i="14" s="1"/>
  <c r="F12" i="14"/>
  <c r="F18" i="14" s="1"/>
  <c r="G13" i="14"/>
  <c r="G12" i="14" s="1"/>
  <c r="G18" i="14" s="1"/>
  <c r="E24" i="14"/>
  <c r="E26" i="14" s="1"/>
  <c r="F7" i="13"/>
  <c r="G12" i="13"/>
  <c r="C21" i="11"/>
  <c r="I75" i="9"/>
  <c r="H16" i="5"/>
  <c r="D12" i="5"/>
  <c r="E33" i="9"/>
  <c r="E36" i="9"/>
  <c r="E64" i="9"/>
  <c r="H78" i="9"/>
  <c r="E49" i="9"/>
  <c r="E51" i="9" s="1"/>
  <c r="E82" i="9"/>
  <c r="I71" i="9"/>
  <c r="H70" i="9"/>
  <c r="F19" i="1"/>
  <c r="O43" i="17" l="1"/>
  <c r="W46" i="17"/>
  <c r="W30" i="17"/>
  <c r="W35" i="17"/>
  <c r="O39" i="17"/>
  <c r="O35" i="17"/>
  <c r="W32" i="17"/>
  <c r="W36" i="17"/>
  <c r="O33" i="17"/>
  <c r="T36" i="17"/>
  <c r="W39" i="17"/>
  <c r="T39" i="17"/>
  <c r="W38" i="17"/>
  <c r="L39" i="17"/>
  <c r="W34" i="17"/>
  <c r="W42" i="17"/>
  <c r="W44" i="17"/>
  <c r="O46" i="17"/>
  <c r="W37" i="17"/>
  <c r="W41" i="17"/>
  <c r="O44" i="17"/>
  <c r="L35" i="17"/>
  <c r="L36" i="17" s="1"/>
  <c r="O36" i="17"/>
  <c r="O38" i="17"/>
  <c r="O34" i="17"/>
  <c r="O41" i="17"/>
  <c r="O42" i="17"/>
  <c r="W43" i="17"/>
  <c r="W40" i="17"/>
  <c r="O37" i="17"/>
  <c r="O32" i="17"/>
  <c r="W31" i="17"/>
  <c r="W33" i="17"/>
  <c r="O40" i="17"/>
  <c r="G24" i="14"/>
  <c r="G26" i="14" s="1"/>
  <c r="F24" i="14"/>
  <c r="F26" i="14" s="1"/>
  <c r="G7" i="13"/>
  <c r="E43" i="9"/>
  <c r="H13" i="5"/>
  <c r="G12" i="5"/>
  <c r="I16" i="5"/>
  <c r="J75" i="9"/>
  <c r="J71" i="9"/>
  <c r="I70" i="9"/>
  <c r="G27" i="5" l="1"/>
  <c r="D21" i="5"/>
  <c r="D31" i="5" s="1"/>
  <c r="I13" i="5"/>
  <c r="H12" i="5"/>
  <c r="J16" i="5"/>
  <c r="K71" i="9"/>
  <c r="J70" i="9"/>
  <c r="K75" i="9"/>
  <c r="I83" i="9"/>
  <c r="H27" i="5" l="1"/>
  <c r="I27" i="5" s="1"/>
  <c r="J27" i="5" s="1"/>
  <c r="K27" i="5" s="1"/>
  <c r="J13" i="5"/>
  <c r="I12" i="5"/>
  <c r="L16" i="5"/>
  <c r="K16" i="5"/>
  <c r="L75" i="9"/>
  <c r="J83" i="9"/>
  <c r="L71" i="9"/>
  <c r="L70" i="9" s="1"/>
  <c r="K70" i="9"/>
  <c r="H31" i="5" l="1"/>
  <c r="K13" i="5"/>
  <c r="J12" i="5"/>
  <c r="L83" i="9"/>
  <c r="K83" i="9"/>
  <c r="B13" i="12" l="1"/>
  <c r="I31" i="5"/>
  <c r="L13" i="5"/>
  <c r="L12" i="5" s="1"/>
  <c r="K12" i="5"/>
  <c r="J14" i="12" l="1"/>
  <c r="D13" i="12"/>
  <c r="G13" i="12" s="1"/>
  <c r="E47" i="12"/>
  <c r="E17" i="12"/>
  <c r="E48" i="12"/>
  <c r="E13" i="12"/>
  <c r="E41" i="12"/>
  <c r="E14" i="12"/>
  <c r="E42" i="12"/>
  <c r="E43" i="12"/>
  <c r="E44" i="12"/>
  <c r="E69" i="12"/>
  <c r="E37" i="12"/>
  <c r="E38" i="12"/>
  <c r="E15" i="12"/>
  <c r="E71" i="12"/>
  <c r="E39" i="12"/>
  <c r="E72" i="12"/>
  <c r="E40" i="12"/>
  <c r="E65" i="12"/>
  <c r="E33" i="12"/>
  <c r="E66" i="12"/>
  <c r="E34" i="12"/>
  <c r="E24" i="12"/>
  <c r="E50" i="12"/>
  <c r="E20" i="12"/>
  <c r="E67" i="12"/>
  <c r="E35" i="12"/>
  <c r="E68" i="12"/>
  <c r="E36" i="12"/>
  <c r="E61" i="12"/>
  <c r="E29" i="12"/>
  <c r="E62" i="12"/>
  <c r="E30" i="12"/>
  <c r="E56" i="12"/>
  <c r="E51" i="12"/>
  <c r="E45" i="12"/>
  <c r="E46" i="12"/>
  <c r="E63" i="12"/>
  <c r="E31" i="12"/>
  <c r="E64" i="12"/>
  <c r="E32" i="12"/>
  <c r="E57" i="12"/>
  <c r="E25" i="12"/>
  <c r="E58" i="12"/>
  <c r="E26" i="12"/>
  <c r="E23" i="12"/>
  <c r="E18" i="12"/>
  <c r="E52" i="12"/>
  <c r="E59" i="12"/>
  <c r="E27" i="12"/>
  <c r="E60" i="12"/>
  <c r="E28" i="12"/>
  <c r="E53" i="12"/>
  <c r="E21" i="12"/>
  <c r="E54" i="12"/>
  <c r="E22" i="12"/>
  <c r="E55" i="12"/>
  <c r="E49" i="12"/>
  <c r="E19" i="12"/>
  <c r="E16" i="12"/>
  <c r="E70" i="12"/>
  <c r="J31" i="5"/>
  <c r="H83" i="9"/>
  <c r="F13" i="12" l="1"/>
  <c r="B14" i="12" s="1"/>
  <c r="D14" i="12" s="1"/>
  <c r="G14" i="12" s="1"/>
  <c r="M14" i="12"/>
  <c r="M15" i="12" s="1"/>
  <c r="M16" i="12" s="1"/>
  <c r="M17" i="12" s="1"/>
  <c r="M18" i="12" s="1"/>
  <c r="L27" i="5"/>
  <c r="L31" i="5" s="1"/>
  <c r="K31" i="5"/>
  <c r="C14" i="12" l="1"/>
  <c r="F14" i="12" s="1"/>
  <c r="B15" i="12" s="1"/>
  <c r="D15" i="12" s="1"/>
  <c r="G15" i="12" l="1"/>
  <c r="C15" i="12"/>
  <c r="F15" i="12" s="1"/>
  <c r="B16" i="12" s="1"/>
  <c r="D16" i="12" s="1"/>
  <c r="G16" i="12" l="1"/>
  <c r="C16" i="12"/>
  <c r="F16" i="12" s="1"/>
  <c r="B17" i="12" s="1"/>
  <c r="D17" i="12" s="1"/>
  <c r="G17" i="12" l="1"/>
  <c r="C17" i="12"/>
  <c r="F17" i="12" s="1"/>
  <c r="B18" i="12" s="1"/>
  <c r="D18" i="12" s="1"/>
  <c r="G18" i="12" l="1"/>
  <c r="C18" i="12"/>
  <c r="F18" i="12" s="1"/>
  <c r="B19" i="12" s="1"/>
  <c r="D19" i="12" s="1"/>
  <c r="G19" i="12" l="1"/>
  <c r="C19" i="12"/>
  <c r="F19" i="12" s="1"/>
  <c r="B20" i="12" s="1"/>
  <c r="D20" i="12" s="1"/>
  <c r="G20" i="12"/>
  <c r="C20" i="12"/>
  <c r="F20" i="12" s="1"/>
  <c r="B21" i="12" s="1"/>
  <c r="D21" i="12" l="1"/>
  <c r="G21" i="12" l="1"/>
  <c r="C21" i="12"/>
  <c r="F21" i="12" s="1"/>
  <c r="B22" i="12" s="1"/>
  <c r="D22" i="12" l="1"/>
  <c r="G22" i="12" l="1"/>
  <c r="C22" i="12"/>
  <c r="F22" i="12" s="1"/>
  <c r="B23" i="12" s="1"/>
  <c r="D23" i="12" l="1"/>
  <c r="G23" i="12" l="1"/>
  <c r="C23" i="12"/>
  <c r="F23" i="12" s="1"/>
  <c r="B24" i="12" s="1"/>
  <c r="D24" i="12" l="1"/>
  <c r="G24" i="12" l="1"/>
  <c r="C24" i="12"/>
  <c r="F24" i="12" s="1"/>
  <c r="B25" i="12" s="1"/>
  <c r="L14" i="12"/>
  <c r="D25" i="12" l="1"/>
  <c r="O14" i="12"/>
  <c r="K14" i="12"/>
  <c r="N14" i="12" s="1"/>
  <c r="J15" i="12" s="1"/>
  <c r="G25" i="12" l="1"/>
  <c r="C25" i="12"/>
  <c r="F25" i="12" s="1"/>
  <c r="B26" i="12" s="1"/>
  <c r="D26" i="12" l="1"/>
  <c r="G26" i="12" l="1"/>
  <c r="C26" i="12"/>
  <c r="F26" i="12" s="1"/>
  <c r="B27" i="12" s="1"/>
  <c r="D27" i="12" l="1"/>
  <c r="G27" i="12" l="1"/>
  <c r="C27" i="12"/>
  <c r="F27" i="12" s="1"/>
  <c r="B28" i="12" s="1"/>
  <c r="D28" i="12" l="1"/>
  <c r="G28" i="12" l="1"/>
  <c r="C28" i="12"/>
  <c r="F28" i="12" s="1"/>
  <c r="B29" i="12" s="1"/>
  <c r="D29" i="12" l="1"/>
  <c r="G29" i="12" l="1"/>
  <c r="C29" i="12"/>
  <c r="F29" i="12" s="1"/>
  <c r="B30" i="12" s="1"/>
  <c r="D30" i="12" l="1"/>
  <c r="G30" i="12" l="1"/>
  <c r="C30" i="12"/>
  <c r="F30" i="12" s="1"/>
  <c r="B31" i="12" s="1"/>
  <c r="D31" i="12" l="1"/>
  <c r="G31" i="12" l="1"/>
  <c r="C31" i="12"/>
  <c r="F31" i="12" s="1"/>
  <c r="B32" i="12" s="1"/>
  <c r="D32" i="12" l="1"/>
  <c r="G32" i="12" l="1"/>
  <c r="C32" i="12"/>
  <c r="F32" i="12" s="1"/>
  <c r="B33" i="12" s="1"/>
  <c r="D33" i="12" l="1"/>
  <c r="G33" i="12" l="1"/>
  <c r="C33" i="12"/>
  <c r="F33" i="12" s="1"/>
  <c r="B34" i="12" s="1"/>
  <c r="D34" i="12" l="1"/>
  <c r="G34" i="12" l="1"/>
  <c r="C34" i="12"/>
  <c r="F34" i="12" s="1"/>
  <c r="B35" i="12" s="1"/>
  <c r="D35" i="12" l="1"/>
  <c r="G35" i="12" l="1"/>
  <c r="C35" i="12"/>
  <c r="F35" i="12" s="1"/>
  <c r="B36" i="12" s="1"/>
  <c r="D36" i="12" l="1"/>
  <c r="G36" i="12" l="1"/>
  <c r="C36" i="12"/>
  <c r="F36" i="12" s="1"/>
  <c r="B37" i="12" s="1"/>
  <c r="L15" i="12"/>
  <c r="O15" i="12" l="1"/>
  <c r="K15" i="12"/>
  <c r="N15" i="12" s="1"/>
  <c r="J16" i="12" s="1"/>
  <c r="D37" i="12"/>
  <c r="G37" i="12" l="1"/>
  <c r="C37" i="12"/>
  <c r="F37" i="12" s="1"/>
  <c r="B38" i="12" s="1"/>
  <c r="D38" i="12" l="1"/>
  <c r="G38" i="12" l="1"/>
  <c r="C38" i="12"/>
  <c r="F38" i="12" s="1"/>
  <c r="B39" i="12" s="1"/>
  <c r="D39" i="12" l="1"/>
  <c r="G39" i="12" l="1"/>
  <c r="C39" i="12"/>
  <c r="F39" i="12" s="1"/>
  <c r="B40" i="12" s="1"/>
  <c r="D40" i="12" l="1"/>
  <c r="G40" i="12" l="1"/>
  <c r="C40" i="12"/>
  <c r="F40" i="12" s="1"/>
  <c r="B41" i="12" s="1"/>
  <c r="D41" i="12" l="1"/>
  <c r="G41" i="12" l="1"/>
  <c r="C41" i="12"/>
  <c r="F41" i="12" s="1"/>
  <c r="B42" i="12" s="1"/>
  <c r="D42" i="12" l="1"/>
  <c r="G42" i="12" l="1"/>
  <c r="C42" i="12"/>
  <c r="F42" i="12" s="1"/>
  <c r="B43" i="12" s="1"/>
  <c r="D43" i="12" l="1"/>
  <c r="G43" i="12" l="1"/>
  <c r="C43" i="12"/>
  <c r="F43" i="12" s="1"/>
  <c r="B44" i="12" s="1"/>
  <c r="D44" i="12" l="1"/>
  <c r="G44" i="12" l="1"/>
  <c r="C44" i="12"/>
  <c r="F44" i="12" s="1"/>
  <c r="B45" i="12" s="1"/>
  <c r="D45" i="12" l="1"/>
  <c r="G45" i="12" l="1"/>
  <c r="C45" i="12"/>
  <c r="F45" i="12" s="1"/>
  <c r="B46" i="12" s="1"/>
  <c r="D46" i="12" l="1"/>
  <c r="G46" i="12" l="1"/>
  <c r="C46" i="12"/>
  <c r="F46" i="12" s="1"/>
  <c r="B47" i="12" s="1"/>
  <c r="D47" i="12" l="1"/>
  <c r="G47" i="12" l="1"/>
  <c r="C47" i="12"/>
  <c r="F47" i="12" s="1"/>
  <c r="B48" i="12" s="1"/>
  <c r="D48" i="12" l="1"/>
  <c r="G48" i="12" l="1"/>
  <c r="C48" i="12"/>
  <c r="F48" i="12" s="1"/>
  <c r="B49" i="12" s="1"/>
  <c r="L16" i="12"/>
  <c r="O16" i="12" l="1"/>
  <c r="K16" i="12"/>
  <c r="N16" i="12" s="1"/>
  <c r="J17" i="12" s="1"/>
  <c r="D49" i="12"/>
  <c r="G49" i="12" l="1"/>
  <c r="C49" i="12"/>
  <c r="F49" i="12" s="1"/>
  <c r="B50" i="12" s="1"/>
  <c r="D50" i="12" l="1"/>
  <c r="G50" i="12" l="1"/>
  <c r="C50" i="12"/>
  <c r="F50" i="12" s="1"/>
  <c r="B51" i="12" s="1"/>
  <c r="D51" i="12" l="1"/>
  <c r="G51" i="12" l="1"/>
  <c r="C51" i="12"/>
  <c r="F51" i="12" s="1"/>
  <c r="B52" i="12" s="1"/>
  <c r="D52" i="12" l="1"/>
  <c r="G52" i="12" l="1"/>
  <c r="C52" i="12"/>
  <c r="F52" i="12" s="1"/>
  <c r="B53" i="12" s="1"/>
  <c r="D53" i="12" l="1"/>
  <c r="G53" i="12" l="1"/>
  <c r="C53" i="12"/>
  <c r="F53" i="12" s="1"/>
  <c r="B54" i="12" s="1"/>
  <c r="D54" i="12" l="1"/>
  <c r="G54" i="12" l="1"/>
  <c r="C54" i="12"/>
  <c r="F54" i="12" s="1"/>
  <c r="B55" i="12" s="1"/>
  <c r="D55" i="12" l="1"/>
  <c r="G55" i="12" l="1"/>
  <c r="C55" i="12"/>
  <c r="F55" i="12" s="1"/>
  <c r="B56" i="12" s="1"/>
  <c r="D56" i="12" l="1"/>
  <c r="G56" i="12" l="1"/>
  <c r="C56" i="12"/>
  <c r="F56" i="12" s="1"/>
  <c r="B57" i="12" s="1"/>
  <c r="D57" i="12" l="1"/>
  <c r="G57" i="12" l="1"/>
  <c r="C57" i="12"/>
  <c r="F57" i="12" s="1"/>
  <c r="B58" i="12" s="1"/>
  <c r="D58" i="12" l="1"/>
  <c r="G58" i="12" l="1"/>
  <c r="C58" i="12"/>
  <c r="F58" i="12" s="1"/>
  <c r="B59" i="12" s="1"/>
  <c r="D59" i="12" l="1"/>
  <c r="G59" i="12" l="1"/>
  <c r="C59" i="12"/>
  <c r="F59" i="12" s="1"/>
  <c r="B60" i="12" s="1"/>
  <c r="D60" i="12" l="1"/>
  <c r="G60" i="12" l="1"/>
  <c r="C60" i="12"/>
  <c r="F60" i="12" s="1"/>
  <c r="B61" i="12" s="1"/>
  <c r="L17" i="12"/>
  <c r="O17" i="12" l="1"/>
  <c r="K17" i="12"/>
  <c r="N17" i="12" s="1"/>
  <c r="J18" i="12" s="1"/>
  <c r="D61" i="12"/>
  <c r="G61" i="12" l="1"/>
  <c r="C61" i="12"/>
  <c r="F61" i="12" s="1"/>
  <c r="B62" i="12" s="1"/>
  <c r="D62" i="12" l="1"/>
  <c r="G62" i="12" l="1"/>
  <c r="C62" i="12"/>
  <c r="F62" i="12" s="1"/>
  <c r="B63" i="12" s="1"/>
  <c r="D63" i="12" l="1"/>
  <c r="G63" i="12" l="1"/>
  <c r="C63" i="12"/>
  <c r="F63" i="12" s="1"/>
  <c r="B64" i="12" s="1"/>
  <c r="D64" i="12" l="1"/>
  <c r="G64" i="12" l="1"/>
  <c r="C64" i="12"/>
  <c r="F64" i="12" s="1"/>
  <c r="B65" i="12" s="1"/>
  <c r="D65" i="12" l="1"/>
  <c r="G65" i="12" l="1"/>
  <c r="C65" i="12"/>
  <c r="F65" i="12" s="1"/>
  <c r="B66" i="12" s="1"/>
  <c r="D66" i="12" l="1"/>
  <c r="G66" i="12" l="1"/>
  <c r="C66" i="12"/>
  <c r="F66" i="12" s="1"/>
  <c r="B67" i="12" s="1"/>
  <c r="D67" i="12" l="1"/>
  <c r="G67" i="12" l="1"/>
  <c r="C67" i="12"/>
  <c r="F67" i="12" s="1"/>
  <c r="B68" i="12" s="1"/>
  <c r="D68" i="12" l="1"/>
  <c r="G68" i="12" l="1"/>
  <c r="C68" i="12"/>
  <c r="F68" i="12" s="1"/>
  <c r="B69" i="12" s="1"/>
  <c r="D69" i="12" l="1"/>
  <c r="G69" i="12" l="1"/>
  <c r="C69" i="12"/>
  <c r="F69" i="12" s="1"/>
  <c r="B70" i="12" s="1"/>
  <c r="D70" i="12" l="1"/>
  <c r="G70" i="12" l="1"/>
  <c r="C70" i="12"/>
  <c r="F70" i="12" s="1"/>
  <c r="B71" i="12" s="1"/>
  <c r="D71" i="12" l="1"/>
  <c r="G71" i="12" l="1"/>
  <c r="C71" i="12"/>
  <c r="F71" i="12" s="1"/>
  <c r="B72" i="12" s="1"/>
  <c r="D72" i="12" l="1"/>
  <c r="G72" i="12" l="1"/>
  <c r="C72" i="12"/>
  <c r="F72" i="12" s="1"/>
  <c r="L18" i="12"/>
  <c r="O18" i="12" l="1"/>
  <c r="K18" i="12"/>
  <c r="N18" i="12" s="1"/>
</calcChain>
</file>

<file path=xl/sharedStrings.xml><?xml version="1.0" encoding="utf-8"?>
<sst xmlns="http://schemas.openxmlformats.org/spreadsheetml/2006/main" count="600" uniqueCount="344">
  <si>
    <t xml:space="preserve">                   CONCEPTO</t>
  </si>
  <si>
    <t>UNIDAD</t>
  </si>
  <si>
    <t>METRADOS</t>
  </si>
  <si>
    <t>I. TERRENOS</t>
  </si>
  <si>
    <t>DESCRIPCION</t>
  </si>
  <si>
    <t>CANTIDAD</t>
  </si>
  <si>
    <t>VALOR UNITARIO</t>
  </si>
  <si>
    <t>TOTAL</t>
  </si>
  <si>
    <t>EQUIPOS DE OFICINA</t>
  </si>
  <si>
    <t>TOTAL MUEBLES Y ENSERES</t>
  </si>
  <si>
    <t>Sofa</t>
  </si>
  <si>
    <t>Dominio web</t>
  </si>
  <si>
    <t>Razón social (SUNARP)</t>
  </si>
  <si>
    <t>Registro en la SUNARP</t>
  </si>
  <si>
    <t>RUC en la SUNAT</t>
  </si>
  <si>
    <t xml:space="preserve">Computador laptop core i5, 12° generación, RAM 12, 2.5 ghz </t>
  </si>
  <si>
    <t>EQUIPOS</t>
  </si>
  <si>
    <t>MUEBLES Y ENSERES</t>
  </si>
  <si>
    <t>INVERSION FIJA INTANGIBLE</t>
  </si>
  <si>
    <t>Router Tenda F3</t>
  </si>
  <si>
    <t>REQUERIMIENTOS Y REMUNERACION  DEL PERSONAL</t>
  </si>
  <si>
    <t>PERSONAL</t>
  </si>
  <si>
    <t>COSTO UNITARIO
S/</t>
  </si>
  <si>
    <t>COSTO MENSUAL
S/</t>
  </si>
  <si>
    <t>MANO DE OBRA DIRECTA</t>
  </si>
  <si>
    <t>MANO DE OBRA INDIRECTA</t>
  </si>
  <si>
    <t>VENTAS</t>
  </si>
  <si>
    <t>ADMINISTRACIÓN</t>
  </si>
  <si>
    <t>COSTO TOTAL REMUNERACIONES</t>
  </si>
  <si>
    <t>Desarrolladores de software</t>
  </si>
  <si>
    <t>Atencion al cliente</t>
  </si>
  <si>
    <t>Personal de Marketing Digital</t>
  </si>
  <si>
    <t>Ciclo de conversion en efectivo</t>
  </si>
  <si>
    <t>Ciclo de producción</t>
  </si>
  <si>
    <t>Este es el tiempo que lleva preparar y poner en condiciones un cuarto después de que un inquilino lo deja</t>
  </si>
  <si>
    <t>Ciclo de cobranza</t>
  </si>
  <si>
    <t>Representa el período desde que un cliente reserva un cuarto hasta que realiza el pago completo.</t>
  </si>
  <si>
    <t>Días de crédito proveedores</t>
  </si>
  <si>
    <t>Indica el plazo que tienes para pagar a los proveedores</t>
  </si>
  <si>
    <t>Días a financiar</t>
  </si>
  <si>
    <t>Este período representa el tiempo entre que incurren los costos (por ejemplo, servicios de limpieza, mantenimiento) y el momento en que recibes el ingreso del alquiler.</t>
  </si>
  <si>
    <t>Periodo de desfase</t>
  </si>
  <si>
    <t>CAPITAL DE TRABAJO</t>
  </si>
  <si>
    <t>CONCEPTO</t>
  </si>
  <si>
    <t>AÑOS</t>
  </si>
  <si>
    <t>COSTO TOTAL
S/.</t>
  </si>
  <si>
    <t>I. MATERIA PRIMAS E INSUMOS</t>
  </si>
  <si>
    <t>I. MATERIAS PRIMAS E INSUMOS</t>
  </si>
  <si>
    <t>mes</t>
  </si>
  <si>
    <t>II. MANO DE OBRA</t>
  </si>
  <si>
    <t>Administración</t>
  </si>
  <si>
    <t>III. OTROS COSTOS INDIRECTOS</t>
  </si>
  <si>
    <t>Mantenimiento</t>
  </si>
  <si>
    <t>Luz</t>
  </si>
  <si>
    <t>Agua</t>
  </si>
  <si>
    <t>Telefonia</t>
  </si>
  <si>
    <t>Internet</t>
  </si>
  <si>
    <t>Utiles de oficina y limpieza</t>
  </si>
  <si>
    <t>TOTAL CAPITAL DE TRABAJO</t>
  </si>
  <si>
    <t>COSTOS DE MATERIA PRIMA</t>
  </si>
  <si>
    <t>Cantidad</t>
  </si>
  <si>
    <t>P.Unit</t>
  </si>
  <si>
    <t>COSTO TOTAL ANUAL</t>
  </si>
  <si>
    <t>SERVICIOS BASICOS</t>
  </si>
  <si>
    <t>Descripcion</t>
  </si>
  <si>
    <t>Telefonía</t>
  </si>
  <si>
    <t>GASTOS DE OPERACIÓN</t>
  </si>
  <si>
    <t xml:space="preserve">TERRENOS Y OBRAS CIVILES </t>
  </si>
  <si>
    <t>COSTO UNITARIO
S/.</t>
  </si>
  <si>
    <r>
      <t>m</t>
    </r>
    <r>
      <rPr>
        <b/>
        <sz val="10"/>
        <rFont val="Calibri"/>
        <family val="2"/>
      </rPr>
      <t>²</t>
    </r>
  </si>
  <si>
    <t>II. INFRAESTRUCTURA PRINCIPAL</t>
  </si>
  <si>
    <r>
      <t>m</t>
    </r>
    <r>
      <rPr>
        <sz val="10"/>
        <rFont val="Calibri"/>
        <family val="2"/>
      </rPr>
      <t>²</t>
    </r>
  </si>
  <si>
    <t>III. INFRAESTRUCTURA COMPLEMENTARIA</t>
  </si>
  <si>
    <t>Unid.</t>
  </si>
  <si>
    <t>TOTAL TERRENOS Y OBRAS CIVILES</t>
  </si>
  <si>
    <t>Se recomienda que para la elaboración del presupuesto de obras civiles, se debe recurrir a los planos, metrados y costos unitarios</t>
  </si>
  <si>
    <t>La información consignada aquí es para fines didácticos</t>
  </si>
  <si>
    <t>MAQUINARIA Y EQUIPO</t>
  </si>
  <si>
    <t>DESCRIPCIÓN</t>
  </si>
  <si>
    <t>VALOR UNITARIO
S/. / unidad</t>
  </si>
  <si>
    <t>TOTAL
S/.</t>
  </si>
  <si>
    <t>MAQUINARIA</t>
  </si>
  <si>
    <t>Impresoras</t>
  </si>
  <si>
    <t>TOTAL MAQUINARIA  Y EQUIPO</t>
  </si>
  <si>
    <t>VEHÍCULOS</t>
  </si>
  <si>
    <t>TOTAL VEHÍCULOS</t>
  </si>
  <si>
    <t>VALOR UNITARIO
S/.</t>
  </si>
  <si>
    <t xml:space="preserve">Escritorios de madera </t>
  </si>
  <si>
    <t>-</t>
  </si>
  <si>
    <t>Telefono</t>
  </si>
  <si>
    <t>Sillas Giratorias</t>
  </si>
  <si>
    <t xml:space="preserve">Licencia Municipal </t>
  </si>
  <si>
    <t>TOTAL INVERSIÓN FIJA INTANGIBLE</t>
  </si>
  <si>
    <t>Hosting</t>
  </si>
  <si>
    <t>INDICE DE PARTICIPACIÓN</t>
  </si>
  <si>
    <t>COSTO TOTAL
S/</t>
  </si>
  <si>
    <t>Asistente administrativo</t>
  </si>
  <si>
    <t>CALCULO DE COSTOS DE PRODUCCION Y OPERACIÓN DEL PROYECTO</t>
  </si>
  <si>
    <t>U.Med</t>
  </si>
  <si>
    <t>Costo total</t>
  </si>
  <si>
    <t>Útiles de oficina y Limpieza</t>
  </si>
  <si>
    <t>Descripción</t>
  </si>
  <si>
    <t>Utiles de Oficina</t>
  </si>
  <si>
    <t>Glob</t>
  </si>
  <si>
    <t>Empaque y Embalaje</t>
  </si>
  <si>
    <t xml:space="preserve">CANTIDAD </t>
  </si>
  <si>
    <t>P.UNIT</t>
  </si>
  <si>
    <t>I. COSTOS DIRECTOS</t>
  </si>
  <si>
    <t>MATERIALES DIRECTOS E INDIRECTOS</t>
  </si>
  <si>
    <t>I. MATERIALES DIRECTOS</t>
  </si>
  <si>
    <t>II. MATERIALES INDIRECTOS</t>
  </si>
  <si>
    <t>TOTAL DE MD Y MI</t>
  </si>
  <si>
    <t>MOD Y MDOI</t>
  </si>
  <si>
    <t>I. MANO DE OBRA DIRECTA</t>
  </si>
  <si>
    <t>Mano de Obra Directa</t>
  </si>
  <si>
    <t>II. MANO DE OBRA INDIRECTA</t>
  </si>
  <si>
    <t>Mano de Obra Indirecta</t>
  </si>
  <si>
    <t>TOTAL DE MOD Y MDOI</t>
  </si>
  <si>
    <t>PRECIO UNITARIO
S/</t>
  </si>
  <si>
    <t>COSTO ANUAL
S/</t>
  </si>
  <si>
    <t>I. GASTOS EN VENTAS</t>
  </si>
  <si>
    <t>Publicidad</t>
  </si>
  <si>
    <t>II. GASTOS ADMINISTRATIVOS</t>
  </si>
  <si>
    <t>Útiles de Oficina</t>
  </si>
  <si>
    <t>TOTAL GASTOS DE OPERACIÓN</t>
  </si>
  <si>
    <t>COSTOS DE PRODUCCIÓN</t>
  </si>
  <si>
    <t>S/. / AÑO</t>
  </si>
  <si>
    <t>II. COSTOS INDIRECTOS</t>
  </si>
  <si>
    <t>TOTAL COSTOS DE PRODUCCION</t>
  </si>
  <si>
    <t>COSTO TOTAL DE PRODUCCION</t>
  </si>
  <si>
    <t>Mes</t>
  </si>
  <si>
    <t xml:space="preserve">Mantenimiento y reparaciones </t>
  </si>
  <si>
    <t>Global</t>
  </si>
  <si>
    <t>Porcentaje del costo y gasto anual</t>
  </si>
  <si>
    <t>ESTRUCTURA DE LA INVERSIÓN</t>
  </si>
  <si>
    <t xml:space="preserve"> TOTAL
S/</t>
  </si>
  <si>
    <t xml:space="preserve">I.INVERSIÓN FIJA </t>
  </si>
  <si>
    <t xml:space="preserve">  I.1. INVERSIÓN FIJA TANGIBLE</t>
  </si>
  <si>
    <t xml:space="preserve">     I.1.1. TERRENOS Y OBRAS CIVILES</t>
  </si>
  <si>
    <t xml:space="preserve">     I.1.2. MAQUINARIA Y EQUIPO</t>
  </si>
  <si>
    <t xml:space="preserve">     I.1.3. VEHICULOS</t>
  </si>
  <si>
    <t xml:space="preserve">     I.1.4. MUEBLES Y ENSERES</t>
  </si>
  <si>
    <t xml:space="preserve">  I.2. INVERSION FIJA INTANGIBLE</t>
  </si>
  <si>
    <t>II. CAPITAL DE TRABAJO</t>
  </si>
  <si>
    <t>TOTAL INVERSIÒN</t>
  </si>
  <si>
    <t>FUENTE: ELABORACION PROPIA</t>
  </si>
  <si>
    <t>III. -</t>
  </si>
  <si>
    <t>IV. -</t>
  </si>
  <si>
    <t xml:space="preserve">  ESTRUCTURA DE FINANCIAMIENTO PLAN DE NEGOCIO</t>
  </si>
  <si>
    <t>APORTE AEO</t>
  </si>
  <si>
    <t>APORTE PROPIO</t>
  </si>
  <si>
    <t>PRESTAMO</t>
  </si>
  <si>
    <t>PORCENTAJE</t>
  </si>
  <si>
    <t>APORTE ESTADO+SOCIOS</t>
  </si>
  <si>
    <t xml:space="preserve"> </t>
  </si>
  <si>
    <t xml:space="preserve">PRERIODO (MESES) </t>
  </si>
  <si>
    <t>TEA</t>
  </si>
  <si>
    <t>Tim</t>
  </si>
  <si>
    <t>CUOTA</t>
  </si>
  <si>
    <t>ESCUDO FISCAL</t>
  </si>
  <si>
    <t>DEL INTERES</t>
  </si>
  <si>
    <t>CUADRO DE SERVICIO A LA DEUDA</t>
  </si>
  <si>
    <t xml:space="preserve">PERIODO </t>
  </si>
  <si>
    <t>SALDO INICIAL</t>
  </si>
  <si>
    <t>AMORTIZACION</t>
  </si>
  <si>
    <t>INTERES</t>
  </si>
  <si>
    <t>SALDO FINAL</t>
  </si>
  <si>
    <t>CUADRO DE SERVICIO A LA DEUDA ANUAL</t>
  </si>
  <si>
    <t>AÑO 1</t>
  </si>
  <si>
    <t>AÑO 2</t>
  </si>
  <si>
    <t>AÑO 3</t>
  </si>
  <si>
    <t>AÑO 4</t>
  </si>
  <si>
    <t>AÑO 5</t>
  </si>
  <si>
    <t>DEPRECIACION DEL ACTIVO FIJO TANGIBLE  Y AMORTIZACION INTANGIBLES</t>
  </si>
  <si>
    <t>Factor de depreciacion</t>
  </si>
  <si>
    <t>DEPRECIACIÓN</t>
  </si>
  <si>
    <t>VALOR
RESIDUAL</t>
  </si>
  <si>
    <t>I. ACTIVO NO DEPRECIADO</t>
  </si>
  <si>
    <t>I.1.1. TERRENOS</t>
  </si>
  <si>
    <t>II. DEPRECIACIÓN DEL ACTIVO FIJO TANGIBLE</t>
  </si>
  <si>
    <t xml:space="preserve">      I.1.2. OBRAS CIVILES</t>
  </si>
  <si>
    <t xml:space="preserve">      I.1.3. MAQUINARIA Y EQUIPO</t>
  </si>
  <si>
    <t xml:space="preserve">      I.1.4. VEHICULOS</t>
  </si>
  <si>
    <t xml:space="preserve">      I.1.5. MUEBLES Y ENSERES</t>
  </si>
  <si>
    <t>III. AMORTIZACIÓN INTANGIBLES</t>
  </si>
  <si>
    <t>II.1.INVERSIÓN FIJA INTANGIBLE</t>
  </si>
  <si>
    <t>TOTAL ( II + III)</t>
  </si>
  <si>
    <t>PRESUPUESTO DE EGRESOS (OPERACIÓN)</t>
  </si>
  <si>
    <t>I. COSTOS DE PRODUCCIÓN</t>
  </si>
  <si>
    <t>I.1. COSTOS DIRECTOS</t>
  </si>
  <si>
    <t>I.1.1. MATERIALES DIRECTOS</t>
  </si>
  <si>
    <t>I.1.2. MANO DE OBRA DIRECTA.</t>
  </si>
  <si>
    <t>I.2. COSTOS INDIRECTOS</t>
  </si>
  <si>
    <t>I.2.1. MANO DE OBRA INDIRECTA.</t>
  </si>
  <si>
    <t>I.2.3. MATERIALES INDIRECTOS</t>
  </si>
  <si>
    <t>II. GASTOS DE OPERACIÓN</t>
  </si>
  <si>
    <t>II.1. GASTOS DE VENTA</t>
  </si>
  <si>
    <t>II.2. GASTOS ADMINISTRATIVOS</t>
  </si>
  <si>
    <t>III. DEPRECIACIÒN DE ACT.FIJO Y AMORTIZACION INTANG.</t>
  </si>
  <si>
    <t>IV. GASTOS FINANCIEROS</t>
  </si>
  <si>
    <t>PAGO DEL PRÉSTAMO</t>
  </si>
  <si>
    <t>TOTAL EGRESOS</t>
  </si>
  <si>
    <t>Costos Totales</t>
  </si>
  <si>
    <t>Produccion TM</t>
  </si>
  <si>
    <t>costo promedio unitario/TM</t>
  </si>
  <si>
    <t>PLAN DE PRODUCCION</t>
  </si>
  <si>
    <t>PLAN DE VENTAS</t>
  </si>
  <si>
    <t>AÑO</t>
  </si>
  <si>
    <t>PRODUCCION POR MES (TM / mes)</t>
  </si>
  <si>
    <t>CANTIDAD TOTAL</t>
  </si>
  <si>
    <t>CANTIDAD TOTAL
TM</t>
  </si>
  <si>
    <t>VALOR DE VENTA UNITARIO
US$ / TM</t>
  </si>
  <si>
    <t>TOTAL
US$</t>
  </si>
  <si>
    <t>TOTAL S/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</si>
  <si>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</si>
  <si>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</si>
  <si>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</si>
  <si>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</si>
  <si>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</si>
  <si>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</si>
  <si>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</si>
  <si>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</si>
  <si>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</si>
  <si>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</si>
  <si>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</si>
  <si>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</si>
  <si>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Tipo de cambio</t>
  </si>
  <si>
    <t>ESTADO DE RESULTADOS CON FINANCIAMIENTO</t>
  </si>
  <si>
    <t>ESTADO DE RESULTADOS SIN FINANCIAMIENTO</t>
  </si>
  <si>
    <t>I. INGRESOS (VENTAS)</t>
  </si>
  <si>
    <t>INGRESOS EXTRAORDINARIOS</t>
  </si>
  <si>
    <t>II. COSTOS DE PRODUCCIÒN</t>
  </si>
  <si>
    <t>III. UTILIDAD BRUTA</t>
  </si>
  <si>
    <t>IV. GASTOS DE OPERACIÒN</t>
  </si>
  <si>
    <t xml:space="preserve">     GASTOS DE VENTA</t>
  </si>
  <si>
    <t xml:space="preserve">     GASTOS ADMINISTRATIVOS</t>
  </si>
  <si>
    <t>V. DEPRECIACIÒN DE A.F. Y AMORT. INTANG</t>
  </si>
  <si>
    <t>VI. UTILIDAD OPERATIVA</t>
  </si>
  <si>
    <t>VII. GASTOS FINANCIEROS (pago del prestamo)</t>
  </si>
  <si>
    <t>IX. IMPUESTO A LA RENTA ( 30 % )</t>
  </si>
  <si>
    <t>VIII. UTILIDAD ANTES DE IMPUESTO</t>
  </si>
  <si>
    <t>UTILIDAD NETA</t>
  </si>
  <si>
    <t>IX. IMPUESTO A LA RENTA ( 30% )</t>
  </si>
  <si>
    <t>INVERSION</t>
  </si>
  <si>
    <t>PUNTO DE EQUILIBRIO</t>
  </si>
  <si>
    <t>RUBROS</t>
  </si>
  <si>
    <t>COSTOS FIJOS.</t>
  </si>
  <si>
    <t>cf</t>
  </si>
  <si>
    <t>DEPRECIACIÒN DE A.F. Y AMORT. INTANG</t>
  </si>
  <si>
    <t>GASTOS FINANCIEROS</t>
  </si>
  <si>
    <t>GASTOS ADMINISTRATIVOS</t>
  </si>
  <si>
    <t>COSTOS VARIABLES</t>
  </si>
  <si>
    <t>COSTOS DE PRODUCCIÒN</t>
  </si>
  <si>
    <t>GASTOS DE VENTA</t>
  </si>
  <si>
    <t>COSTOS TOTALES</t>
  </si>
  <si>
    <t>VENTAS  PROMEDIO (Q)</t>
  </si>
  <si>
    <t>vt</t>
  </si>
  <si>
    <t>COSTO VARIABLE UNITARIO (CVu)</t>
  </si>
  <si>
    <t>PRECIO DE VENTA UNITARIO</t>
  </si>
  <si>
    <t>PUNTO DE EQUILIBRIO (Q)</t>
  </si>
  <si>
    <t>PUNTO DE EQUILIBRIO (S/.)</t>
  </si>
  <si>
    <t>PE(Q) = CF/(Pu-Cvu)</t>
  </si>
  <si>
    <t>PE (S/.) = CF/(1-CV/VENTAS)</t>
  </si>
  <si>
    <t>COSTOS FIJOS</t>
  </si>
  <si>
    <t>Nota: Para el 2024 el Impuesto ala Renta es 30%</t>
  </si>
  <si>
    <t>FLUJO DE CAJA ECONÓMICO Y FINANCIERO</t>
  </si>
  <si>
    <t>I. INGRESOS</t>
  </si>
  <si>
    <t xml:space="preserve"> INGRESOS POR VENTA</t>
  </si>
  <si>
    <t>VALOR RESIDUAL</t>
  </si>
  <si>
    <t>RECUPERO DE CAPITAL</t>
  </si>
  <si>
    <t>II. EGRESOS</t>
  </si>
  <si>
    <t>II.1. INVERSIÓN FIJA AÑO 0</t>
  </si>
  <si>
    <t xml:space="preserve">      II.1.1 INVERSIÓN FIJA TANGIBLE</t>
  </si>
  <si>
    <t xml:space="preserve">      II.1.2 INVERSIÓN FIJA INTANGIBLE</t>
  </si>
  <si>
    <t xml:space="preserve">      II.1.3 CAPITAL DE TRABAJO</t>
  </si>
  <si>
    <t>II.2. COSTOS DE PRODUCCIÒN</t>
  </si>
  <si>
    <t>II.3. GASTOS DE OPERACIÓN</t>
  </si>
  <si>
    <t>II.4. IMPUESTO A LA RENTA</t>
  </si>
  <si>
    <t>FLUJO DE CAJA ECONÒMICO</t>
  </si>
  <si>
    <t>PRÉSTAMO</t>
  </si>
  <si>
    <t>SERVICIO DE DEUDA</t>
  </si>
  <si>
    <t>FLUJO DE CAJA FINANCIERO</t>
  </si>
  <si>
    <t>ELABORACION PROPIA</t>
  </si>
  <si>
    <t>DATOS</t>
  </si>
  <si>
    <t>VALORES</t>
  </si>
  <si>
    <t>COK</t>
  </si>
  <si>
    <t>VANE</t>
  </si>
  <si>
    <t>Numero de periodos</t>
  </si>
  <si>
    <t>WACC</t>
  </si>
  <si>
    <t>VANF</t>
  </si>
  <si>
    <t>Tipo de periodo</t>
  </si>
  <si>
    <t>Anual</t>
  </si>
  <si>
    <t>TIRE</t>
  </si>
  <si>
    <t>Tasa de descuento WACC</t>
  </si>
  <si>
    <t>TIRF</t>
  </si>
  <si>
    <t>CALCULO DEL VALOR ACTUAL NETO ECONOMICO (VANE)</t>
  </si>
  <si>
    <t>CALCULO TASA INTERNA DE RETORNO ECONOMICO</t>
  </si>
  <si>
    <t>CALCULO DEL VALOR ACTUAL NETO FINANCIERO (VANF)</t>
  </si>
  <si>
    <t>CALCULO TASA INTERNA DE RETORNO FINANCIERA</t>
  </si>
  <si>
    <t>INDICADOR BENEFICIO/COSTO</t>
  </si>
  <si>
    <t>Periodo (n)</t>
  </si>
  <si>
    <t>Flujo de caja economico
(FC)</t>
  </si>
  <si>
    <r>
      <t>(1+r)</t>
    </r>
    <r>
      <rPr>
        <sz val="10"/>
        <color indexed="8"/>
        <rFont val="Arial"/>
        <family val="2"/>
      </rPr>
      <t>ⁿ</t>
    </r>
  </si>
  <si>
    <t>FC / (1+r)ⁿ</t>
  </si>
  <si>
    <t>Tasa de descuento</t>
  </si>
  <si>
    <t>Flujo de caja financiero
(FC)</t>
  </si>
  <si>
    <t>INDICE BENEFICIO/COSTO</t>
  </si>
  <si>
    <t>BENEFICIOS</t>
  </si>
  <si>
    <t>COSTOS</t>
  </si>
  <si>
    <t>FACTOR DE ACTUALIZACION</t>
  </si>
  <si>
    <t>BENEFICIOS ACTUALIZADOS</t>
  </si>
  <si>
    <t>COSTOS ACTUALIZADOS</t>
  </si>
  <si>
    <t>FLUJO ECONOMICO ACTUALIZADO</t>
  </si>
  <si>
    <t>INDICADOS BENEFICIO/COSTO</t>
  </si>
  <si>
    <t xml:space="preserve">VANE = </t>
  </si>
  <si>
    <t>INDICE DE RENTABILIDAD</t>
  </si>
  <si>
    <t>TIRE =</t>
  </si>
  <si>
    <t>TIRF =</t>
  </si>
  <si>
    <t>EVALUACION ECONOMICA</t>
  </si>
  <si>
    <t>EVALUACION FINANCIERA</t>
  </si>
  <si>
    <t>FCE</t>
  </si>
  <si>
    <t>FAS</t>
  </si>
  <si>
    <t>VAN</t>
  </si>
  <si>
    <t>FCF</t>
  </si>
  <si>
    <t>PUNTO DE QUIEBRE UTILIZANDO EL METODO DE ANALISIS DE SENSIBILIDAD</t>
  </si>
  <si>
    <t xml:space="preserve">CAIDA DEL 10% DE LA PRODUCCION  </t>
  </si>
  <si>
    <t>VARIABLES</t>
  </si>
  <si>
    <t>VARIACION</t>
  </si>
  <si>
    <t>VANE INICIAL</t>
  </si>
  <si>
    <t>TIRE INICIAL</t>
  </si>
  <si>
    <t>VAN FINAL</t>
  </si>
  <si>
    <t>TIR FINAL</t>
  </si>
  <si>
    <t>SITUACION INICIAL</t>
  </si>
  <si>
    <t>Caida del 10% de la produccion</t>
  </si>
  <si>
    <t>Caida del 4% de la produccion</t>
  </si>
  <si>
    <t>Caida del 5% del precio</t>
  </si>
  <si>
    <t>Caida del 10% del precio</t>
  </si>
  <si>
    <t>Caida del 11% del precio</t>
  </si>
  <si>
    <t xml:space="preserve">CAIDA DEL 4% DE LA PRODUCCION  </t>
  </si>
  <si>
    <t xml:space="preserve">CAIDA DEL 5% DEL PRECIO </t>
  </si>
  <si>
    <t xml:space="preserve">CAIDA DEL 10% DEL PRECIO </t>
  </si>
  <si>
    <t xml:space="preserve">CAIDA DEL 11% DEL PRECIO </t>
  </si>
  <si>
    <t xml:space="preserve">      II.1.4 -</t>
  </si>
  <si>
    <t xml:space="preserve">      II.1.5 -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</si>
</sst>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7">
    <numFmt numFmtId="43" formatCode="_-* #,##0.00_-;\-* #,##0.00_-;_-* &quot;-&quot;??_-;_-@_-"/>
    <numFmt numFmtId="164" formatCode="_(* #,##0.00_);_(* \(#,##0.00\);_(* &quot;-&quot;??_);_(@_)"/>
    <numFmt numFmtId="165" formatCode="_ * #,##0.00_ ;_ * \-#,##0.00_ ;_ * &quot;-&quot;??_ ;_ @_ "/>
    <numFmt numFmtId="166" formatCode="#,##0.00_ ;[Red]\-#,##0.00\ "/>
    <numFmt numFmtId="167" formatCode="_(* #,##0_);_(* \(#,##0\);_(* &quot;-&quot;??_);_(@_)"/>
    <numFmt numFmtId="168" formatCode="0.000"/>
    <numFmt numFmtId="169" formatCode="0.0000"/>
    <numFmt numFmtId="170" formatCode="0.00000"/>
    <numFmt numFmtId="171" formatCode="&quot;S/.&quot;\ #,##0.00;[Red]&quot;S/.&quot;\ #,##0.00"/>
    <numFmt numFmtId="172" formatCode="_ * #,##0.000000_ ;_ * \-#,##0.000000_ ;_ * &quot;-&quot;??_ ;_ @_ "/>
    <numFmt numFmtId="173" formatCode="_-* #,##0.0000\ _€_-;\-* #,##0.0000\ _€_-;_-* &quot;-&quot;??\ _€_-;_-@_-"/>
    <numFmt numFmtId="174" formatCode="0.0000000"/>
    <numFmt numFmtId="175" formatCode="&quot;S.&quot;\ #,##0.00_);[Red]\(&quot;S.&quot;\ #,##0.00\)"/>
    <numFmt numFmtId="176" formatCode="#,##0.00000000"/>
    <numFmt numFmtId="177" formatCode="#,##0.0000000000"/>
    <numFmt numFmtId="178" formatCode="_(* #,##0.000000_);_(* \(#,##0.000000\);_(* &quot;-&quot;??_);_(@_)"/>
    <numFmt numFmtId="179" formatCode="0.0%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 Narrow"/>
      <family val="2"/>
    </font>
    <font>
      <b/>
      <sz val="10"/>
      <name val="Calibri"/>
      <family val="2"/>
    </font>
    <font>
      <sz val="10"/>
      <color theme="1"/>
      <name val="Arial Narrow"/>
      <family val="2"/>
    </font>
    <font>
      <sz val="10"/>
      <name val="Calibri"/>
      <family val="2"/>
    </font>
    <font>
      <sz val="14"/>
      <name val="Arial"/>
      <family val="2"/>
    </font>
    <font>
      <b/>
      <u/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8"/>
      <name val="Arial"/>
      <family val="2"/>
    </font>
    <font>
      <sz val="9"/>
      <name val="Arial"/>
      <family val="2"/>
    </font>
    <font>
      <sz val="10"/>
      <color theme="2"/>
      <name val="Arial"/>
      <family val="2"/>
    </font>
    <font>
      <b/>
      <sz val="9"/>
      <name val="Arial"/>
      <family val="2"/>
    </font>
    <font>
      <b/>
      <sz val="10"/>
      <color theme="1"/>
      <name val="Calibri"/>
      <family val="2"/>
      <scheme val="minor"/>
    </font>
    <font>
      <b/>
      <sz val="9"/>
      <name val="Calibri"/>
      <family val="2"/>
      <scheme val="minor"/>
    </font>
    <font>
      <b/>
      <sz val="10"/>
      <color theme="1"/>
      <name val="Arial"/>
      <family val="2"/>
    </font>
    <font>
      <sz val="10"/>
      <color indexed="8"/>
      <name val="Arial"/>
      <family val="2"/>
    </font>
    <font>
      <sz val="10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384">
    <xf numFmtId="0" fontId="0" fillId="0" borderId="0" xfId="0"/>
    <xf numFmtId="0" fontId="2" fillId="0" borderId="1" xfId="0" applyFont="1" applyBorder="1"/>
    <xf numFmtId="0" fontId="3" fillId="0" borderId="1" xfId="0" applyFont="1" applyBorder="1"/>
    <xf numFmtId="43" fontId="3" fillId="0" borderId="1" xfId="1" applyFont="1" applyFill="1" applyBorder="1"/>
    <xf numFmtId="0" fontId="3" fillId="0" borderId="1" xfId="0" applyFont="1" applyBorder="1" applyAlignment="1">
      <alignment horizontal="center"/>
    </xf>
    <xf numFmtId="4" fontId="3" fillId="0" borderId="1" xfId="0" applyNumberFormat="1" applyFont="1" applyBorder="1" applyAlignment="1">
      <alignment horizontal="right"/>
    </xf>
    <xf numFmtId="43" fontId="3" fillId="0" borderId="1" xfId="1" applyFont="1" applyFill="1" applyBorder="1" applyAlignment="1">
      <alignment horizontal="center"/>
    </xf>
    <xf numFmtId="0" fontId="2" fillId="2" borderId="2" xfId="0" applyFont="1" applyFill="1" applyBorder="1"/>
    <xf numFmtId="0" fontId="2" fillId="2" borderId="1" xfId="0" applyFont="1" applyFill="1" applyBorder="1"/>
    <xf numFmtId="164" fontId="2" fillId="2" borderId="2" xfId="0" applyNumberFormat="1" applyFont="1" applyFill="1" applyBorder="1"/>
    <xf numFmtId="0" fontId="3" fillId="0" borderId="1" xfId="0" applyFont="1" applyBorder="1" applyAlignment="1">
      <alignment horizontal="left" indent="1"/>
    </xf>
    <xf numFmtId="0" fontId="2" fillId="2" borderId="1" xfId="0" applyFont="1" applyFill="1" applyBorder="1" applyAlignment="1">
      <alignment horizontal="center"/>
    </xf>
    <xf numFmtId="43" fontId="2" fillId="2" borderId="1" xfId="1" applyFont="1" applyFill="1" applyBorder="1"/>
    <xf numFmtId="43" fontId="2" fillId="3" borderId="1" xfId="1" applyFont="1" applyFill="1" applyBorder="1"/>
    <xf numFmtId="0" fontId="4" fillId="0" borderId="0" xfId="0" applyFont="1"/>
    <xf numFmtId="0" fontId="2" fillId="3" borderId="3" xfId="0" applyFont="1" applyFill="1" applyBorder="1" applyAlignment="1">
      <alignment horizontal="left"/>
    </xf>
    <xf numFmtId="0" fontId="2" fillId="3" borderId="4" xfId="0" applyFont="1" applyFill="1" applyBorder="1" applyAlignment="1">
      <alignment horizontal="left"/>
    </xf>
    <xf numFmtId="0" fontId="2" fillId="3" borderId="5" xfId="0" applyFont="1" applyFill="1" applyBorder="1" applyAlignment="1">
      <alignment horizontal="left"/>
    </xf>
    <xf numFmtId="0" fontId="0" fillId="2" borderId="0" xfId="0" applyFill="1"/>
    <xf numFmtId="0" fontId="3" fillId="2" borderId="0" xfId="0" applyFont="1" applyFill="1"/>
    <xf numFmtId="0" fontId="0" fillId="2" borderId="0" xfId="0" applyFill="1" applyAlignment="1">
      <alignment wrapText="1"/>
    </xf>
    <xf numFmtId="0" fontId="2" fillId="3" borderId="1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wrapText="1"/>
    </xf>
    <xf numFmtId="0" fontId="5" fillId="2" borderId="0" xfId="0" applyFont="1" applyFill="1" applyBorder="1" applyAlignment="1">
      <alignment horizontal="center" wrapText="1"/>
    </xf>
    <xf numFmtId="0" fontId="5" fillId="2" borderId="0" xfId="0" applyFont="1" applyFill="1" applyBorder="1" applyAlignment="1">
      <alignment horizontal="center" vertical="center" wrapText="1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4" fontId="2" fillId="2" borderId="1" xfId="0" applyNumberFormat="1" applyFont="1" applyFill="1" applyBorder="1"/>
    <xf numFmtId="0" fontId="5" fillId="2" borderId="0" xfId="0" applyFont="1" applyFill="1" applyBorder="1" applyAlignment="1"/>
    <xf numFmtId="0" fontId="3" fillId="2" borderId="1" xfId="0" applyFont="1" applyFill="1" applyBorder="1"/>
    <xf numFmtId="3" fontId="2" fillId="2" borderId="1" xfId="0" applyNumberFormat="1" applyFont="1" applyFill="1" applyBorder="1"/>
    <xf numFmtId="0" fontId="5" fillId="2" borderId="0" xfId="0" applyFont="1" applyFill="1" applyBorder="1"/>
    <xf numFmtId="0" fontId="7" fillId="2" borderId="0" xfId="0" applyFont="1" applyFill="1" applyBorder="1" applyAlignment="1">
      <alignment horizontal="center"/>
    </xf>
    <xf numFmtId="0" fontId="7" fillId="2" borderId="0" xfId="0" applyFont="1" applyFill="1" applyBorder="1"/>
    <xf numFmtId="165" fontId="5" fillId="2" borderId="0" xfId="3" applyNumberFormat="1" applyFont="1" applyFill="1" applyBorder="1"/>
    <xf numFmtId="0" fontId="0" fillId="2" borderId="0" xfId="0" applyFont="1" applyFill="1" applyBorder="1"/>
    <xf numFmtId="0" fontId="3" fillId="0" borderId="1" xfId="0" applyFont="1" applyBorder="1" applyAlignment="1">
      <alignment vertical="center" wrapText="1"/>
    </xf>
    <xf numFmtId="0" fontId="3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4" fontId="3" fillId="0" borderId="1" xfId="0" applyNumberFormat="1" applyFont="1" applyBorder="1" applyAlignment="1">
      <alignment vertical="center"/>
    </xf>
    <xf numFmtId="43" fontId="3" fillId="2" borderId="1" xfId="1" applyFont="1" applyFill="1" applyBorder="1"/>
    <xf numFmtId="43" fontId="3" fillId="2" borderId="1" xfId="1" applyFont="1" applyFill="1" applyBorder="1" applyAlignment="1">
      <alignment vertical="center"/>
    </xf>
    <xf numFmtId="165" fontId="7" fillId="2" borderId="0" xfId="3" applyNumberFormat="1" applyFont="1" applyFill="1" applyBorder="1"/>
    <xf numFmtId="165" fontId="7" fillId="2" borderId="0" xfId="3" applyFont="1" applyFill="1" applyBorder="1"/>
    <xf numFmtId="0" fontId="7" fillId="2" borderId="0" xfId="0" applyFont="1" applyFill="1" applyBorder="1" applyAlignment="1">
      <alignment wrapText="1"/>
    </xf>
    <xf numFmtId="0" fontId="3" fillId="0" borderId="1" xfId="0" applyFont="1" applyBorder="1" applyAlignment="1">
      <alignment vertical="center"/>
    </xf>
    <xf numFmtId="164" fontId="2" fillId="2" borderId="0" xfId="0" applyNumberFormat="1" applyFont="1" applyFill="1"/>
    <xf numFmtId="0" fontId="3" fillId="2" borderId="0" xfId="0" applyFont="1" applyFill="1" applyBorder="1"/>
    <xf numFmtId="0" fontId="0" fillId="2" borderId="0" xfId="0" applyFill="1" applyBorder="1"/>
    <xf numFmtId="0" fontId="2" fillId="3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wrapText="1"/>
    </xf>
    <xf numFmtId="0" fontId="2" fillId="2" borderId="0" xfId="0" applyFont="1" applyFill="1" applyBorder="1" applyAlignment="1">
      <alignment horizontal="center" wrapText="1"/>
    </xf>
    <xf numFmtId="3" fontId="3" fillId="2" borderId="1" xfId="0" applyNumberFormat="1" applyFont="1" applyFill="1" applyBorder="1" applyAlignment="1">
      <alignment horizontal="center"/>
    </xf>
    <xf numFmtId="43" fontId="2" fillId="2" borderId="1" xfId="1" applyFont="1" applyFill="1" applyBorder="1" applyAlignment="1">
      <alignment horizontal="center"/>
    </xf>
    <xf numFmtId="0" fontId="3" fillId="0" borderId="1" xfId="0" applyFont="1" applyBorder="1" applyAlignment="1">
      <alignment horizontal="left" vertical="center" indent="1"/>
    </xf>
    <xf numFmtId="3" fontId="3" fillId="0" borderId="1" xfId="0" applyNumberFormat="1" applyFont="1" applyBorder="1" applyAlignment="1">
      <alignment horizontal="center" vertical="center"/>
    </xf>
    <xf numFmtId="43" fontId="3" fillId="2" borderId="1" xfId="1" applyFont="1" applyFill="1" applyBorder="1" applyAlignment="1">
      <alignment horizontal="center"/>
    </xf>
    <xf numFmtId="3" fontId="2" fillId="2" borderId="1" xfId="0" applyNumberFormat="1" applyFont="1" applyFill="1" applyBorder="1" applyAlignment="1">
      <alignment horizontal="center"/>
    </xf>
    <xf numFmtId="0" fontId="2" fillId="2" borderId="0" xfId="0" applyFont="1" applyFill="1" applyBorder="1"/>
    <xf numFmtId="43" fontId="3" fillId="2" borderId="0" xfId="1" applyFont="1" applyFill="1" applyBorder="1"/>
    <xf numFmtId="3" fontId="3" fillId="0" borderId="1" xfId="0" applyNumberFormat="1" applyFont="1" applyBorder="1" applyAlignment="1">
      <alignment horizontal="center"/>
    </xf>
    <xf numFmtId="43" fontId="2" fillId="3" borderId="1" xfId="1" applyFont="1" applyFill="1" applyBorder="1" applyAlignment="1">
      <alignment horizontal="center"/>
    </xf>
    <xf numFmtId="165" fontId="0" fillId="2" borderId="0" xfId="0" applyNumberFormat="1" applyFill="1"/>
    <xf numFmtId="0" fontId="2" fillId="2" borderId="0" xfId="0" applyFont="1" applyFill="1" applyAlignment="1">
      <alignment wrapText="1"/>
    </xf>
    <xf numFmtId="0" fontId="2" fillId="3" borderId="8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wrapText="1"/>
    </xf>
    <xf numFmtId="0" fontId="3" fillId="0" borderId="1" xfId="0" applyFont="1" applyBorder="1" applyAlignment="1">
      <alignment horizontal="left" wrapText="1" indent="1"/>
    </xf>
    <xf numFmtId="0" fontId="3" fillId="0" borderId="1" xfId="0" applyFont="1" applyBorder="1" applyAlignment="1">
      <alignment wrapText="1"/>
    </xf>
    <xf numFmtId="43" fontId="3" fillId="0" borderId="1" xfId="1" applyFont="1" applyBorder="1" applyAlignment="1">
      <alignment wrapText="1"/>
    </xf>
    <xf numFmtId="43" fontId="3" fillId="2" borderId="1" xfId="1" applyFont="1" applyFill="1" applyBorder="1" applyAlignment="1">
      <alignment wrapText="1"/>
    </xf>
    <xf numFmtId="43" fontId="3" fillId="0" borderId="1" xfId="1" applyFont="1" applyBorder="1"/>
    <xf numFmtId="43" fontId="3" fillId="2" borderId="2" xfId="1" applyFont="1" applyFill="1" applyBorder="1" applyAlignment="1">
      <alignment horizontal="center"/>
    </xf>
    <xf numFmtId="0" fontId="9" fillId="2" borderId="0" xfId="0" applyFont="1" applyFill="1" applyBorder="1"/>
    <xf numFmtId="0" fontId="0" fillId="2" borderId="1" xfId="0" applyFill="1" applyBorder="1"/>
    <xf numFmtId="0" fontId="0" fillId="2" borderId="0" xfId="0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43" fontId="3" fillId="0" borderId="5" xfId="1" applyFont="1" applyBorder="1"/>
    <xf numFmtId="165" fontId="7" fillId="2" borderId="0" xfId="0" applyNumberFormat="1" applyFont="1" applyFill="1" applyBorder="1"/>
    <xf numFmtId="43" fontId="3" fillId="0" borderId="1" xfId="1" applyFont="1" applyBorder="1" applyAlignment="1">
      <alignment vertical="center"/>
    </xf>
    <xf numFmtId="0" fontId="3" fillId="0" borderId="1" xfId="0" applyFont="1" applyFill="1" applyBorder="1" applyAlignment="1">
      <alignment horizontal="left" indent="1"/>
    </xf>
    <xf numFmtId="0" fontId="7" fillId="2" borderId="0" xfId="0" applyFont="1" applyFill="1" applyBorder="1" applyAlignment="1"/>
    <xf numFmtId="0" fontId="2" fillId="3" borderId="1" xfId="0" applyFont="1" applyFill="1" applyBorder="1"/>
    <xf numFmtId="0" fontId="2" fillId="3" borderId="1" xfId="0" applyFont="1" applyFill="1" applyBorder="1" applyAlignment="1">
      <alignment horizontal="center" wrapText="1"/>
    </xf>
    <xf numFmtId="43" fontId="2" fillId="2" borderId="2" xfId="1" applyFont="1" applyFill="1" applyBorder="1"/>
    <xf numFmtId="0" fontId="0" fillId="0" borderId="1" xfId="0" applyBorder="1" applyAlignment="1">
      <alignment horizontal="center"/>
    </xf>
    <xf numFmtId="43" fontId="0" fillId="0" borderId="1" xfId="1" applyFont="1" applyBorder="1" applyAlignment="1">
      <alignment horizontal="center"/>
    </xf>
    <xf numFmtId="0" fontId="3" fillId="0" borderId="9" xfId="0" applyFont="1" applyFill="1" applyBorder="1" applyAlignment="1">
      <alignment horizontal="left" indent="1"/>
    </xf>
    <xf numFmtId="0" fontId="3" fillId="0" borderId="9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left" indent="1"/>
    </xf>
    <xf numFmtId="0" fontId="10" fillId="2" borderId="0" xfId="0" applyFont="1" applyFill="1"/>
    <xf numFmtId="0" fontId="0" fillId="2" borderId="0" xfId="0" applyFill="1" applyAlignment="1">
      <alignment horizontal="center"/>
    </xf>
    <xf numFmtId="0" fontId="2" fillId="4" borderId="1" xfId="0" applyFont="1" applyFill="1" applyBorder="1" applyAlignment="1">
      <alignment horizontal="center" vertical="center" wrapText="1"/>
    </xf>
    <xf numFmtId="43" fontId="3" fillId="0" borderId="1" xfId="1" applyFont="1" applyBorder="1" applyAlignment="1">
      <alignment horizontal="center" vertical="center"/>
    </xf>
    <xf numFmtId="164" fontId="2" fillId="4" borderId="1" xfId="0" applyNumberFormat="1" applyFont="1" applyFill="1" applyBorder="1"/>
    <xf numFmtId="0" fontId="3" fillId="0" borderId="1" xfId="0" applyFont="1" applyFill="1" applyBorder="1" applyAlignment="1">
      <alignment horizontal="left" wrapText="1" indent="1"/>
    </xf>
    <xf numFmtId="43" fontId="3" fillId="0" borderId="1" xfId="1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2" fillId="5" borderId="8" xfId="0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vertical="center" wrapText="1"/>
    </xf>
    <xf numFmtId="0" fontId="2" fillId="5" borderId="10" xfId="0" applyFont="1" applyFill="1" applyBorder="1" applyAlignment="1">
      <alignment vertical="center" wrapText="1"/>
    </xf>
    <xf numFmtId="0" fontId="2" fillId="5" borderId="10" xfId="0" applyFont="1" applyFill="1" applyBorder="1" applyAlignment="1">
      <alignment horizontal="center" vertical="center" wrapText="1"/>
    </xf>
    <xf numFmtId="43" fontId="2" fillId="0" borderId="1" xfId="1" applyFont="1" applyBorder="1"/>
    <xf numFmtId="3" fontId="3" fillId="0" borderId="1" xfId="0" applyNumberFormat="1" applyFont="1" applyBorder="1" applyAlignment="1">
      <alignment horizontal="right"/>
    </xf>
    <xf numFmtId="4" fontId="3" fillId="0" borderId="1" xfId="1" applyNumberFormat="1" applyFont="1" applyBorder="1" applyAlignment="1">
      <alignment horizontal="right"/>
    </xf>
    <xf numFmtId="0" fontId="3" fillId="2" borderId="1" xfId="0" applyFont="1" applyFill="1" applyBorder="1" applyAlignment="1">
      <alignment horizontal="left" vertical="center" indent="1"/>
    </xf>
    <xf numFmtId="0" fontId="3" fillId="0" borderId="0" xfId="0" applyFont="1" applyBorder="1" applyAlignment="1">
      <alignment horizontal="left" indent="1"/>
    </xf>
    <xf numFmtId="0" fontId="3" fillId="0" borderId="0" xfId="0" applyFont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4" fontId="3" fillId="0" borderId="0" xfId="1" applyNumberFormat="1" applyFont="1" applyBorder="1" applyAlignment="1">
      <alignment horizontal="center"/>
    </xf>
    <xf numFmtId="43" fontId="3" fillId="0" borderId="0" xfId="1" applyFont="1" applyBorder="1"/>
    <xf numFmtId="0" fontId="2" fillId="5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vertical="center" wrapText="1"/>
    </xf>
    <xf numFmtId="164" fontId="3" fillId="0" borderId="1" xfId="0" applyNumberFormat="1" applyFont="1" applyBorder="1" applyAlignment="1">
      <alignment horizontal="center" vertical="center"/>
    </xf>
    <xf numFmtId="4" fontId="3" fillId="0" borderId="1" xfId="0" applyNumberFormat="1" applyFont="1" applyBorder="1" applyAlignment="1">
      <alignment horizontal="right" vertical="center"/>
    </xf>
    <xf numFmtId="4" fontId="3" fillId="0" borderId="1" xfId="1" applyNumberFormat="1" applyFont="1" applyBorder="1" applyAlignment="1">
      <alignment horizontal="right" vertical="center"/>
    </xf>
    <xf numFmtId="43" fontId="2" fillId="0" borderId="1" xfId="1" applyFont="1" applyBorder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4" fontId="3" fillId="2" borderId="1" xfId="1" applyNumberFormat="1" applyFont="1" applyFill="1" applyBorder="1" applyAlignment="1">
      <alignment horizontal="right" vertical="center"/>
    </xf>
    <xf numFmtId="43" fontId="2" fillId="5" borderId="1" xfId="1" applyFont="1" applyFill="1" applyBorder="1"/>
    <xf numFmtId="4" fontId="3" fillId="2" borderId="1" xfId="0" applyNumberFormat="1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4" fontId="3" fillId="0" borderId="1" xfId="1" applyNumberFormat="1" applyFont="1" applyBorder="1" applyAlignment="1">
      <alignment horizontal="center" vertical="center"/>
    </xf>
    <xf numFmtId="4" fontId="0" fillId="2" borderId="1" xfId="0" applyNumberFormat="1" applyFill="1" applyBorder="1" applyAlignment="1">
      <alignment vertical="center"/>
    </xf>
    <xf numFmtId="0" fontId="2" fillId="4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43" fontId="2" fillId="2" borderId="1" xfId="1" applyFont="1" applyFill="1" applyBorder="1" applyAlignment="1">
      <alignment vertical="center"/>
    </xf>
    <xf numFmtId="43" fontId="3" fillId="2" borderId="5" xfId="1" applyFont="1" applyFill="1" applyBorder="1"/>
    <xf numFmtId="165" fontId="2" fillId="4" borderId="1" xfId="0" applyNumberFormat="1" applyFont="1" applyFill="1" applyBorder="1"/>
    <xf numFmtId="0" fontId="2" fillId="3" borderId="1" xfId="0" applyFont="1" applyFill="1" applyBorder="1" applyAlignment="1">
      <alignment horizontal="center" vertical="center" wrapText="1"/>
    </xf>
    <xf numFmtId="4" fontId="3" fillId="2" borderId="1" xfId="1" applyNumberFormat="1" applyFont="1" applyFill="1" applyBorder="1" applyAlignment="1">
      <alignment vertical="center"/>
    </xf>
    <xf numFmtId="0" fontId="2" fillId="6" borderId="1" xfId="0" applyFont="1" applyFill="1" applyBorder="1" applyAlignment="1">
      <alignment vertical="center"/>
    </xf>
    <xf numFmtId="43" fontId="2" fillId="6" borderId="1" xfId="0" applyNumberFormat="1" applyFont="1" applyFill="1" applyBorder="1" applyAlignment="1">
      <alignment horizontal="right" vertical="center"/>
    </xf>
    <xf numFmtId="4" fontId="0" fillId="2" borderId="1" xfId="0" applyNumberFormat="1" applyFill="1" applyBorder="1"/>
    <xf numFmtId="4" fontId="0" fillId="2" borderId="1" xfId="0" applyNumberFormat="1" applyFill="1" applyBorder="1" applyAlignment="1">
      <alignment horizontal="right" vertical="center"/>
    </xf>
    <xf numFmtId="43" fontId="3" fillId="0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 wrapText="1" indent="1"/>
    </xf>
    <xf numFmtId="0" fontId="0" fillId="2" borderId="1" xfId="0" applyFill="1" applyBorder="1" applyAlignment="1">
      <alignment vertical="center"/>
    </xf>
    <xf numFmtId="0" fontId="0" fillId="2" borderId="1" xfId="0" applyFill="1" applyBorder="1" applyAlignment="1">
      <alignment horizontal="left" wrapText="1" indent="1"/>
    </xf>
    <xf numFmtId="4" fontId="2" fillId="2" borderId="1" xfId="0" applyNumberFormat="1" applyFont="1" applyFill="1" applyBorder="1" applyAlignment="1">
      <alignment vertical="center"/>
    </xf>
    <xf numFmtId="4" fontId="2" fillId="2" borderId="1" xfId="1" applyNumberFormat="1" applyFont="1" applyFill="1" applyBorder="1" applyAlignment="1">
      <alignment vertical="center"/>
    </xf>
    <xf numFmtId="164" fontId="2" fillId="6" borderId="1" xfId="0" applyNumberFormat="1" applyFont="1" applyFill="1" applyBorder="1" applyAlignment="1">
      <alignment horizontal="right" vertical="center"/>
    </xf>
    <xf numFmtId="164" fontId="0" fillId="2" borderId="1" xfId="0" applyNumberFormat="1" applyFill="1" applyBorder="1" applyAlignment="1">
      <alignment horizontal="right" vertical="center"/>
    </xf>
    <xf numFmtId="4" fontId="3" fillId="2" borderId="5" xfId="1" applyNumberFormat="1" applyFont="1" applyFill="1" applyBorder="1" applyAlignment="1">
      <alignment vertical="center"/>
    </xf>
    <xf numFmtId="164" fontId="0" fillId="2" borderId="1" xfId="0" applyNumberFormat="1" applyFill="1" applyBorder="1" applyAlignment="1">
      <alignment horizontal="center" vertical="center"/>
    </xf>
    <xf numFmtId="164" fontId="0" fillId="2" borderId="1" xfId="0" applyNumberFormat="1" applyFill="1" applyBorder="1" applyAlignment="1">
      <alignment vertical="center"/>
    </xf>
    <xf numFmtId="43" fontId="3" fillId="2" borderId="5" xfId="1" applyFont="1" applyFill="1" applyBorder="1" applyAlignment="1">
      <alignment vertical="center"/>
    </xf>
    <xf numFmtId="43" fontId="2" fillId="6" borderId="1" xfId="0" applyNumberFormat="1" applyFont="1" applyFill="1" applyBorder="1" applyAlignment="1">
      <alignment horizontal="center" vertical="center"/>
    </xf>
    <xf numFmtId="43" fontId="2" fillId="6" borderId="1" xfId="0" applyNumberFormat="1" applyFont="1" applyFill="1" applyBorder="1" applyAlignment="1">
      <alignment vertical="center"/>
    </xf>
    <xf numFmtId="4" fontId="0" fillId="2" borderId="0" xfId="0" applyNumberFormat="1" applyFill="1"/>
    <xf numFmtId="43" fontId="0" fillId="2" borderId="0" xfId="0" applyNumberFormat="1" applyFill="1"/>
    <xf numFmtId="1" fontId="3" fillId="0" borderId="1" xfId="1" applyNumberFormat="1" applyFont="1" applyBorder="1" applyAlignment="1">
      <alignment horizontal="center" vertical="center"/>
    </xf>
    <xf numFmtId="3" fontId="0" fillId="2" borderId="0" xfId="0" applyNumberFormat="1" applyFill="1" applyAlignment="1">
      <alignment horizontal="center"/>
    </xf>
    <xf numFmtId="0" fontId="0" fillId="0" borderId="1" xfId="0" applyBorder="1"/>
    <xf numFmtId="0" fontId="0" fillId="2" borderId="1" xfId="0" applyFill="1" applyBorder="1" applyAlignment="1">
      <alignment horizontal="center"/>
    </xf>
    <xf numFmtId="3" fontId="0" fillId="2" borderId="0" xfId="0" applyNumberForma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7" borderId="8" xfId="0" applyFont="1" applyFill="1" applyBorder="1" applyAlignment="1">
      <alignment horizontal="center" vertical="center" wrapText="1"/>
    </xf>
    <xf numFmtId="0" fontId="2" fillId="7" borderId="6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left" vertical="center" wrapText="1"/>
    </xf>
    <xf numFmtId="164" fontId="2" fillId="2" borderId="1" xfId="0" applyNumberFormat="1" applyFont="1" applyFill="1" applyBorder="1"/>
    <xf numFmtId="164" fontId="0" fillId="2" borderId="1" xfId="0" applyNumberFormat="1" applyFill="1" applyBorder="1"/>
    <xf numFmtId="43" fontId="0" fillId="2" borderId="1" xfId="0" applyNumberFormat="1" applyFill="1" applyBorder="1"/>
    <xf numFmtId="0" fontId="2" fillId="2" borderId="3" xfId="0" applyFont="1" applyFill="1" applyBorder="1"/>
    <xf numFmtId="0" fontId="3" fillId="2" borderId="3" xfId="0" applyFont="1" applyFill="1" applyBorder="1" applyAlignment="1">
      <alignment horizontal="left" indent="1"/>
    </xf>
    <xf numFmtId="43" fontId="3" fillId="0" borderId="1" xfId="1" applyFont="1" applyBorder="1" applyAlignment="1">
      <alignment horizontal="center"/>
    </xf>
    <xf numFmtId="0" fontId="3" fillId="0" borderId="3" xfId="0" applyFont="1" applyBorder="1" applyAlignment="1">
      <alignment horizontal="left" indent="1"/>
    </xf>
    <xf numFmtId="0" fontId="3" fillId="0" borderId="8" xfId="0" applyFont="1" applyBorder="1" applyAlignment="1">
      <alignment horizontal="left" indent="1"/>
    </xf>
    <xf numFmtId="0" fontId="2" fillId="3" borderId="3" xfId="0" applyFont="1" applyFill="1" applyBorder="1" applyAlignment="1"/>
    <xf numFmtId="0" fontId="2" fillId="3" borderId="4" xfId="0" applyFont="1" applyFill="1" applyBorder="1" applyAlignment="1"/>
    <xf numFmtId="0" fontId="2" fillId="3" borderId="3" xfId="0" applyFont="1" applyFill="1" applyBorder="1"/>
    <xf numFmtId="9" fontId="3" fillId="2" borderId="0" xfId="2" applyFont="1" applyFill="1"/>
    <xf numFmtId="164" fontId="3" fillId="2" borderId="0" xfId="2" applyNumberFormat="1" applyFont="1" applyFill="1"/>
    <xf numFmtId="43" fontId="2" fillId="2" borderId="1" xfId="0" applyNumberFormat="1" applyFont="1" applyFill="1" applyBorder="1"/>
    <xf numFmtId="0" fontId="2" fillId="2" borderId="0" xfId="0" applyFont="1" applyFill="1" applyBorder="1" applyAlignment="1">
      <alignment horizontal="center"/>
    </xf>
    <xf numFmtId="0" fontId="12" fillId="2" borderId="0" xfId="0" applyFont="1" applyFill="1" applyBorder="1"/>
    <xf numFmtId="2" fontId="2" fillId="2" borderId="0" xfId="0" applyNumberFormat="1" applyFont="1" applyFill="1" applyBorder="1"/>
    <xf numFmtId="2" fontId="0" fillId="2" borderId="0" xfId="0" applyNumberFormat="1" applyFill="1" applyBorder="1"/>
    <xf numFmtId="0" fontId="0" fillId="0" borderId="0" xfId="0" applyAlignment="1">
      <alignment wrapText="1"/>
    </xf>
    <xf numFmtId="165" fontId="0" fillId="0" borderId="0" xfId="0" applyNumberFormat="1"/>
    <xf numFmtId="10" fontId="2" fillId="3" borderId="1" xfId="2" applyNumberFormat="1" applyFont="1" applyFill="1" applyBorder="1"/>
    <xf numFmtId="0" fontId="13" fillId="8" borderId="8" xfId="0" applyFont="1" applyFill="1" applyBorder="1"/>
    <xf numFmtId="164" fontId="13" fillId="8" borderId="6" xfId="0" applyNumberFormat="1" applyFont="1" applyFill="1" applyBorder="1"/>
    <xf numFmtId="0" fontId="14" fillId="2" borderId="0" xfId="0" applyFont="1" applyFill="1"/>
    <xf numFmtId="0" fontId="13" fillId="9" borderId="11" xfId="0" applyFont="1" applyFill="1" applyBorder="1"/>
    <xf numFmtId="165" fontId="13" fillId="9" borderId="9" xfId="0" applyNumberFormat="1" applyFont="1" applyFill="1" applyBorder="1"/>
    <xf numFmtId="0" fontId="14" fillId="2" borderId="0" xfId="0" applyFont="1" applyFill="1" applyBorder="1"/>
    <xf numFmtId="0" fontId="14" fillId="0" borderId="0" xfId="0" applyFont="1" applyFill="1"/>
    <xf numFmtId="0" fontId="15" fillId="10" borderId="12" xfId="0" applyFont="1" applyFill="1" applyBorder="1"/>
    <xf numFmtId="165" fontId="15" fillId="10" borderId="2" xfId="0" applyNumberFormat="1" applyFont="1" applyFill="1" applyBorder="1"/>
    <xf numFmtId="0" fontId="0" fillId="0" borderId="0" xfId="0" applyBorder="1"/>
    <xf numFmtId="0" fontId="3" fillId="2" borderId="1" xfId="0" applyFont="1" applyFill="1" applyBorder="1" applyAlignment="1">
      <alignment wrapText="1"/>
    </xf>
    <xf numFmtId="0" fontId="0" fillId="2" borderId="1" xfId="0" applyFill="1" applyBorder="1" applyAlignment="1">
      <alignment wrapText="1"/>
    </xf>
    <xf numFmtId="2" fontId="0" fillId="2" borderId="1" xfId="0" applyNumberFormat="1" applyFill="1" applyBorder="1"/>
    <xf numFmtId="166" fontId="0" fillId="2" borderId="1" xfId="0" applyNumberFormat="1" applyFill="1" applyBorder="1"/>
    <xf numFmtId="164" fontId="0" fillId="2" borderId="1" xfId="0" applyNumberFormat="1" applyFill="1" applyBorder="1" applyAlignment="1">
      <alignment horizontal="center"/>
    </xf>
    <xf numFmtId="165" fontId="0" fillId="2" borderId="1" xfId="0" applyNumberFormat="1" applyFill="1" applyBorder="1" applyAlignment="1">
      <alignment horizontal="center"/>
    </xf>
    <xf numFmtId="166" fontId="0" fillId="2" borderId="1" xfId="0" applyNumberFormat="1" applyFill="1" applyBorder="1" applyAlignment="1">
      <alignment horizontal="center"/>
    </xf>
    <xf numFmtId="0" fontId="2" fillId="0" borderId="0" xfId="0" applyFont="1"/>
    <xf numFmtId="165" fontId="0" fillId="2" borderId="1" xfId="0" applyNumberFormat="1" applyFill="1" applyBorder="1"/>
    <xf numFmtId="165" fontId="3" fillId="2" borderId="1" xfId="0" applyNumberFormat="1" applyFont="1" applyFill="1" applyBorder="1"/>
    <xf numFmtId="0" fontId="12" fillId="2" borderId="0" xfId="0" applyFont="1" applyFill="1"/>
    <xf numFmtId="166" fontId="0" fillId="2" borderId="0" xfId="0" applyNumberFormat="1" applyFill="1"/>
    <xf numFmtId="0" fontId="0" fillId="2" borderId="0" xfId="0" applyFill="1" applyAlignment="1"/>
    <xf numFmtId="0" fontId="0" fillId="0" borderId="1" xfId="0" applyBorder="1" applyAlignment="1">
      <alignment horizontal="left" indent="2"/>
    </xf>
    <xf numFmtId="2" fontId="0" fillId="0" borderId="1" xfId="0" applyNumberFormat="1" applyBorder="1" applyAlignment="1">
      <alignment horizontal="center" vertical="center"/>
    </xf>
    <xf numFmtId="43" fontId="0" fillId="0" borderId="1" xfId="1" applyFont="1" applyBorder="1"/>
    <xf numFmtId="43" fontId="2" fillId="2" borderId="0" xfId="1" applyFont="1" applyFill="1" applyBorder="1"/>
    <xf numFmtId="165" fontId="0" fillId="0" borderId="0" xfId="0" applyNumberFormat="1" applyBorder="1"/>
    <xf numFmtId="0" fontId="2" fillId="3" borderId="2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 indent="1"/>
    </xf>
    <xf numFmtId="0" fontId="0" fillId="2" borderId="6" xfId="0" applyFill="1" applyBorder="1" applyAlignment="1">
      <alignment horizontal="left" indent="1"/>
    </xf>
    <xf numFmtId="43" fontId="3" fillId="2" borderId="6" xfId="1" applyFont="1" applyFill="1" applyBorder="1"/>
    <xf numFmtId="0" fontId="2" fillId="2" borderId="1" xfId="0" applyFont="1" applyFill="1" applyBorder="1" applyAlignment="1">
      <alignment wrapText="1"/>
    </xf>
    <xf numFmtId="1" fontId="0" fillId="2" borderId="0" xfId="0" applyNumberFormat="1" applyFill="1" applyBorder="1"/>
    <xf numFmtId="0" fontId="3" fillId="11" borderId="0" xfId="0" applyFont="1" applyFill="1" applyBorder="1"/>
    <xf numFmtId="165" fontId="0" fillId="11" borderId="0" xfId="0" applyNumberFormat="1" applyFill="1" applyBorder="1"/>
    <xf numFmtId="0" fontId="16" fillId="7" borderId="1" xfId="0" applyFont="1" applyFill="1" applyBorder="1" applyAlignment="1">
      <alignment horizontal="center"/>
    </xf>
    <xf numFmtId="167" fontId="3" fillId="2" borderId="1" xfId="1" applyNumberFormat="1" applyFont="1" applyFill="1" applyBorder="1"/>
    <xf numFmtId="167" fontId="0" fillId="2" borderId="0" xfId="0" applyNumberFormat="1" applyFill="1"/>
    <xf numFmtId="2" fontId="3" fillId="2" borderId="1" xfId="0" applyNumberFormat="1" applyFont="1" applyFill="1" applyBorder="1"/>
    <xf numFmtId="2" fontId="3" fillId="2" borderId="0" xfId="0" applyNumberFormat="1" applyFont="1" applyFill="1" applyBorder="1"/>
    <xf numFmtId="167" fontId="3" fillId="2" borderId="0" xfId="1" applyNumberFormat="1" applyFont="1" applyFill="1" applyBorder="1"/>
    <xf numFmtId="2" fontId="0" fillId="2" borderId="0" xfId="0" applyNumberFormat="1" applyFill="1"/>
    <xf numFmtId="2" fontId="3" fillId="2" borderId="1" xfId="1" applyNumberFormat="1" applyFont="1" applyFill="1" applyBorder="1"/>
    <xf numFmtId="0" fontId="13" fillId="2" borderId="0" xfId="0" applyFont="1" applyFill="1"/>
    <xf numFmtId="0" fontId="15" fillId="2" borderId="0" xfId="0" applyFont="1" applyFill="1" applyBorder="1" applyAlignment="1"/>
    <xf numFmtId="0" fontId="15" fillId="7" borderId="1" xfId="0" applyFont="1" applyFill="1" applyBorder="1" applyAlignment="1">
      <alignment horizontal="center"/>
    </xf>
    <xf numFmtId="0" fontId="15" fillId="2" borderId="1" xfId="0" applyFont="1" applyFill="1" applyBorder="1"/>
    <xf numFmtId="164" fontId="15" fillId="2" borderId="1" xfId="0" applyNumberFormat="1" applyFont="1" applyFill="1" applyBorder="1"/>
    <xf numFmtId="0" fontId="13" fillId="2" borderId="1" xfId="0" applyFont="1" applyFill="1" applyBorder="1" applyAlignment="1">
      <alignment horizontal="left" indent="1"/>
    </xf>
    <xf numFmtId="43" fontId="13" fillId="2" borderId="1" xfId="1" applyFont="1" applyFill="1" applyBorder="1"/>
    <xf numFmtId="43" fontId="15" fillId="2" borderId="1" xfId="1" applyFont="1" applyFill="1" applyBorder="1"/>
    <xf numFmtId="0" fontId="15" fillId="2" borderId="0" xfId="0" applyFont="1" applyFill="1"/>
    <xf numFmtId="0" fontId="13" fillId="2" borderId="1" xfId="0" applyFont="1" applyFill="1" applyBorder="1"/>
    <xf numFmtId="0" fontId="13" fillId="2" borderId="0" xfId="0" applyFont="1" applyFill="1" applyBorder="1"/>
    <xf numFmtId="4" fontId="15" fillId="2" borderId="1" xfId="0" applyNumberFormat="1" applyFont="1" applyFill="1" applyBorder="1"/>
    <xf numFmtId="0" fontId="13" fillId="8" borderId="0" xfId="0" applyFont="1" applyFill="1" applyBorder="1"/>
    <xf numFmtId="0" fontId="15" fillId="2" borderId="0" xfId="0" applyFont="1" applyFill="1" applyBorder="1"/>
    <xf numFmtId="0" fontId="13" fillId="2" borderId="0" xfId="0" applyFont="1" applyFill="1" applyBorder="1" applyAlignment="1"/>
    <xf numFmtId="0" fontId="15" fillId="7" borderId="1" xfId="0" applyFont="1" applyFill="1" applyBorder="1" applyAlignment="1">
      <alignment horizontal="center" vertical="center"/>
    </xf>
    <xf numFmtId="164" fontId="13" fillId="2" borderId="0" xfId="0" applyNumberFormat="1" applyFont="1" applyFill="1" applyBorder="1"/>
    <xf numFmtId="165" fontId="13" fillId="2" borderId="0" xfId="0" applyNumberFormat="1" applyFont="1" applyFill="1"/>
    <xf numFmtId="167" fontId="15" fillId="2" borderId="1" xfId="1" applyNumberFormat="1" applyFont="1" applyFill="1" applyBorder="1"/>
    <xf numFmtId="43" fontId="13" fillId="2" borderId="0" xfId="1" applyFont="1" applyFill="1"/>
    <xf numFmtId="164" fontId="13" fillId="2" borderId="1" xfId="0" applyNumberFormat="1" applyFont="1" applyFill="1" applyBorder="1"/>
    <xf numFmtId="0" fontId="13" fillId="2" borderId="1" xfId="0" applyFont="1" applyFill="1" applyBorder="1" applyAlignment="1">
      <alignment wrapText="1"/>
    </xf>
    <xf numFmtId="165" fontId="13" fillId="2" borderId="1" xfId="0" applyNumberFormat="1" applyFont="1" applyFill="1" applyBorder="1" applyAlignment="1">
      <alignment vertical="center"/>
    </xf>
    <xf numFmtId="164" fontId="13" fillId="2" borderId="1" xfId="0" applyNumberFormat="1" applyFont="1" applyFill="1" applyBorder="1" applyAlignment="1">
      <alignment vertical="center"/>
    </xf>
    <xf numFmtId="0" fontId="3" fillId="0" borderId="0" xfId="0" applyFont="1"/>
    <xf numFmtId="164" fontId="3" fillId="2" borderId="1" xfId="1" applyNumberFormat="1" applyFont="1" applyFill="1" applyBorder="1"/>
    <xf numFmtId="164" fontId="2" fillId="2" borderId="1" xfId="1" applyNumberFormat="1" applyFont="1" applyFill="1" applyBorder="1"/>
    <xf numFmtId="164" fontId="3" fillId="2" borderId="0" xfId="0" applyNumberFormat="1" applyFont="1" applyFill="1"/>
    <xf numFmtId="0" fontId="12" fillId="2" borderId="9" xfId="0" applyFont="1" applyFill="1" applyBorder="1"/>
    <xf numFmtId="0" fontId="18" fillId="3" borderId="1" xfId="0" applyFont="1" applyFill="1" applyBorder="1" applyAlignment="1">
      <alignment horizontal="center"/>
    </xf>
    <xf numFmtId="10" fontId="3" fillId="2" borderId="1" xfId="2" applyNumberFormat="1" applyFont="1" applyFill="1" applyBorder="1"/>
    <xf numFmtId="171" fontId="3" fillId="2" borderId="1" xfId="0" applyNumberFormat="1" applyFont="1" applyFill="1" applyBorder="1"/>
    <xf numFmtId="170" fontId="3" fillId="2" borderId="0" xfId="0" applyNumberFormat="1" applyFont="1" applyFill="1"/>
    <xf numFmtId="172" fontId="3" fillId="2" borderId="0" xfId="0" applyNumberFormat="1" applyFont="1" applyFill="1" applyBorder="1"/>
    <xf numFmtId="10" fontId="3" fillId="2" borderId="1" xfId="0" applyNumberFormat="1" applyFont="1" applyFill="1" applyBorder="1"/>
    <xf numFmtId="10" fontId="3" fillId="2" borderId="1" xfId="2" applyNumberFormat="1" applyFont="1" applyFill="1" applyBorder="1" applyAlignment="1">
      <alignment horizontal="center"/>
    </xf>
    <xf numFmtId="9" fontId="3" fillId="2" borderId="1" xfId="0" applyNumberFormat="1" applyFont="1" applyFill="1" applyBorder="1" applyAlignment="1">
      <alignment horizontal="center"/>
    </xf>
    <xf numFmtId="10" fontId="0" fillId="2" borderId="0" xfId="0" applyNumberFormat="1" applyFill="1"/>
    <xf numFmtId="165" fontId="3" fillId="2" borderId="0" xfId="0" applyNumberFormat="1" applyFont="1" applyFill="1" applyBorder="1"/>
    <xf numFmtId="9" fontId="2" fillId="2" borderId="0" xfId="0" applyNumberFormat="1" applyFont="1" applyFill="1" applyBorder="1"/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16" fillId="3" borderId="1" xfId="0" applyFont="1" applyFill="1" applyBorder="1" applyAlignment="1">
      <alignment horizontal="center" vertical="center" wrapText="1"/>
    </xf>
    <xf numFmtId="0" fontId="16" fillId="3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4" fontId="4" fillId="2" borderId="1" xfId="0" applyNumberFormat="1" applyFont="1" applyFill="1" applyBorder="1"/>
    <xf numFmtId="173" fontId="4" fillId="2" borderId="1" xfId="1" applyNumberFormat="1" applyFont="1" applyFill="1" applyBorder="1"/>
    <xf numFmtId="9" fontId="20" fillId="2" borderId="1" xfId="2" applyFont="1" applyFill="1" applyBorder="1" applyAlignment="1">
      <alignment horizontal="center"/>
    </xf>
    <xf numFmtId="4" fontId="20" fillId="2" borderId="1" xfId="0" applyNumberFormat="1" applyFont="1" applyFill="1" applyBorder="1"/>
    <xf numFmtId="1" fontId="2" fillId="3" borderId="1" xfId="0" applyNumberFormat="1" applyFont="1" applyFill="1" applyBorder="1" applyAlignment="1">
      <alignment horizontal="center"/>
    </xf>
    <xf numFmtId="4" fontId="3" fillId="2" borderId="1" xfId="0" applyNumberFormat="1" applyFont="1" applyFill="1" applyBorder="1"/>
    <xf numFmtId="1" fontId="3" fillId="2" borderId="1" xfId="0" applyNumberFormat="1" applyFont="1" applyFill="1" applyBorder="1"/>
    <xf numFmtId="174" fontId="3" fillId="2" borderId="1" xfId="0" applyNumberFormat="1" applyFont="1" applyFill="1" applyBorder="1"/>
    <xf numFmtId="3" fontId="3" fillId="2" borderId="1" xfId="0" applyNumberFormat="1" applyFont="1" applyFill="1" applyBorder="1"/>
    <xf numFmtId="0" fontId="4" fillId="2" borderId="0" xfId="0" applyFont="1" applyFill="1"/>
    <xf numFmtId="0" fontId="18" fillId="2" borderId="1" xfId="0" applyFont="1" applyFill="1" applyBorder="1" applyAlignment="1">
      <alignment horizontal="right"/>
    </xf>
    <xf numFmtId="4" fontId="18" fillId="2" borderId="1" xfId="0" applyNumberFormat="1" applyFont="1" applyFill="1" applyBorder="1"/>
    <xf numFmtId="1" fontId="3" fillId="2" borderId="0" xfId="0" applyNumberFormat="1" applyFont="1" applyFill="1" applyBorder="1"/>
    <xf numFmtId="169" fontId="2" fillId="2" borderId="0" xfId="0" applyNumberFormat="1" applyFont="1" applyFill="1" applyBorder="1"/>
    <xf numFmtId="0" fontId="3" fillId="2" borderId="0" xfId="0" applyFont="1" applyFill="1" applyAlignment="1">
      <alignment horizontal="right"/>
    </xf>
    <xf numFmtId="175" fontId="3" fillId="2" borderId="0" xfId="0" applyNumberFormat="1" applyFont="1" applyFill="1" applyBorder="1"/>
    <xf numFmtId="4" fontId="3" fillId="2" borderId="0" xfId="0" applyNumberFormat="1" applyFont="1" applyFill="1"/>
    <xf numFmtId="168" fontId="2" fillId="2" borderId="0" xfId="0" applyNumberFormat="1" applyFont="1" applyFill="1" applyBorder="1"/>
    <xf numFmtId="1" fontId="0" fillId="0" borderId="0" xfId="0" applyNumberFormat="1" applyBorder="1"/>
    <xf numFmtId="0" fontId="3" fillId="0" borderId="0" xfId="0" applyFont="1" applyBorder="1"/>
    <xf numFmtId="0" fontId="3" fillId="0" borderId="0" xfId="0" applyFont="1" applyFill="1" applyBorder="1"/>
    <xf numFmtId="169" fontId="0" fillId="0" borderId="0" xfId="0" applyNumberFormat="1" applyBorder="1"/>
    <xf numFmtId="0" fontId="2" fillId="0" borderId="0" xfId="0" applyFont="1" applyFill="1" applyBorder="1"/>
    <xf numFmtId="176" fontId="20" fillId="2" borderId="1" xfId="0" applyNumberFormat="1" applyFont="1" applyFill="1" applyBorder="1"/>
    <xf numFmtId="177" fontId="20" fillId="2" borderId="1" xfId="0" applyNumberFormat="1" applyFont="1" applyFill="1" applyBorder="1"/>
    <xf numFmtId="0" fontId="3" fillId="3" borderId="1" xfId="0" applyFont="1" applyFill="1" applyBorder="1" applyAlignment="1">
      <alignment horizontal="center"/>
    </xf>
    <xf numFmtId="178" fontId="3" fillId="2" borderId="1" xfId="1" applyNumberFormat="1" applyFont="1" applyFill="1" applyBorder="1"/>
    <xf numFmtId="10" fontId="0" fillId="2" borderId="1" xfId="0" applyNumberFormat="1" applyFill="1" applyBorder="1"/>
    <xf numFmtId="0" fontId="3" fillId="10" borderId="1" xfId="0" applyFont="1" applyFill="1" applyBorder="1"/>
    <xf numFmtId="164" fontId="0" fillId="0" borderId="1" xfId="0" applyNumberFormat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3" fillId="0" borderId="1" xfId="0" applyFont="1" applyFill="1" applyBorder="1" applyAlignment="1">
      <alignment horizontal="right"/>
    </xf>
    <xf numFmtId="43" fontId="3" fillId="0" borderId="1" xfId="1" applyFont="1" applyFill="1" applyBorder="1" applyAlignment="1">
      <alignment horizontal="right"/>
    </xf>
    <xf numFmtId="0" fontId="3" fillId="13" borderId="1" xfId="0" applyFont="1" applyFill="1" applyBorder="1"/>
    <xf numFmtId="9" fontId="0" fillId="13" borderId="1" xfId="0" applyNumberFormat="1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0" fontId="3" fillId="14" borderId="1" xfId="0" applyFont="1" applyFill="1" applyBorder="1"/>
    <xf numFmtId="9" fontId="0" fillId="14" borderId="1" xfId="0" applyNumberFormat="1" applyFill="1" applyBorder="1" applyAlignment="1">
      <alignment horizontal="center"/>
    </xf>
    <xf numFmtId="0" fontId="0" fillId="14" borderId="1" xfId="0" applyFill="1" applyBorder="1" applyAlignment="1">
      <alignment horizontal="center"/>
    </xf>
    <xf numFmtId="164" fontId="0" fillId="14" borderId="1" xfId="0" applyNumberFormat="1" applyFill="1" applyBorder="1" applyAlignment="1">
      <alignment horizontal="center"/>
    </xf>
    <xf numFmtId="179" fontId="0" fillId="0" borderId="1" xfId="0" applyNumberFormat="1" applyFill="1" applyBorder="1"/>
    <xf numFmtId="0" fontId="3" fillId="2" borderId="0" xfId="0" applyFont="1" applyFill="1" applyBorder="1" applyAlignment="1">
      <alignment horizontal="right"/>
    </xf>
    <xf numFmtId="43" fontId="3" fillId="2" borderId="0" xfId="1" applyFont="1" applyFill="1" applyBorder="1" applyAlignment="1">
      <alignment horizontal="right"/>
    </xf>
    <xf numFmtId="10" fontId="0" fillId="2" borderId="1" xfId="0" applyNumberForma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left"/>
    </xf>
    <xf numFmtId="0" fontId="2" fillId="3" borderId="4" xfId="0" applyFont="1" applyFill="1" applyBorder="1" applyAlignment="1">
      <alignment horizontal="left"/>
    </xf>
    <xf numFmtId="0" fontId="2" fillId="3" borderId="5" xfId="0" applyFont="1" applyFill="1" applyBorder="1" applyAlignment="1">
      <alignment horizontal="left"/>
    </xf>
    <xf numFmtId="0" fontId="3" fillId="2" borderId="7" xfId="0" applyFont="1" applyFill="1" applyBorder="1" applyAlignment="1">
      <alignment horizontal="left" wrapText="1"/>
    </xf>
    <xf numFmtId="0" fontId="2" fillId="3" borderId="1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left" wrapText="1"/>
    </xf>
    <xf numFmtId="0" fontId="2" fillId="7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wrapText="1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left"/>
    </xf>
    <xf numFmtId="0" fontId="2" fillId="4" borderId="4" xfId="0" applyFont="1" applyFill="1" applyBorder="1" applyAlignment="1">
      <alignment horizontal="left"/>
    </xf>
    <xf numFmtId="0" fontId="2" fillId="4" borderId="5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/>
    </xf>
    <xf numFmtId="0" fontId="2" fillId="7" borderId="6" xfId="0" applyFont="1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horizontal="center" vertical="center" wrapText="1"/>
    </xf>
    <xf numFmtId="0" fontId="2" fillId="7" borderId="4" xfId="0" applyFont="1" applyFill="1" applyBorder="1" applyAlignment="1">
      <alignment horizontal="center" vertical="center" wrapText="1"/>
    </xf>
    <xf numFmtId="0" fontId="2" fillId="7" borderId="5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wrapText="1"/>
    </xf>
    <xf numFmtId="0" fontId="2" fillId="2" borderId="0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right"/>
    </xf>
    <xf numFmtId="0" fontId="11" fillId="2" borderId="0" xfId="0" applyFont="1" applyFill="1" applyAlignment="1">
      <alignment horizontal="center"/>
    </xf>
    <xf numFmtId="0" fontId="16" fillId="7" borderId="1" xfId="0" applyFont="1" applyFill="1" applyBorder="1" applyAlignment="1">
      <alignment horizontal="center" vertical="center"/>
    </xf>
    <xf numFmtId="0" fontId="16" fillId="7" borderId="1" xfId="0" applyFont="1" applyFill="1" applyBorder="1" applyAlignment="1">
      <alignment horizontal="center" vertical="center" wrapText="1"/>
    </xf>
    <xf numFmtId="0" fontId="17" fillId="7" borderId="1" xfId="0" applyFont="1" applyFill="1" applyBorder="1" applyAlignment="1">
      <alignment horizontal="center" vertical="center"/>
    </xf>
    <xf numFmtId="0" fontId="15" fillId="7" borderId="6" xfId="0" applyFont="1" applyFill="1" applyBorder="1" applyAlignment="1">
      <alignment horizontal="center" vertical="center"/>
    </xf>
    <xf numFmtId="0" fontId="15" fillId="7" borderId="2" xfId="0" applyFont="1" applyFill="1" applyBorder="1" applyAlignment="1">
      <alignment horizontal="center" vertical="center"/>
    </xf>
    <xf numFmtId="0" fontId="15" fillId="7" borderId="3" xfId="0" applyFont="1" applyFill="1" applyBorder="1" applyAlignment="1">
      <alignment horizontal="center" vertical="center"/>
    </xf>
    <xf numFmtId="0" fontId="15" fillId="7" borderId="4" xfId="0" applyFont="1" applyFill="1" applyBorder="1" applyAlignment="1">
      <alignment horizontal="center" vertical="center"/>
    </xf>
    <xf numFmtId="0" fontId="15" fillId="7" borderId="5" xfId="0" applyFont="1" applyFill="1" applyBorder="1" applyAlignment="1">
      <alignment horizontal="center" vertical="center"/>
    </xf>
    <xf numFmtId="0" fontId="15" fillId="7" borderId="1" xfId="0" applyFont="1" applyFill="1" applyBorder="1" applyAlignment="1">
      <alignment horizontal="center" vertical="center"/>
    </xf>
    <xf numFmtId="0" fontId="15" fillId="7" borderId="3" xfId="0" applyFont="1" applyFill="1" applyBorder="1" applyAlignment="1">
      <alignment horizontal="center"/>
    </xf>
    <xf numFmtId="0" fontId="15" fillId="7" borderId="4" xfId="0" applyFont="1" applyFill="1" applyBorder="1" applyAlignment="1">
      <alignment horizontal="center"/>
    </xf>
    <xf numFmtId="0" fontId="15" fillId="7" borderId="5" xfId="0" applyFont="1" applyFill="1" applyBorder="1" applyAlignment="1">
      <alignment horizontal="center"/>
    </xf>
    <xf numFmtId="0" fontId="15" fillId="8" borderId="13" xfId="0" applyFont="1" applyFill="1" applyBorder="1" applyAlignment="1">
      <alignment horizontal="center"/>
    </xf>
    <xf numFmtId="0" fontId="15" fillId="12" borderId="13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1" fontId="2" fillId="3" borderId="3" xfId="0" applyNumberFormat="1" applyFont="1" applyFill="1" applyBorder="1" applyAlignment="1">
      <alignment horizontal="center"/>
    </xf>
    <xf numFmtId="1" fontId="2" fillId="3" borderId="4" xfId="0" applyNumberFormat="1" applyFont="1" applyFill="1" applyBorder="1" applyAlignment="1">
      <alignment horizontal="center"/>
    </xf>
    <xf numFmtId="1" fontId="2" fillId="3" borderId="5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left"/>
    </xf>
    <xf numFmtId="0" fontId="18" fillId="3" borderId="1" xfId="0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horizontal="center" wrapText="1"/>
    </xf>
    <xf numFmtId="0" fontId="18" fillId="3" borderId="1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right"/>
    </xf>
    <xf numFmtId="0" fontId="3" fillId="2" borderId="4" xfId="0" applyFont="1" applyFill="1" applyBorder="1" applyAlignment="1">
      <alignment horizontal="right"/>
    </xf>
    <xf numFmtId="0" fontId="3" fillId="2" borderId="5" xfId="0" applyFont="1" applyFill="1" applyBorder="1" applyAlignment="1">
      <alignment horizontal="right"/>
    </xf>
    <xf numFmtId="0" fontId="2" fillId="0" borderId="13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2" fillId="2" borderId="13" xfId="0" applyFont="1" applyFill="1" applyBorder="1" applyAlignment="1">
      <alignment horizontal="center"/>
    </xf>
  </cellXfs>
  <cellStyles count="4">
    <cellStyle name="Millares" xfId="1" builtinId="3"/>
    <cellStyle name="Millares 2" xf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PE"/>
              <a:t>GRÁFICO DEL PUNTO DE EQUILIBRIO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'ESTADO GyP'!$B$50</c:f>
              <c:strCache>
                <c:ptCount val="1"/>
                <c:pt idx="0">
                  <c:v>VENTAS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'ESTADO GyP'!$C$50:$G$50</c:f>
              <c:numCache>
                <c:formatCode>_(* #,##0.00_);_(* \(#,##0.00\);_(* "-"??_);_(@_)</c:formatCode>
                <c:ptCount val="5"/>
                <c:pt idx="0">
                  <c:v>80677.363199999993</c:v>
                </c:pt>
                <c:pt idx="1">
                  <c:v>176001.50959999999</c:v>
                </c:pt>
                <c:pt idx="2">
                  <c:v>284411.71639999998</c:v>
                </c:pt>
                <c:pt idx="3">
                  <c:v>409749.76279999997</c:v>
                </c:pt>
                <c:pt idx="4">
                  <c:v>554236.67739999993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77-40E6-AE8E-3818F562B6B1}"/>
            </c:ext>
          </c:extLst>
        </c:ser>
        <c:ser>
          <c:idx val="3"/>
          <c:order val="1"/>
          <c:tx>
            <c:strRef>
              <c:f>'ESTADO GyP'!$B$51</c:f>
              <c:strCache>
                <c:ptCount val="1"/>
                <c:pt idx="0">
                  <c:v>COSTOS TOTALES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'ESTADO GyP'!$C$51:$G$51</c:f>
              <c:numCache>
                <c:formatCode>_(* #,##0.00_);_(* \(#,##0.00\);_(* "-"??_);_(@_)</c:formatCode>
                <c:ptCount val="5"/>
                <c:pt idx="0" formatCode="_ * #,##0.00_ ;_ * \-#,##0.00_ ;_ * &quot;-&quot;??_ ;_ @_ ">
                  <c:v>94473.540167450614</c:v>
                </c:pt>
                <c:pt idx="1">
                  <c:v>176102.77033490123</c:v>
                </c:pt>
                <c:pt idx="2">
                  <c:v>263014.01950235182</c:v>
                </c:pt>
                <c:pt idx="3">
                  <c:v>355999.59051980241</c:v>
                </c:pt>
                <c:pt idx="4">
                  <c:v>455970.63166475302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77-40E6-AE8E-3818F562B6B1}"/>
            </c:ext>
          </c:extLst>
        </c:ser>
        <c:ser>
          <c:idx val="4"/>
          <c:order val="2"/>
          <c:tx>
            <c:strRef>
              <c:f>'ESTADO GyP'!$B$52</c:f>
              <c:strCache>
                <c:ptCount val="1"/>
                <c:pt idx="0">
                  <c:v>COSTOS FIJOS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'ESTADO GyP'!$C$52:$G$52</c:f>
              <c:numCache>
                <c:formatCode>_(* #,##0.00_);_(* \(#,##0.00\);_(* "-"??_);_(@_)</c:formatCode>
                <c:ptCount val="5"/>
                <c:pt idx="0">
                  <c:v>18695.77016745061</c:v>
                </c:pt>
                <c:pt idx="1">
                  <c:v>18695.77016745061</c:v>
                </c:pt>
                <c:pt idx="2">
                  <c:v>18695.77016745061</c:v>
                </c:pt>
                <c:pt idx="3">
                  <c:v>18695.77016745061</c:v>
                </c:pt>
                <c:pt idx="4">
                  <c:v>18695.77016745061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77-40E6-AE8E-3818F562B6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039136"/>
        <c:axId val="1"/>
      </c:lineChart>
      <c:catAx>
        <c:axId val="72039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s-PE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prstDash val="sysDot"/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s-PE"/>
          </a:p>
        </c:txPr>
        <c:crossAx val="7203913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overlay val="0"/>
      <c:spPr>
        <a:noFill/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PE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1628775</xdr:colOff>
      <xdr:row>31</xdr:row>
      <xdr:rowOff>76200</xdr:rowOff>
    </xdr:from>
    <xdr:to>
      <xdr:col>2</xdr:col>
      <xdr:colOff>323561</xdr:colOff>
      <xdr:row>52</xdr:row>
      <xdr:rowOff>113842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66900" y="6562725"/>
          <a:ext cx="2314286" cy="3666667"/>
        </a:xfrm>
        <a:prstGeom prst="rect">
          <a:avLst/>
        </a:prstGeom>
      </xdr:spPr>
    </xdr:pic>
    <xdr:clientData/>
  </xdr:twoCellAnchor>
  <xdr:twoCellAnchor editAs="oneCell">
    <xdr:from>
      <xdr:col>2</xdr:col>
      <xdr:colOff>476250</xdr:colOff>
      <xdr:row>32</xdr:row>
      <xdr:rowOff>57150</xdr:rowOff>
    </xdr:from>
    <xdr:to>
      <xdr:col>12</xdr:col>
      <xdr:colOff>151378</xdr:colOff>
      <xdr:row>48</xdr:row>
      <xdr:rowOff>94907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333875" y="6734175"/>
          <a:ext cx="8171428" cy="274285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16</xdr:row>
      <xdr:rowOff>0</xdr:rowOff>
    </xdr:from>
    <xdr:to>
      <xdr:col>1</xdr:col>
      <xdr:colOff>2428571</xdr:colOff>
      <xdr:row>34</xdr:row>
      <xdr:rowOff>75794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1450" y="3019425"/>
          <a:ext cx="2428571" cy="3247619"/>
        </a:xfrm>
        <a:prstGeom prst="rect">
          <a:avLst/>
        </a:prstGeom>
      </xdr:spPr>
    </xdr:pic>
    <xdr:clientData/>
  </xdr:twoCellAnchor>
  <xdr:twoCellAnchor editAs="oneCell">
    <xdr:from>
      <xdr:col>1</xdr:col>
      <xdr:colOff>2781300</xdr:colOff>
      <xdr:row>15</xdr:row>
      <xdr:rowOff>66675</xdr:rowOff>
    </xdr:from>
    <xdr:to>
      <xdr:col>5</xdr:col>
      <xdr:colOff>228286</xdr:colOff>
      <xdr:row>30</xdr:row>
      <xdr:rowOff>113973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952750" y="2895600"/>
          <a:ext cx="2514286" cy="261904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15</xdr:row>
      <xdr:rowOff>0</xdr:rowOff>
    </xdr:from>
    <xdr:to>
      <xdr:col>5</xdr:col>
      <xdr:colOff>361152</xdr:colOff>
      <xdr:row>32</xdr:row>
      <xdr:rowOff>113881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00"/>
          <a:ext cx="6380952" cy="335238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11</xdr:row>
      <xdr:rowOff>142875</xdr:rowOff>
    </xdr:from>
    <xdr:to>
      <xdr:col>14</xdr:col>
      <xdr:colOff>332519</xdr:colOff>
      <xdr:row>27</xdr:row>
      <xdr:rowOff>113923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476500"/>
          <a:ext cx="6847619" cy="301904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200025</xdr:colOff>
      <xdr:row>54</xdr:row>
      <xdr:rowOff>19050</xdr:rowOff>
    </xdr:from>
    <xdr:to>
      <xdr:col>6</xdr:col>
      <xdr:colOff>361950</xdr:colOff>
      <xdr:row>72</xdr:row>
      <xdr:rowOff>19050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uani\Downloads\Analisis%20tecnico%20y%20financiero%20de%20palta%20(1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alisis demanda"/>
      <sheetName val="Analisis oferta"/>
      <sheetName val="Brecha"/>
      <sheetName val="TERREN Y OBR CIV"/>
      <sheetName val="MUEB, MAQ,EQUIP"/>
      <sheetName val="INVERS FIJ INTANG"/>
      <sheetName val="REMUNERACION"/>
      <sheetName val="CAP TRABAJ"/>
      <sheetName val="INVERSION"/>
      <sheetName val="FINANCIAMIENT"/>
      <sheetName val="SERV. DEUD"/>
      <sheetName val="COSTO PROD Y OPER"/>
      <sheetName val="DEPRECIAC "/>
      <sheetName val="PPTO DE EGRES"/>
      <sheetName val="INGRESOS"/>
      <sheetName val="ESTADO GyP"/>
      <sheetName val="FLUJO DE CAJA "/>
      <sheetName val="ANALISIS SESIB"/>
      <sheetName val="CRONOG"/>
      <sheetName val="DO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26">
          <cell r="E26">
            <v>0.5226305647552969</v>
          </cell>
        </row>
        <row r="31">
          <cell r="K31">
            <v>1.1685592955126309</v>
          </cell>
        </row>
        <row r="32">
          <cell r="K32">
            <v>1.3655308271289763</v>
          </cell>
        </row>
        <row r="33">
          <cell r="K33">
            <v>1.5957037413506168</v>
          </cell>
        </row>
        <row r="34">
          <cell r="K34">
            <v>1.8646744398395463</v>
          </cell>
        </row>
        <row r="35">
          <cell r="K35">
            <v>2.1789826497793099</v>
          </cell>
        </row>
      </sheetData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30"/>
  <sheetViews>
    <sheetView tabSelected="1" workbookViewId="0">
      <selection activeCell="I10" sqref="I10"/>
    </sheetView>
  </sheetViews>
  <sheetFormatPr baseColWidth="10" defaultRowHeight="15" x14ac:dyDescent="0.25"/>
  <cols>
    <col min="1" max="1" width="4.42578125" style="18" customWidth="1"/>
    <col min="2" max="2" width="40.140625" style="18" customWidth="1"/>
    <col min="3" max="3" width="7.85546875" style="18" customWidth="1"/>
    <col min="4" max="4" width="11.140625" style="18" customWidth="1"/>
    <col min="5" max="5" width="10.42578125" style="18" customWidth="1"/>
    <col min="6" max="6" width="11.140625" style="18" customWidth="1"/>
    <col min="7" max="7" width="11.28515625" style="18" customWidth="1"/>
    <col min="8" max="256" width="11.42578125" style="18"/>
    <col min="257" max="257" width="4.42578125" style="18" customWidth="1"/>
    <col min="258" max="258" width="40.140625" style="18" customWidth="1"/>
    <col min="259" max="259" width="7.85546875" style="18" customWidth="1"/>
    <col min="260" max="260" width="11.140625" style="18" customWidth="1"/>
    <col min="261" max="261" width="10.42578125" style="18" customWidth="1"/>
    <col min="262" max="262" width="11.140625" style="18" customWidth="1"/>
    <col min="263" max="263" width="11.28515625" style="18" customWidth="1"/>
    <col min="264" max="512" width="11.42578125" style="18"/>
    <col min="513" max="513" width="4.42578125" style="18" customWidth="1"/>
    <col min="514" max="514" width="40.140625" style="18" customWidth="1"/>
    <col min="515" max="515" width="7.85546875" style="18" customWidth="1"/>
    <col min="516" max="516" width="11.140625" style="18" customWidth="1"/>
    <col min="517" max="517" width="10.42578125" style="18" customWidth="1"/>
    <col min="518" max="518" width="11.140625" style="18" customWidth="1"/>
    <col min="519" max="519" width="11.28515625" style="18" customWidth="1"/>
    <col min="520" max="768" width="11.42578125" style="18"/>
    <col min="769" max="769" width="4.42578125" style="18" customWidth="1"/>
    <col min="770" max="770" width="40.140625" style="18" customWidth="1"/>
    <col min="771" max="771" width="7.85546875" style="18" customWidth="1"/>
    <col min="772" max="772" width="11.140625" style="18" customWidth="1"/>
    <col min="773" max="773" width="10.42578125" style="18" customWidth="1"/>
    <col min="774" max="774" width="11.140625" style="18" customWidth="1"/>
    <col min="775" max="775" width="11.28515625" style="18" customWidth="1"/>
    <col min="776" max="1024" width="11.42578125" style="18"/>
    <col min="1025" max="1025" width="4.42578125" style="18" customWidth="1"/>
    <col min="1026" max="1026" width="40.140625" style="18" customWidth="1"/>
    <col min="1027" max="1027" width="7.85546875" style="18" customWidth="1"/>
    <col min="1028" max="1028" width="11.140625" style="18" customWidth="1"/>
    <col min="1029" max="1029" width="10.42578125" style="18" customWidth="1"/>
    <col min="1030" max="1030" width="11.140625" style="18" customWidth="1"/>
    <col min="1031" max="1031" width="11.28515625" style="18" customWidth="1"/>
    <col min="1032" max="1280" width="11.42578125" style="18"/>
    <col min="1281" max="1281" width="4.42578125" style="18" customWidth="1"/>
    <col min="1282" max="1282" width="40.140625" style="18" customWidth="1"/>
    <col min="1283" max="1283" width="7.85546875" style="18" customWidth="1"/>
    <col min="1284" max="1284" width="11.140625" style="18" customWidth="1"/>
    <col min="1285" max="1285" width="10.42578125" style="18" customWidth="1"/>
    <col min="1286" max="1286" width="11.140625" style="18" customWidth="1"/>
    <col min="1287" max="1287" width="11.28515625" style="18" customWidth="1"/>
    <col min="1288" max="1536" width="11.42578125" style="18"/>
    <col min="1537" max="1537" width="4.42578125" style="18" customWidth="1"/>
    <col min="1538" max="1538" width="40.140625" style="18" customWidth="1"/>
    <col min="1539" max="1539" width="7.85546875" style="18" customWidth="1"/>
    <col min="1540" max="1540" width="11.140625" style="18" customWidth="1"/>
    <col min="1541" max="1541" width="10.42578125" style="18" customWidth="1"/>
    <col min="1542" max="1542" width="11.140625" style="18" customWidth="1"/>
    <col min="1543" max="1543" width="11.28515625" style="18" customWidth="1"/>
    <col min="1544" max="1792" width="11.42578125" style="18"/>
    <col min="1793" max="1793" width="4.42578125" style="18" customWidth="1"/>
    <col min="1794" max="1794" width="40.140625" style="18" customWidth="1"/>
    <col min="1795" max="1795" width="7.85546875" style="18" customWidth="1"/>
    <col min="1796" max="1796" width="11.140625" style="18" customWidth="1"/>
    <col min="1797" max="1797" width="10.42578125" style="18" customWidth="1"/>
    <col min="1798" max="1798" width="11.140625" style="18" customWidth="1"/>
    <col min="1799" max="1799" width="11.28515625" style="18" customWidth="1"/>
    <col min="1800" max="2048" width="11.42578125" style="18"/>
    <col min="2049" max="2049" width="4.42578125" style="18" customWidth="1"/>
    <col min="2050" max="2050" width="40.140625" style="18" customWidth="1"/>
    <col min="2051" max="2051" width="7.85546875" style="18" customWidth="1"/>
    <col min="2052" max="2052" width="11.140625" style="18" customWidth="1"/>
    <col min="2053" max="2053" width="10.42578125" style="18" customWidth="1"/>
    <col min="2054" max="2054" width="11.140625" style="18" customWidth="1"/>
    <col min="2055" max="2055" width="11.28515625" style="18" customWidth="1"/>
    <col min="2056" max="2304" width="11.42578125" style="18"/>
    <col min="2305" max="2305" width="4.42578125" style="18" customWidth="1"/>
    <col min="2306" max="2306" width="40.140625" style="18" customWidth="1"/>
    <col min="2307" max="2307" width="7.85546875" style="18" customWidth="1"/>
    <col min="2308" max="2308" width="11.140625" style="18" customWidth="1"/>
    <col min="2309" max="2309" width="10.42578125" style="18" customWidth="1"/>
    <col min="2310" max="2310" width="11.140625" style="18" customWidth="1"/>
    <col min="2311" max="2311" width="11.28515625" style="18" customWidth="1"/>
    <col min="2312" max="2560" width="11.42578125" style="18"/>
    <col min="2561" max="2561" width="4.42578125" style="18" customWidth="1"/>
    <col min="2562" max="2562" width="40.140625" style="18" customWidth="1"/>
    <col min="2563" max="2563" width="7.85546875" style="18" customWidth="1"/>
    <col min="2564" max="2564" width="11.140625" style="18" customWidth="1"/>
    <col min="2565" max="2565" width="10.42578125" style="18" customWidth="1"/>
    <col min="2566" max="2566" width="11.140625" style="18" customWidth="1"/>
    <col min="2567" max="2567" width="11.28515625" style="18" customWidth="1"/>
    <col min="2568" max="2816" width="11.42578125" style="18"/>
    <col min="2817" max="2817" width="4.42578125" style="18" customWidth="1"/>
    <col min="2818" max="2818" width="40.140625" style="18" customWidth="1"/>
    <col min="2819" max="2819" width="7.85546875" style="18" customWidth="1"/>
    <col min="2820" max="2820" width="11.140625" style="18" customWidth="1"/>
    <col min="2821" max="2821" width="10.42578125" style="18" customWidth="1"/>
    <col min="2822" max="2822" width="11.140625" style="18" customWidth="1"/>
    <col min="2823" max="2823" width="11.28515625" style="18" customWidth="1"/>
    <col min="2824" max="3072" width="11.42578125" style="18"/>
    <col min="3073" max="3073" width="4.42578125" style="18" customWidth="1"/>
    <col min="3074" max="3074" width="40.140625" style="18" customWidth="1"/>
    <col min="3075" max="3075" width="7.85546875" style="18" customWidth="1"/>
    <col min="3076" max="3076" width="11.140625" style="18" customWidth="1"/>
    <col min="3077" max="3077" width="10.42578125" style="18" customWidth="1"/>
    <col min="3078" max="3078" width="11.140625" style="18" customWidth="1"/>
    <col min="3079" max="3079" width="11.28515625" style="18" customWidth="1"/>
    <col min="3080" max="3328" width="11.42578125" style="18"/>
    <col min="3329" max="3329" width="4.42578125" style="18" customWidth="1"/>
    <col min="3330" max="3330" width="40.140625" style="18" customWidth="1"/>
    <col min="3331" max="3331" width="7.85546875" style="18" customWidth="1"/>
    <col min="3332" max="3332" width="11.140625" style="18" customWidth="1"/>
    <col min="3333" max="3333" width="10.42578125" style="18" customWidth="1"/>
    <col min="3334" max="3334" width="11.140625" style="18" customWidth="1"/>
    <col min="3335" max="3335" width="11.28515625" style="18" customWidth="1"/>
    <col min="3336" max="3584" width="11.42578125" style="18"/>
    <col min="3585" max="3585" width="4.42578125" style="18" customWidth="1"/>
    <col min="3586" max="3586" width="40.140625" style="18" customWidth="1"/>
    <col min="3587" max="3587" width="7.85546875" style="18" customWidth="1"/>
    <col min="3588" max="3588" width="11.140625" style="18" customWidth="1"/>
    <col min="3589" max="3589" width="10.42578125" style="18" customWidth="1"/>
    <col min="3590" max="3590" width="11.140625" style="18" customWidth="1"/>
    <col min="3591" max="3591" width="11.28515625" style="18" customWidth="1"/>
    <col min="3592" max="3840" width="11.42578125" style="18"/>
    <col min="3841" max="3841" width="4.42578125" style="18" customWidth="1"/>
    <col min="3842" max="3842" width="40.140625" style="18" customWidth="1"/>
    <col min="3843" max="3843" width="7.85546875" style="18" customWidth="1"/>
    <col min="3844" max="3844" width="11.140625" style="18" customWidth="1"/>
    <col min="3845" max="3845" width="10.42578125" style="18" customWidth="1"/>
    <col min="3846" max="3846" width="11.140625" style="18" customWidth="1"/>
    <col min="3847" max="3847" width="11.28515625" style="18" customWidth="1"/>
    <col min="3848" max="4096" width="11.42578125" style="18"/>
    <col min="4097" max="4097" width="4.42578125" style="18" customWidth="1"/>
    <col min="4098" max="4098" width="40.140625" style="18" customWidth="1"/>
    <col min="4099" max="4099" width="7.85546875" style="18" customWidth="1"/>
    <col min="4100" max="4100" width="11.140625" style="18" customWidth="1"/>
    <col min="4101" max="4101" width="10.42578125" style="18" customWidth="1"/>
    <col min="4102" max="4102" width="11.140625" style="18" customWidth="1"/>
    <col min="4103" max="4103" width="11.28515625" style="18" customWidth="1"/>
    <col min="4104" max="4352" width="11.42578125" style="18"/>
    <col min="4353" max="4353" width="4.42578125" style="18" customWidth="1"/>
    <col min="4354" max="4354" width="40.140625" style="18" customWidth="1"/>
    <col min="4355" max="4355" width="7.85546875" style="18" customWidth="1"/>
    <col min="4356" max="4356" width="11.140625" style="18" customWidth="1"/>
    <col min="4357" max="4357" width="10.42578125" style="18" customWidth="1"/>
    <col min="4358" max="4358" width="11.140625" style="18" customWidth="1"/>
    <col min="4359" max="4359" width="11.28515625" style="18" customWidth="1"/>
    <col min="4360" max="4608" width="11.42578125" style="18"/>
    <col min="4609" max="4609" width="4.42578125" style="18" customWidth="1"/>
    <col min="4610" max="4610" width="40.140625" style="18" customWidth="1"/>
    <col min="4611" max="4611" width="7.85546875" style="18" customWidth="1"/>
    <col min="4612" max="4612" width="11.140625" style="18" customWidth="1"/>
    <col min="4613" max="4613" width="10.42578125" style="18" customWidth="1"/>
    <col min="4614" max="4614" width="11.140625" style="18" customWidth="1"/>
    <col min="4615" max="4615" width="11.28515625" style="18" customWidth="1"/>
    <col min="4616" max="4864" width="11.42578125" style="18"/>
    <col min="4865" max="4865" width="4.42578125" style="18" customWidth="1"/>
    <col min="4866" max="4866" width="40.140625" style="18" customWidth="1"/>
    <col min="4867" max="4867" width="7.85546875" style="18" customWidth="1"/>
    <col min="4868" max="4868" width="11.140625" style="18" customWidth="1"/>
    <col min="4869" max="4869" width="10.42578125" style="18" customWidth="1"/>
    <col min="4870" max="4870" width="11.140625" style="18" customWidth="1"/>
    <col min="4871" max="4871" width="11.28515625" style="18" customWidth="1"/>
    <col min="4872" max="5120" width="11.42578125" style="18"/>
    <col min="5121" max="5121" width="4.42578125" style="18" customWidth="1"/>
    <col min="5122" max="5122" width="40.140625" style="18" customWidth="1"/>
    <col min="5123" max="5123" width="7.85546875" style="18" customWidth="1"/>
    <col min="5124" max="5124" width="11.140625" style="18" customWidth="1"/>
    <col min="5125" max="5125" width="10.42578125" style="18" customWidth="1"/>
    <col min="5126" max="5126" width="11.140625" style="18" customWidth="1"/>
    <col min="5127" max="5127" width="11.28515625" style="18" customWidth="1"/>
    <col min="5128" max="5376" width="11.42578125" style="18"/>
    <col min="5377" max="5377" width="4.42578125" style="18" customWidth="1"/>
    <col min="5378" max="5378" width="40.140625" style="18" customWidth="1"/>
    <col min="5379" max="5379" width="7.85546875" style="18" customWidth="1"/>
    <col min="5380" max="5380" width="11.140625" style="18" customWidth="1"/>
    <col min="5381" max="5381" width="10.42578125" style="18" customWidth="1"/>
    <col min="5382" max="5382" width="11.140625" style="18" customWidth="1"/>
    <col min="5383" max="5383" width="11.28515625" style="18" customWidth="1"/>
    <col min="5384" max="5632" width="11.42578125" style="18"/>
    <col min="5633" max="5633" width="4.42578125" style="18" customWidth="1"/>
    <col min="5634" max="5634" width="40.140625" style="18" customWidth="1"/>
    <col min="5635" max="5635" width="7.85546875" style="18" customWidth="1"/>
    <col min="5636" max="5636" width="11.140625" style="18" customWidth="1"/>
    <col min="5637" max="5637" width="10.42578125" style="18" customWidth="1"/>
    <col min="5638" max="5638" width="11.140625" style="18" customWidth="1"/>
    <col min="5639" max="5639" width="11.28515625" style="18" customWidth="1"/>
    <col min="5640" max="5888" width="11.42578125" style="18"/>
    <col min="5889" max="5889" width="4.42578125" style="18" customWidth="1"/>
    <col min="5890" max="5890" width="40.140625" style="18" customWidth="1"/>
    <col min="5891" max="5891" width="7.85546875" style="18" customWidth="1"/>
    <col min="5892" max="5892" width="11.140625" style="18" customWidth="1"/>
    <col min="5893" max="5893" width="10.42578125" style="18" customWidth="1"/>
    <col min="5894" max="5894" width="11.140625" style="18" customWidth="1"/>
    <col min="5895" max="5895" width="11.28515625" style="18" customWidth="1"/>
    <col min="5896" max="6144" width="11.42578125" style="18"/>
    <col min="6145" max="6145" width="4.42578125" style="18" customWidth="1"/>
    <col min="6146" max="6146" width="40.140625" style="18" customWidth="1"/>
    <col min="6147" max="6147" width="7.85546875" style="18" customWidth="1"/>
    <col min="6148" max="6148" width="11.140625" style="18" customWidth="1"/>
    <col min="6149" max="6149" width="10.42578125" style="18" customWidth="1"/>
    <col min="6150" max="6150" width="11.140625" style="18" customWidth="1"/>
    <col min="6151" max="6151" width="11.28515625" style="18" customWidth="1"/>
    <col min="6152" max="6400" width="11.42578125" style="18"/>
    <col min="6401" max="6401" width="4.42578125" style="18" customWidth="1"/>
    <col min="6402" max="6402" width="40.140625" style="18" customWidth="1"/>
    <col min="6403" max="6403" width="7.85546875" style="18" customWidth="1"/>
    <col min="6404" max="6404" width="11.140625" style="18" customWidth="1"/>
    <col min="6405" max="6405" width="10.42578125" style="18" customWidth="1"/>
    <col min="6406" max="6406" width="11.140625" style="18" customWidth="1"/>
    <col min="6407" max="6407" width="11.28515625" style="18" customWidth="1"/>
    <col min="6408" max="6656" width="11.42578125" style="18"/>
    <col min="6657" max="6657" width="4.42578125" style="18" customWidth="1"/>
    <col min="6658" max="6658" width="40.140625" style="18" customWidth="1"/>
    <col min="6659" max="6659" width="7.85546875" style="18" customWidth="1"/>
    <col min="6660" max="6660" width="11.140625" style="18" customWidth="1"/>
    <col min="6661" max="6661" width="10.42578125" style="18" customWidth="1"/>
    <col min="6662" max="6662" width="11.140625" style="18" customWidth="1"/>
    <col min="6663" max="6663" width="11.28515625" style="18" customWidth="1"/>
    <col min="6664" max="6912" width="11.42578125" style="18"/>
    <col min="6913" max="6913" width="4.42578125" style="18" customWidth="1"/>
    <col min="6914" max="6914" width="40.140625" style="18" customWidth="1"/>
    <col min="6915" max="6915" width="7.85546875" style="18" customWidth="1"/>
    <col min="6916" max="6916" width="11.140625" style="18" customWidth="1"/>
    <col min="6917" max="6917" width="10.42578125" style="18" customWidth="1"/>
    <col min="6918" max="6918" width="11.140625" style="18" customWidth="1"/>
    <col min="6919" max="6919" width="11.28515625" style="18" customWidth="1"/>
    <col min="6920" max="7168" width="11.42578125" style="18"/>
    <col min="7169" max="7169" width="4.42578125" style="18" customWidth="1"/>
    <col min="7170" max="7170" width="40.140625" style="18" customWidth="1"/>
    <col min="7171" max="7171" width="7.85546875" style="18" customWidth="1"/>
    <col min="7172" max="7172" width="11.140625" style="18" customWidth="1"/>
    <col min="7173" max="7173" width="10.42578125" style="18" customWidth="1"/>
    <col min="7174" max="7174" width="11.140625" style="18" customWidth="1"/>
    <col min="7175" max="7175" width="11.28515625" style="18" customWidth="1"/>
    <col min="7176" max="7424" width="11.42578125" style="18"/>
    <col min="7425" max="7425" width="4.42578125" style="18" customWidth="1"/>
    <col min="7426" max="7426" width="40.140625" style="18" customWidth="1"/>
    <col min="7427" max="7427" width="7.85546875" style="18" customWidth="1"/>
    <col min="7428" max="7428" width="11.140625" style="18" customWidth="1"/>
    <col min="7429" max="7429" width="10.42578125" style="18" customWidth="1"/>
    <col min="7430" max="7430" width="11.140625" style="18" customWidth="1"/>
    <col min="7431" max="7431" width="11.28515625" style="18" customWidth="1"/>
    <col min="7432" max="7680" width="11.42578125" style="18"/>
    <col min="7681" max="7681" width="4.42578125" style="18" customWidth="1"/>
    <col min="7682" max="7682" width="40.140625" style="18" customWidth="1"/>
    <col min="7683" max="7683" width="7.85546875" style="18" customWidth="1"/>
    <col min="7684" max="7684" width="11.140625" style="18" customWidth="1"/>
    <col min="7685" max="7685" width="10.42578125" style="18" customWidth="1"/>
    <col min="7686" max="7686" width="11.140625" style="18" customWidth="1"/>
    <col min="7687" max="7687" width="11.28515625" style="18" customWidth="1"/>
    <col min="7688" max="7936" width="11.42578125" style="18"/>
    <col min="7937" max="7937" width="4.42578125" style="18" customWidth="1"/>
    <col min="7938" max="7938" width="40.140625" style="18" customWidth="1"/>
    <col min="7939" max="7939" width="7.85546875" style="18" customWidth="1"/>
    <col min="7940" max="7940" width="11.140625" style="18" customWidth="1"/>
    <col min="7941" max="7941" width="10.42578125" style="18" customWidth="1"/>
    <col min="7942" max="7942" width="11.140625" style="18" customWidth="1"/>
    <col min="7943" max="7943" width="11.28515625" style="18" customWidth="1"/>
    <col min="7944" max="8192" width="11.42578125" style="18"/>
    <col min="8193" max="8193" width="4.42578125" style="18" customWidth="1"/>
    <col min="8194" max="8194" width="40.140625" style="18" customWidth="1"/>
    <col min="8195" max="8195" width="7.85546875" style="18" customWidth="1"/>
    <col min="8196" max="8196" width="11.140625" style="18" customWidth="1"/>
    <col min="8197" max="8197" width="10.42578125" style="18" customWidth="1"/>
    <col min="8198" max="8198" width="11.140625" style="18" customWidth="1"/>
    <col min="8199" max="8199" width="11.28515625" style="18" customWidth="1"/>
    <col min="8200" max="8448" width="11.42578125" style="18"/>
    <col min="8449" max="8449" width="4.42578125" style="18" customWidth="1"/>
    <col min="8450" max="8450" width="40.140625" style="18" customWidth="1"/>
    <col min="8451" max="8451" width="7.85546875" style="18" customWidth="1"/>
    <col min="8452" max="8452" width="11.140625" style="18" customWidth="1"/>
    <col min="8453" max="8453" width="10.42578125" style="18" customWidth="1"/>
    <col min="8454" max="8454" width="11.140625" style="18" customWidth="1"/>
    <col min="8455" max="8455" width="11.28515625" style="18" customWidth="1"/>
    <col min="8456" max="8704" width="11.42578125" style="18"/>
    <col min="8705" max="8705" width="4.42578125" style="18" customWidth="1"/>
    <col min="8706" max="8706" width="40.140625" style="18" customWidth="1"/>
    <col min="8707" max="8707" width="7.85546875" style="18" customWidth="1"/>
    <col min="8708" max="8708" width="11.140625" style="18" customWidth="1"/>
    <col min="8709" max="8709" width="10.42578125" style="18" customWidth="1"/>
    <col min="8710" max="8710" width="11.140625" style="18" customWidth="1"/>
    <col min="8711" max="8711" width="11.28515625" style="18" customWidth="1"/>
    <col min="8712" max="8960" width="11.42578125" style="18"/>
    <col min="8961" max="8961" width="4.42578125" style="18" customWidth="1"/>
    <col min="8962" max="8962" width="40.140625" style="18" customWidth="1"/>
    <col min="8963" max="8963" width="7.85546875" style="18" customWidth="1"/>
    <col min="8964" max="8964" width="11.140625" style="18" customWidth="1"/>
    <col min="8965" max="8965" width="10.42578125" style="18" customWidth="1"/>
    <col min="8966" max="8966" width="11.140625" style="18" customWidth="1"/>
    <col min="8967" max="8967" width="11.28515625" style="18" customWidth="1"/>
    <col min="8968" max="9216" width="11.42578125" style="18"/>
    <col min="9217" max="9217" width="4.42578125" style="18" customWidth="1"/>
    <col min="9218" max="9218" width="40.140625" style="18" customWidth="1"/>
    <col min="9219" max="9219" width="7.85546875" style="18" customWidth="1"/>
    <col min="9220" max="9220" width="11.140625" style="18" customWidth="1"/>
    <col min="9221" max="9221" width="10.42578125" style="18" customWidth="1"/>
    <col min="9222" max="9222" width="11.140625" style="18" customWidth="1"/>
    <col min="9223" max="9223" width="11.28515625" style="18" customWidth="1"/>
    <col min="9224" max="9472" width="11.42578125" style="18"/>
    <col min="9473" max="9473" width="4.42578125" style="18" customWidth="1"/>
    <col min="9474" max="9474" width="40.140625" style="18" customWidth="1"/>
    <col min="9475" max="9475" width="7.85546875" style="18" customWidth="1"/>
    <col min="9476" max="9476" width="11.140625" style="18" customWidth="1"/>
    <col min="9477" max="9477" width="10.42578125" style="18" customWidth="1"/>
    <col min="9478" max="9478" width="11.140625" style="18" customWidth="1"/>
    <col min="9479" max="9479" width="11.28515625" style="18" customWidth="1"/>
    <col min="9480" max="9728" width="11.42578125" style="18"/>
    <col min="9729" max="9729" width="4.42578125" style="18" customWidth="1"/>
    <col min="9730" max="9730" width="40.140625" style="18" customWidth="1"/>
    <col min="9731" max="9731" width="7.85546875" style="18" customWidth="1"/>
    <col min="9732" max="9732" width="11.140625" style="18" customWidth="1"/>
    <col min="9733" max="9733" width="10.42578125" style="18" customWidth="1"/>
    <col min="9734" max="9734" width="11.140625" style="18" customWidth="1"/>
    <col min="9735" max="9735" width="11.28515625" style="18" customWidth="1"/>
    <col min="9736" max="9984" width="11.42578125" style="18"/>
    <col min="9985" max="9985" width="4.42578125" style="18" customWidth="1"/>
    <col min="9986" max="9986" width="40.140625" style="18" customWidth="1"/>
    <col min="9987" max="9987" width="7.85546875" style="18" customWidth="1"/>
    <col min="9988" max="9988" width="11.140625" style="18" customWidth="1"/>
    <col min="9989" max="9989" width="10.42578125" style="18" customWidth="1"/>
    <col min="9990" max="9990" width="11.140625" style="18" customWidth="1"/>
    <col min="9991" max="9991" width="11.28515625" style="18" customWidth="1"/>
    <col min="9992" max="10240" width="11.42578125" style="18"/>
    <col min="10241" max="10241" width="4.42578125" style="18" customWidth="1"/>
    <col min="10242" max="10242" width="40.140625" style="18" customWidth="1"/>
    <col min="10243" max="10243" width="7.85546875" style="18" customWidth="1"/>
    <col min="10244" max="10244" width="11.140625" style="18" customWidth="1"/>
    <col min="10245" max="10245" width="10.42578125" style="18" customWidth="1"/>
    <col min="10246" max="10246" width="11.140625" style="18" customWidth="1"/>
    <col min="10247" max="10247" width="11.28515625" style="18" customWidth="1"/>
    <col min="10248" max="10496" width="11.42578125" style="18"/>
    <col min="10497" max="10497" width="4.42578125" style="18" customWidth="1"/>
    <col min="10498" max="10498" width="40.140625" style="18" customWidth="1"/>
    <col min="10499" max="10499" width="7.85546875" style="18" customWidth="1"/>
    <col min="10500" max="10500" width="11.140625" style="18" customWidth="1"/>
    <col min="10501" max="10501" width="10.42578125" style="18" customWidth="1"/>
    <col min="10502" max="10502" width="11.140625" style="18" customWidth="1"/>
    <col min="10503" max="10503" width="11.28515625" style="18" customWidth="1"/>
    <col min="10504" max="10752" width="11.42578125" style="18"/>
    <col min="10753" max="10753" width="4.42578125" style="18" customWidth="1"/>
    <col min="10754" max="10754" width="40.140625" style="18" customWidth="1"/>
    <col min="10755" max="10755" width="7.85546875" style="18" customWidth="1"/>
    <col min="10756" max="10756" width="11.140625" style="18" customWidth="1"/>
    <col min="10757" max="10757" width="10.42578125" style="18" customWidth="1"/>
    <col min="10758" max="10758" width="11.140625" style="18" customWidth="1"/>
    <col min="10759" max="10759" width="11.28515625" style="18" customWidth="1"/>
    <col min="10760" max="11008" width="11.42578125" style="18"/>
    <col min="11009" max="11009" width="4.42578125" style="18" customWidth="1"/>
    <col min="11010" max="11010" width="40.140625" style="18" customWidth="1"/>
    <col min="11011" max="11011" width="7.85546875" style="18" customWidth="1"/>
    <col min="11012" max="11012" width="11.140625" style="18" customWidth="1"/>
    <col min="11013" max="11013" width="10.42578125" style="18" customWidth="1"/>
    <col min="11014" max="11014" width="11.140625" style="18" customWidth="1"/>
    <col min="11015" max="11015" width="11.28515625" style="18" customWidth="1"/>
    <col min="11016" max="11264" width="11.42578125" style="18"/>
    <col min="11265" max="11265" width="4.42578125" style="18" customWidth="1"/>
    <col min="11266" max="11266" width="40.140625" style="18" customWidth="1"/>
    <col min="11267" max="11267" width="7.85546875" style="18" customWidth="1"/>
    <col min="11268" max="11268" width="11.140625" style="18" customWidth="1"/>
    <col min="11269" max="11269" width="10.42578125" style="18" customWidth="1"/>
    <col min="11270" max="11270" width="11.140625" style="18" customWidth="1"/>
    <col min="11271" max="11271" width="11.28515625" style="18" customWidth="1"/>
    <col min="11272" max="11520" width="11.42578125" style="18"/>
    <col min="11521" max="11521" width="4.42578125" style="18" customWidth="1"/>
    <col min="11522" max="11522" width="40.140625" style="18" customWidth="1"/>
    <col min="11523" max="11523" width="7.85546875" style="18" customWidth="1"/>
    <col min="11524" max="11524" width="11.140625" style="18" customWidth="1"/>
    <col min="11525" max="11525" width="10.42578125" style="18" customWidth="1"/>
    <col min="11526" max="11526" width="11.140625" style="18" customWidth="1"/>
    <col min="11527" max="11527" width="11.28515625" style="18" customWidth="1"/>
    <col min="11528" max="11776" width="11.42578125" style="18"/>
    <col min="11777" max="11777" width="4.42578125" style="18" customWidth="1"/>
    <col min="11778" max="11778" width="40.140625" style="18" customWidth="1"/>
    <col min="11779" max="11779" width="7.85546875" style="18" customWidth="1"/>
    <col min="11780" max="11780" width="11.140625" style="18" customWidth="1"/>
    <col min="11781" max="11781" width="10.42578125" style="18" customWidth="1"/>
    <col min="11782" max="11782" width="11.140625" style="18" customWidth="1"/>
    <col min="11783" max="11783" width="11.28515625" style="18" customWidth="1"/>
    <col min="11784" max="12032" width="11.42578125" style="18"/>
    <col min="12033" max="12033" width="4.42578125" style="18" customWidth="1"/>
    <col min="12034" max="12034" width="40.140625" style="18" customWidth="1"/>
    <col min="12035" max="12035" width="7.85546875" style="18" customWidth="1"/>
    <col min="12036" max="12036" width="11.140625" style="18" customWidth="1"/>
    <col min="12037" max="12037" width="10.42578125" style="18" customWidth="1"/>
    <col min="12038" max="12038" width="11.140625" style="18" customWidth="1"/>
    <col min="12039" max="12039" width="11.28515625" style="18" customWidth="1"/>
    <col min="12040" max="12288" width="11.42578125" style="18"/>
    <col min="12289" max="12289" width="4.42578125" style="18" customWidth="1"/>
    <col min="12290" max="12290" width="40.140625" style="18" customWidth="1"/>
    <col min="12291" max="12291" width="7.85546875" style="18" customWidth="1"/>
    <col min="12292" max="12292" width="11.140625" style="18" customWidth="1"/>
    <col min="12293" max="12293" width="10.42578125" style="18" customWidth="1"/>
    <col min="12294" max="12294" width="11.140625" style="18" customWidth="1"/>
    <col min="12295" max="12295" width="11.28515625" style="18" customWidth="1"/>
    <col min="12296" max="12544" width="11.42578125" style="18"/>
    <col min="12545" max="12545" width="4.42578125" style="18" customWidth="1"/>
    <col min="12546" max="12546" width="40.140625" style="18" customWidth="1"/>
    <col min="12547" max="12547" width="7.85546875" style="18" customWidth="1"/>
    <col min="12548" max="12548" width="11.140625" style="18" customWidth="1"/>
    <col min="12549" max="12549" width="10.42578125" style="18" customWidth="1"/>
    <col min="12550" max="12550" width="11.140625" style="18" customWidth="1"/>
    <col min="12551" max="12551" width="11.28515625" style="18" customWidth="1"/>
    <col min="12552" max="12800" width="11.42578125" style="18"/>
    <col min="12801" max="12801" width="4.42578125" style="18" customWidth="1"/>
    <col min="12802" max="12802" width="40.140625" style="18" customWidth="1"/>
    <col min="12803" max="12803" width="7.85546875" style="18" customWidth="1"/>
    <col min="12804" max="12804" width="11.140625" style="18" customWidth="1"/>
    <col min="12805" max="12805" width="10.42578125" style="18" customWidth="1"/>
    <col min="12806" max="12806" width="11.140625" style="18" customWidth="1"/>
    <col min="12807" max="12807" width="11.28515625" style="18" customWidth="1"/>
    <col min="12808" max="13056" width="11.42578125" style="18"/>
    <col min="13057" max="13057" width="4.42578125" style="18" customWidth="1"/>
    <col min="13058" max="13058" width="40.140625" style="18" customWidth="1"/>
    <col min="13059" max="13059" width="7.85546875" style="18" customWidth="1"/>
    <col min="13060" max="13060" width="11.140625" style="18" customWidth="1"/>
    <col min="13061" max="13061" width="10.42578125" style="18" customWidth="1"/>
    <col min="13062" max="13062" width="11.140625" style="18" customWidth="1"/>
    <col min="13063" max="13063" width="11.28515625" style="18" customWidth="1"/>
    <col min="13064" max="13312" width="11.42578125" style="18"/>
    <col min="13313" max="13313" width="4.42578125" style="18" customWidth="1"/>
    <col min="13314" max="13314" width="40.140625" style="18" customWidth="1"/>
    <col min="13315" max="13315" width="7.85546875" style="18" customWidth="1"/>
    <col min="13316" max="13316" width="11.140625" style="18" customWidth="1"/>
    <col min="13317" max="13317" width="10.42578125" style="18" customWidth="1"/>
    <col min="13318" max="13318" width="11.140625" style="18" customWidth="1"/>
    <col min="13319" max="13319" width="11.28515625" style="18" customWidth="1"/>
    <col min="13320" max="13568" width="11.42578125" style="18"/>
    <col min="13569" max="13569" width="4.42578125" style="18" customWidth="1"/>
    <col min="13570" max="13570" width="40.140625" style="18" customWidth="1"/>
    <col min="13571" max="13571" width="7.85546875" style="18" customWidth="1"/>
    <col min="13572" max="13572" width="11.140625" style="18" customWidth="1"/>
    <col min="13573" max="13573" width="10.42578125" style="18" customWidth="1"/>
    <col min="13574" max="13574" width="11.140625" style="18" customWidth="1"/>
    <col min="13575" max="13575" width="11.28515625" style="18" customWidth="1"/>
    <col min="13576" max="13824" width="11.42578125" style="18"/>
    <col min="13825" max="13825" width="4.42578125" style="18" customWidth="1"/>
    <col min="13826" max="13826" width="40.140625" style="18" customWidth="1"/>
    <col min="13827" max="13827" width="7.85546875" style="18" customWidth="1"/>
    <col min="13828" max="13828" width="11.140625" style="18" customWidth="1"/>
    <col min="13829" max="13829" width="10.42578125" style="18" customWidth="1"/>
    <col min="13830" max="13830" width="11.140625" style="18" customWidth="1"/>
    <col min="13831" max="13831" width="11.28515625" style="18" customWidth="1"/>
    <col min="13832" max="14080" width="11.42578125" style="18"/>
    <col min="14081" max="14081" width="4.42578125" style="18" customWidth="1"/>
    <col min="14082" max="14082" width="40.140625" style="18" customWidth="1"/>
    <col min="14083" max="14083" width="7.85546875" style="18" customWidth="1"/>
    <col min="14084" max="14084" width="11.140625" style="18" customWidth="1"/>
    <col min="14085" max="14085" width="10.42578125" style="18" customWidth="1"/>
    <col min="14086" max="14086" width="11.140625" style="18" customWidth="1"/>
    <col min="14087" max="14087" width="11.28515625" style="18" customWidth="1"/>
    <col min="14088" max="14336" width="11.42578125" style="18"/>
    <col min="14337" max="14337" width="4.42578125" style="18" customWidth="1"/>
    <col min="14338" max="14338" width="40.140625" style="18" customWidth="1"/>
    <col min="14339" max="14339" width="7.85546875" style="18" customWidth="1"/>
    <col min="14340" max="14340" width="11.140625" style="18" customWidth="1"/>
    <col min="14341" max="14341" width="10.42578125" style="18" customWidth="1"/>
    <col min="14342" max="14342" width="11.140625" style="18" customWidth="1"/>
    <col min="14343" max="14343" width="11.28515625" style="18" customWidth="1"/>
    <col min="14344" max="14592" width="11.42578125" style="18"/>
    <col min="14593" max="14593" width="4.42578125" style="18" customWidth="1"/>
    <col min="14594" max="14594" width="40.140625" style="18" customWidth="1"/>
    <col min="14595" max="14595" width="7.85546875" style="18" customWidth="1"/>
    <col min="14596" max="14596" width="11.140625" style="18" customWidth="1"/>
    <col min="14597" max="14597" width="10.42578125" style="18" customWidth="1"/>
    <col min="14598" max="14598" width="11.140625" style="18" customWidth="1"/>
    <col min="14599" max="14599" width="11.28515625" style="18" customWidth="1"/>
    <col min="14600" max="14848" width="11.42578125" style="18"/>
    <col min="14849" max="14849" width="4.42578125" style="18" customWidth="1"/>
    <col min="14850" max="14850" width="40.140625" style="18" customWidth="1"/>
    <col min="14851" max="14851" width="7.85546875" style="18" customWidth="1"/>
    <col min="14852" max="14852" width="11.140625" style="18" customWidth="1"/>
    <col min="14853" max="14853" width="10.42578125" style="18" customWidth="1"/>
    <col min="14854" max="14854" width="11.140625" style="18" customWidth="1"/>
    <col min="14855" max="14855" width="11.28515625" style="18" customWidth="1"/>
    <col min="14856" max="15104" width="11.42578125" style="18"/>
    <col min="15105" max="15105" width="4.42578125" style="18" customWidth="1"/>
    <col min="15106" max="15106" width="40.140625" style="18" customWidth="1"/>
    <col min="15107" max="15107" width="7.85546875" style="18" customWidth="1"/>
    <col min="15108" max="15108" width="11.140625" style="18" customWidth="1"/>
    <col min="15109" max="15109" width="10.42578125" style="18" customWidth="1"/>
    <col min="15110" max="15110" width="11.140625" style="18" customWidth="1"/>
    <col min="15111" max="15111" width="11.28515625" style="18" customWidth="1"/>
    <col min="15112" max="15360" width="11.42578125" style="18"/>
    <col min="15361" max="15361" width="4.42578125" style="18" customWidth="1"/>
    <col min="15362" max="15362" width="40.140625" style="18" customWidth="1"/>
    <col min="15363" max="15363" width="7.85546875" style="18" customWidth="1"/>
    <col min="15364" max="15364" width="11.140625" style="18" customWidth="1"/>
    <col min="15365" max="15365" width="10.42578125" style="18" customWidth="1"/>
    <col min="15366" max="15366" width="11.140625" style="18" customWidth="1"/>
    <col min="15367" max="15367" width="11.28515625" style="18" customWidth="1"/>
    <col min="15368" max="15616" width="11.42578125" style="18"/>
    <col min="15617" max="15617" width="4.42578125" style="18" customWidth="1"/>
    <col min="15618" max="15618" width="40.140625" style="18" customWidth="1"/>
    <col min="15619" max="15619" width="7.85546875" style="18" customWidth="1"/>
    <col min="15620" max="15620" width="11.140625" style="18" customWidth="1"/>
    <col min="15621" max="15621" width="10.42578125" style="18" customWidth="1"/>
    <col min="15622" max="15622" width="11.140625" style="18" customWidth="1"/>
    <col min="15623" max="15623" width="11.28515625" style="18" customWidth="1"/>
    <col min="15624" max="15872" width="11.42578125" style="18"/>
    <col min="15873" max="15873" width="4.42578125" style="18" customWidth="1"/>
    <col min="15874" max="15874" width="40.140625" style="18" customWidth="1"/>
    <col min="15875" max="15875" width="7.85546875" style="18" customWidth="1"/>
    <col min="15876" max="15876" width="11.140625" style="18" customWidth="1"/>
    <col min="15877" max="15877" width="10.42578125" style="18" customWidth="1"/>
    <col min="15878" max="15878" width="11.140625" style="18" customWidth="1"/>
    <col min="15879" max="15879" width="11.28515625" style="18" customWidth="1"/>
    <col min="15880" max="16128" width="11.42578125" style="18"/>
    <col min="16129" max="16129" width="4.42578125" style="18" customWidth="1"/>
    <col min="16130" max="16130" width="40.140625" style="18" customWidth="1"/>
    <col min="16131" max="16131" width="7.85546875" style="18" customWidth="1"/>
    <col min="16132" max="16132" width="11.140625" style="18" customWidth="1"/>
    <col min="16133" max="16133" width="10.42578125" style="18" customWidth="1"/>
    <col min="16134" max="16134" width="11.140625" style="18" customWidth="1"/>
    <col min="16135" max="16135" width="11.28515625" style="18" customWidth="1"/>
    <col min="16136" max="16384" width="11.42578125" style="18"/>
  </cols>
  <sheetData>
    <row r="1" spans="2:14" x14ac:dyDescent="0.25">
      <c r="B1" s="19"/>
      <c r="C1" s="19"/>
      <c r="D1" s="19"/>
      <c r="E1" s="19"/>
      <c r="F1" s="19"/>
      <c r="G1" s="19"/>
    </row>
    <row r="2" spans="2:14" x14ac:dyDescent="0.25">
      <c r="B2" s="320" t="s">
        <v>67</v>
      </c>
      <c r="C2" s="320"/>
      <c r="D2" s="320"/>
      <c r="E2" s="320"/>
      <c r="F2" s="320"/>
      <c r="G2" s="19"/>
    </row>
    <row r="3" spans="2:14" s="20" customFormat="1" ht="39" customHeight="1" x14ac:dyDescent="0.25">
      <c r="B3" s="21" t="s">
        <v>0</v>
      </c>
      <c r="C3" s="21" t="s">
        <v>1</v>
      </c>
      <c r="D3" s="21" t="s">
        <v>2</v>
      </c>
      <c r="E3" s="21" t="s">
        <v>68</v>
      </c>
      <c r="F3" s="21" t="s">
        <v>45</v>
      </c>
      <c r="G3" s="22"/>
      <c r="I3" s="23"/>
      <c r="J3" s="23"/>
      <c r="K3" s="23"/>
      <c r="L3" s="23"/>
      <c r="M3" s="24"/>
      <c r="N3" s="24"/>
    </row>
    <row r="4" spans="2:14" s="25" customFormat="1" ht="12.75" x14ac:dyDescent="0.2">
      <c r="B4" s="8" t="s">
        <v>3</v>
      </c>
      <c r="C4" s="11" t="s">
        <v>69</v>
      </c>
      <c r="D4" s="26">
        <v>0</v>
      </c>
      <c r="E4" s="27">
        <v>0</v>
      </c>
      <c r="F4" s="12">
        <f>D4*E4</f>
        <v>0</v>
      </c>
      <c r="I4" s="28"/>
      <c r="J4" s="28"/>
      <c r="K4" s="28"/>
      <c r="L4" s="28"/>
      <c r="M4" s="28"/>
      <c r="N4" s="28"/>
    </row>
    <row r="5" spans="2:14" s="25" customFormat="1" x14ac:dyDescent="0.25">
      <c r="B5" s="8" t="s">
        <v>70</v>
      </c>
      <c r="C5" s="29"/>
      <c r="D5" s="30"/>
      <c r="E5" s="27"/>
      <c r="F5" s="12">
        <f>SUM(F6:F13)</f>
        <v>0</v>
      </c>
      <c r="I5" s="31"/>
      <c r="J5" s="32"/>
      <c r="K5" s="33"/>
      <c r="L5" s="31"/>
      <c r="M5" s="34"/>
      <c r="N5" s="35"/>
    </row>
    <row r="6" spans="2:14" s="25" customFormat="1" x14ac:dyDescent="0.25">
      <c r="B6" s="36" t="s">
        <v>88</v>
      </c>
      <c r="C6" s="37" t="s">
        <v>71</v>
      </c>
      <c r="D6" s="38">
        <v>0</v>
      </c>
      <c r="E6" s="39">
        <v>0</v>
      </c>
      <c r="F6" s="40">
        <f>D6*E6</f>
        <v>0</v>
      </c>
      <c r="I6" s="31"/>
      <c r="J6" s="32"/>
      <c r="K6" s="33"/>
      <c r="L6" s="31"/>
      <c r="M6" s="34"/>
      <c r="N6" s="35"/>
    </row>
    <row r="7" spans="2:14" s="25" customFormat="1" x14ac:dyDescent="0.25">
      <c r="B7" s="36" t="s">
        <v>88</v>
      </c>
      <c r="C7" s="37" t="s">
        <v>71</v>
      </c>
      <c r="D7" s="38">
        <v>0</v>
      </c>
      <c r="E7" s="39">
        <v>0</v>
      </c>
      <c r="F7" s="41">
        <f t="shared" ref="F7:F13" si="0">D7*E7</f>
        <v>0</v>
      </c>
      <c r="I7" s="31"/>
      <c r="J7" s="32"/>
      <c r="K7" s="33"/>
      <c r="L7" s="31"/>
      <c r="M7" s="34"/>
      <c r="N7" s="35"/>
    </row>
    <row r="8" spans="2:14" s="25" customFormat="1" x14ac:dyDescent="0.25">
      <c r="B8" s="36" t="s">
        <v>88</v>
      </c>
      <c r="C8" s="37" t="s">
        <v>71</v>
      </c>
      <c r="D8" s="38">
        <v>0</v>
      </c>
      <c r="E8" s="39">
        <v>0</v>
      </c>
      <c r="F8" s="40">
        <f t="shared" si="0"/>
        <v>0</v>
      </c>
      <c r="I8" s="31"/>
      <c r="J8" s="32"/>
      <c r="K8" s="33"/>
      <c r="L8" s="31"/>
      <c r="M8" s="34"/>
      <c r="N8" s="35"/>
    </row>
    <row r="9" spans="2:14" s="25" customFormat="1" x14ac:dyDescent="0.25">
      <c r="B9" s="36" t="s">
        <v>88</v>
      </c>
      <c r="C9" s="37" t="s">
        <v>71</v>
      </c>
      <c r="D9" s="38">
        <v>0</v>
      </c>
      <c r="E9" s="39">
        <v>0</v>
      </c>
      <c r="F9" s="40">
        <f>D9*E9</f>
        <v>0</v>
      </c>
      <c r="I9" s="31"/>
      <c r="J9" s="32"/>
      <c r="K9" s="33"/>
      <c r="L9" s="31"/>
      <c r="M9" s="34"/>
      <c r="N9" s="35"/>
    </row>
    <row r="10" spans="2:14" s="25" customFormat="1" x14ac:dyDescent="0.25">
      <c r="B10" s="36" t="s">
        <v>88</v>
      </c>
      <c r="C10" s="37" t="s">
        <v>71</v>
      </c>
      <c r="D10" s="38">
        <v>0</v>
      </c>
      <c r="E10" s="39">
        <v>0</v>
      </c>
      <c r="F10" s="40">
        <f t="shared" si="0"/>
        <v>0</v>
      </c>
      <c r="I10" s="31"/>
      <c r="J10" s="32"/>
      <c r="K10" s="33"/>
      <c r="L10" s="31"/>
      <c r="M10" s="34"/>
      <c r="N10" s="35"/>
    </row>
    <row r="11" spans="2:14" s="25" customFormat="1" x14ac:dyDescent="0.25">
      <c r="B11" s="36" t="s">
        <v>88</v>
      </c>
      <c r="C11" s="37" t="s">
        <v>71</v>
      </c>
      <c r="D11" s="38">
        <v>0</v>
      </c>
      <c r="E11" s="39">
        <v>0</v>
      </c>
      <c r="F11" s="40">
        <f t="shared" si="0"/>
        <v>0</v>
      </c>
      <c r="I11" s="31"/>
      <c r="J11" s="32"/>
      <c r="K11" s="33"/>
      <c r="L11" s="31"/>
      <c r="M11" s="34"/>
      <c r="N11" s="35"/>
    </row>
    <row r="12" spans="2:14" x14ac:dyDescent="0.25">
      <c r="B12" s="36" t="s">
        <v>88</v>
      </c>
      <c r="C12" s="37" t="s">
        <v>71</v>
      </c>
      <c r="D12" s="38">
        <v>0</v>
      </c>
      <c r="E12" s="39">
        <v>0</v>
      </c>
      <c r="F12" s="40">
        <f t="shared" si="0"/>
        <v>0</v>
      </c>
      <c r="G12" s="19"/>
      <c r="I12" s="33"/>
      <c r="J12" s="32"/>
      <c r="K12" s="32"/>
      <c r="L12" s="42"/>
      <c r="M12" s="42"/>
      <c r="N12" s="43"/>
    </row>
    <row r="13" spans="2:14" x14ac:dyDescent="0.25">
      <c r="B13" s="36" t="s">
        <v>88</v>
      </c>
      <c r="C13" s="37" t="s">
        <v>71</v>
      </c>
      <c r="D13" s="38">
        <v>0</v>
      </c>
      <c r="E13" s="39">
        <v>0</v>
      </c>
      <c r="F13" s="40">
        <f t="shared" si="0"/>
        <v>0</v>
      </c>
      <c r="G13" s="19"/>
      <c r="I13" s="44"/>
      <c r="J13" s="32"/>
      <c r="K13" s="32"/>
      <c r="L13" s="42"/>
      <c r="M13" s="42"/>
      <c r="N13" s="43"/>
    </row>
    <row r="14" spans="2:14" s="25" customFormat="1" ht="12.75" x14ac:dyDescent="0.2">
      <c r="B14" s="8" t="s">
        <v>72</v>
      </c>
      <c r="C14" s="8"/>
      <c r="D14" s="8"/>
      <c r="E14" s="27"/>
      <c r="F14" s="12">
        <f>SUM(F15:F18)</f>
        <v>0</v>
      </c>
    </row>
    <row r="15" spans="2:14" x14ac:dyDescent="0.25">
      <c r="B15" s="45" t="s">
        <v>88</v>
      </c>
      <c r="C15" s="37" t="s">
        <v>71</v>
      </c>
      <c r="D15" s="38">
        <v>0</v>
      </c>
      <c r="E15" s="39">
        <v>0</v>
      </c>
      <c r="F15" s="40">
        <f>D15*E15</f>
        <v>0</v>
      </c>
      <c r="G15" s="19"/>
    </row>
    <row r="16" spans="2:14" x14ac:dyDescent="0.25">
      <c r="B16" s="45" t="s">
        <v>88</v>
      </c>
      <c r="C16" s="38" t="s">
        <v>73</v>
      </c>
      <c r="D16" s="38">
        <v>0</v>
      </c>
      <c r="E16" s="39">
        <v>0</v>
      </c>
      <c r="F16" s="40">
        <f>D16*E16</f>
        <v>0</v>
      </c>
      <c r="G16" s="19"/>
    </row>
    <row r="17" spans="2:7" x14ac:dyDescent="0.25">
      <c r="B17" s="45" t="s">
        <v>88</v>
      </c>
      <c r="C17" s="37" t="s">
        <v>71</v>
      </c>
      <c r="D17" s="38">
        <v>0</v>
      </c>
      <c r="E17" s="39">
        <v>0</v>
      </c>
      <c r="F17" s="40">
        <f>D17*E17</f>
        <v>0</v>
      </c>
      <c r="G17" s="19"/>
    </row>
    <row r="18" spans="2:7" x14ac:dyDescent="0.25">
      <c r="B18" s="45" t="s">
        <v>88</v>
      </c>
      <c r="C18" s="38" t="s">
        <v>73</v>
      </c>
      <c r="D18" s="38">
        <v>0</v>
      </c>
      <c r="E18" s="39">
        <v>0</v>
      </c>
      <c r="F18" s="40">
        <f>D18*E18</f>
        <v>0</v>
      </c>
      <c r="G18" s="19"/>
    </row>
    <row r="19" spans="2:7" x14ac:dyDescent="0.25">
      <c r="B19" s="321" t="s">
        <v>74</v>
      </c>
      <c r="C19" s="322"/>
      <c r="D19" s="322"/>
      <c r="E19" s="323"/>
      <c r="F19" s="13">
        <f>F14+F5+F4</f>
        <v>0</v>
      </c>
      <c r="G19" s="46">
        <f>F5+F14</f>
        <v>0</v>
      </c>
    </row>
    <row r="20" spans="2:7" ht="26.25" customHeight="1" x14ac:dyDescent="0.25">
      <c r="B20" s="324" t="s">
        <v>75</v>
      </c>
      <c r="C20" s="324"/>
      <c r="D20" s="324"/>
      <c r="E20" s="324"/>
      <c r="F20" s="324"/>
      <c r="G20" s="47"/>
    </row>
    <row r="21" spans="2:7" x14ac:dyDescent="0.25">
      <c r="B21" s="47" t="s">
        <v>76</v>
      </c>
      <c r="C21" s="47"/>
      <c r="D21" s="47"/>
      <c r="E21" s="47"/>
      <c r="F21" s="47"/>
      <c r="G21" s="47"/>
    </row>
    <row r="22" spans="2:7" x14ac:dyDescent="0.25">
      <c r="B22" s="47"/>
      <c r="C22" s="47"/>
      <c r="D22" s="47"/>
      <c r="E22" s="47"/>
      <c r="F22" s="47"/>
      <c r="G22" s="47"/>
    </row>
    <row r="23" spans="2:7" x14ac:dyDescent="0.25">
      <c r="B23" s="47"/>
      <c r="C23" s="47"/>
      <c r="D23" s="47"/>
      <c r="E23" s="47"/>
      <c r="F23" s="47"/>
      <c r="G23" s="47"/>
    </row>
    <row r="24" spans="2:7" x14ac:dyDescent="0.25">
      <c r="B24" s="47"/>
      <c r="C24" s="47"/>
      <c r="D24" s="47"/>
      <c r="E24" s="47"/>
      <c r="F24" s="47"/>
      <c r="G24" s="47"/>
    </row>
    <row r="25" spans="2:7" x14ac:dyDescent="0.25">
      <c r="B25" s="47"/>
      <c r="C25" s="47"/>
      <c r="D25" s="47"/>
      <c r="E25" s="47"/>
      <c r="F25" s="47"/>
      <c r="G25" s="47"/>
    </row>
    <row r="26" spans="2:7" x14ac:dyDescent="0.25">
      <c r="B26" s="47"/>
      <c r="C26" s="47"/>
      <c r="D26" s="47"/>
      <c r="E26" s="47"/>
      <c r="F26" s="47"/>
      <c r="G26" s="47"/>
    </row>
    <row r="27" spans="2:7" x14ac:dyDescent="0.25">
      <c r="B27" s="47"/>
      <c r="C27" s="47"/>
      <c r="D27" s="47"/>
      <c r="E27" s="47"/>
      <c r="F27" s="47"/>
      <c r="G27" s="47"/>
    </row>
    <row r="28" spans="2:7" x14ac:dyDescent="0.25">
      <c r="B28" s="47"/>
      <c r="C28" s="47"/>
      <c r="D28" s="47"/>
      <c r="E28" s="47"/>
      <c r="F28" s="47"/>
      <c r="G28" s="47"/>
    </row>
    <row r="29" spans="2:7" x14ac:dyDescent="0.25">
      <c r="B29" s="47"/>
      <c r="C29" s="47"/>
      <c r="D29" s="47"/>
      <c r="E29" s="47"/>
      <c r="F29" s="47"/>
      <c r="G29" s="47"/>
    </row>
    <row r="30" spans="2:7" x14ac:dyDescent="0.25">
      <c r="B30" s="48"/>
      <c r="C30" s="48"/>
      <c r="D30" s="48"/>
      <c r="E30" s="48"/>
      <c r="F30" s="48"/>
      <c r="G30" s="48"/>
    </row>
    <row r="31" spans="2:7" x14ac:dyDescent="0.25">
      <c r="B31" s="48"/>
      <c r="C31" s="48"/>
      <c r="D31" s="48"/>
      <c r="E31" s="48"/>
      <c r="F31" s="48"/>
      <c r="G31" s="48"/>
    </row>
    <row r="32" spans="2:7" x14ac:dyDescent="0.25">
      <c r="B32" s="48"/>
      <c r="C32" s="48"/>
      <c r="D32" s="48"/>
      <c r="E32" s="48"/>
      <c r="F32" s="48"/>
      <c r="G32" s="48"/>
    </row>
    <row r="33" spans="2:7" x14ac:dyDescent="0.25">
      <c r="B33" s="48"/>
      <c r="C33" s="48"/>
      <c r="D33" s="48"/>
      <c r="E33" s="48"/>
      <c r="F33" s="48"/>
      <c r="G33" s="48"/>
    </row>
    <row r="34" spans="2:7" x14ac:dyDescent="0.25">
      <c r="B34" s="48"/>
      <c r="C34" s="48"/>
      <c r="D34" s="48"/>
      <c r="E34" s="48"/>
      <c r="F34" s="48"/>
      <c r="G34" s="48"/>
    </row>
    <row r="35" spans="2:7" x14ac:dyDescent="0.25">
      <c r="B35" s="48"/>
      <c r="C35" s="48"/>
      <c r="D35" s="48"/>
      <c r="E35" s="48"/>
      <c r="F35" s="48"/>
      <c r="G35" s="48"/>
    </row>
    <row r="36" spans="2:7" x14ac:dyDescent="0.25">
      <c r="B36" s="48"/>
      <c r="C36" s="48"/>
      <c r="D36" s="48"/>
      <c r="E36" s="48"/>
      <c r="F36" s="48"/>
      <c r="G36" s="48"/>
    </row>
    <row r="37" spans="2:7" x14ac:dyDescent="0.25">
      <c r="B37" s="48"/>
      <c r="C37" s="48"/>
      <c r="D37" s="48"/>
      <c r="E37" s="48"/>
      <c r="F37" s="48"/>
      <c r="G37" s="48"/>
    </row>
    <row r="38" spans="2:7" x14ac:dyDescent="0.25">
      <c r="B38" s="48"/>
      <c r="C38" s="48"/>
      <c r="D38" s="48"/>
      <c r="E38" s="48"/>
      <c r="F38" s="48"/>
      <c r="G38" s="48"/>
    </row>
    <row r="39" spans="2:7" x14ac:dyDescent="0.25">
      <c r="B39" s="48"/>
      <c r="C39" s="48"/>
      <c r="D39" s="48"/>
      <c r="E39" s="48"/>
      <c r="F39" s="48"/>
      <c r="G39" s="48"/>
    </row>
    <row r="40" spans="2:7" x14ac:dyDescent="0.25">
      <c r="B40" s="48"/>
      <c r="C40" s="48"/>
      <c r="D40" s="48"/>
      <c r="E40" s="48"/>
      <c r="F40" s="48"/>
      <c r="G40" s="48"/>
    </row>
    <row r="41" spans="2:7" x14ac:dyDescent="0.25">
      <c r="B41" s="48"/>
      <c r="C41" s="48"/>
      <c r="D41" s="48"/>
      <c r="E41" s="48"/>
      <c r="F41" s="48"/>
      <c r="G41" s="48"/>
    </row>
    <row r="42" spans="2:7" x14ac:dyDescent="0.25">
      <c r="B42" s="48"/>
      <c r="C42" s="48"/>
      <c r="D42" s="48"/>
      <c r="E42" s="48"/>
      <c r="F42" s="48"/>
      <c r="G42" s="48"/>
    </row>
    <row r="43" spans="2:7" x14ac:dyDescent="0.25">
      <c r="B43" s="48"/>
      <c r="C43" s="48"/>
      <c r="D43" s="48"/>
      <c r="E43" s="48"/>
      <c r="F43" s="48"/>
      <c r="G43" s="48"/>
    </row>
    <row r="44" spans="2:7" x14ac:dyDescent="0.25">
      <c r="B44" s="48"/>
      <c r="C44" s="48"/>
      <c r="D44" s="48"/>
      <c r="E44" s="48"/>
      <c r="F44" s="48"/>
      <c r="G44" s="48"/>
    </row>
    <row r="45" spans="2:7" x14ac:dyDescent="0.25">
      <c r="B45" s="48"/>
      <c r="C45" s="48"/>
      <c r="D45" s="48"/>
      <c r="E45" s="48"/>
      <c r="F45" s="48"/>
      <c r="G45" s="48"/>
    </row>
    <row r="46" spans="2:7" x14ac:dyDescent="0.25">
      <c r="B46" s="48"/>
      <c r="C46" s="48"/>
      <c r="D46" s="48"/>
      <c r="E46" s="48"/>
      <c r="F46" s="48"/>
      <c r="G46" s="48"/>
    </row>
    <row r="47" spans="2:7" x14ac:dyDescent="0.25">
      <c r="B47" s="48"/>
      <c r="C47" s="48"/>
      <c r="D47" s="48"/>
      <c r="E47" s="48"/>
      <c r="F47" s="48"/>
      <c r="G47" s="48"/>
    </row>
    <row r="48" spans="2:7" x14ac:dyDescent="0.25">
      <c r="B48" s="48"/>
      <c r="C48" s="48"/>
      <c r="D48" s="48"/>
      <c r="E48" s="48"/>
      <c r="F48" s="48"/>
      <c r="G48" s="48"/>
    </row>
    <row r="49" spans="2:7" x14ac:dyDescent="0.25">
      <c r="B49" s="48"/>
      <c r="C49" s="48"/>
      <c r="D49" s="48"/>
      <c r="E49" s="48"/>
      <c r="F49" s="48"/>
      <c r="G49" s="48"/>
    </row>
    <row r="50" spans="2:7" x14ac:dyDescent="0.25">
      <c r="B50" s="48"/>
      <c r="C50" s="48"/>
      <c r="D50" s="48"/>
      <c r="E50" s="48"/>
      <c r="F50" s="48"/>
      <c r="G50" s="48"/>
    </row>
    <row r="51" spans="2:7" x14ac:dyDescent="0.25">
      <c r="B51" s="48"/>
      <c r="C51" s="48"/>
      <c r="D51" s="48"/>
      <c r="E51" s="48"/>
      <c r="F51" s="48"/>
      <c r="G51" s="48"/>
    </row>
    <row r="52" spans="2:7" x14ac:dyDescent="0.25">
      <c r="B52" s="48"/>
      <c r="C52" s="48"/>
      <c r="D52" s="48"/>
      <c r="E52" s="48"/>
      <c r="F52" s="48"/>
      <c r="G52" s="48"/>
    </row>
    <row r="53" spans="2:7" x14ac:dyDescent="0.25">
      <c r="B53" s="48"/>
      <c r="C53" s="48"/>
      <c r="D53" s="48"/>
      <c r="E53" s="48"/>
      <c r="F53" s="48"/>
      <c r="G53" s="48"/>
    </row>
    <row r="54" spans="2:7" x14ac:dyDescent="0.25">
      <c r="B54" s="48"/>
      <c r="C54" s="48"/>
      <c r="D54" s="48"/>
      <c r="E54" s="48"/>
      <c r="F54" s="48"/>
      <c r="G54" s="48"/>
    </row>
    <row r="55" spans="2:7" x14ac:dyDescent="0.25">
      <c r="B55" s="48"/>
      <c r="C55" s="48"/>
      <c r="D55" s="48"/>
      <c r="E55" s="48"/>
      <c r="F55" s="48"/>
      <c r="G55" s="48"/>
    </row>
    <row r="56" spans="2:7" x14ac:dyDescent="0.25">
      <c r="B56" s="48"/>
      <c r="C56" s="48"/>
      <c r="D56" s="48"/>
      <c r="E56" s="48"/>
      <c r="F56" s="48"/>
      <c r="G56" s="48"/>
    </row>
    <row r="57" spans="2:7" x14ac:dyDescent="0.25">
      <c r="B57" s="48"/>
      <c r="C57" s="48"/>
      <c r="D57" s="48"/>
      <c r="E57" s="48"/>
      <c r="F57" s="48"/>
      <c r="G57" s="48"/>
    </row>
    <row r="58" spans="2:7" x14ac:dyDescent="0.25">
      <c r="B58" s="48"/>
      <c r="C58" s="48"/>
      <c r="D58" s="48"/>
      <c r="E58" s="48"/>
      <c r="F58" s="48"/>
      <c r="G58" s="48"/>
    </row>
    <row r="59" spans="2:7" x14ac:dyDescent="0.25">
      <c r="B59" s="48"/>
      <c r="C59" s="48"/>
      <c r="D59" s="48"/>
      <c r="E59" s="48"/>
      <c r="F59" s="48"/>
      <c r="G59" s="48"/>
    </row>
    <row r="60" spans="2:7" x14ac:dyDescent="0.25">
      <c r="B60" s="48"/>
      <c r="C60" s="48"/>
      <c r="D60" s="48"/>
      <c r="E60" s="48"/>
      <c r="F60" s="48"/>
      <c r="G60" s="48"/>
    </row>
    <row r="61" spans="2:7" x14ac:dyDescent="0.25">
      <c r="B61" s="48"/>
      <c r="C61" s="48"/>
      <c r="D61" s="48"/>
      <c r="E61" s="48"/>
      <c r="F61" s="48"/>
      <c r="G61" s="48"/>
    </row>
    <row r="62" spans="2:7" x14ac:dyDescent="0.25">
      <c r="B62" s="48"/>
      <c r="C62" s="48"/>
      <c r="D62" s="48"/>
      <c r="E62" s="48"/>
      <c r="F62" s="48"/>
      <c r="G62" s="48"/>
    </row>
    <row r="63" spans="2:7" x14ac:dyDescent="0.25">
      <c r="B63" s="48"/>
      <c r="C63" s="48"/>
      <c r="D63" s="48"/>
      <c r="E63" s="48"/>
      <c r="F63" s="48"/>
      <c r="G63" s="48"/>
    </row>
    <row r="64" spans="2:7" x14ac:dyDescent="0.25">
      <c r="B64" s="48"/>
      <c r="C64" s="48"/>
      <c r="D64" s="48"/>
      <c r="E64" s="48"/>
      <c r="F64" s="48"/>
      <c r="G64" s="48"/>
    </row>
    <row r="65" spans="2:7" x14ac:dyDescent="0.25">
      <c r="B65" s="48"/>
      <c r="C65" s="48"/>
      <c r="D65" s="48"/>
      <c r="E65" s="48"/>
      <c r="F65" s="48"/>
      <c r="G65" s="48"/>
    </row>
    <row r="66" spans="2:7" x14ac:dyDescent="0.25">
      <c r="B66" s="48"/>
      <c r="C66" s="48"/>
      <c r="D66" s="48"/>
      <c r="E66" s="48"/>
      <c r="F66" s="48"/>
      <c r="G66" s="48"/>
    </row>
    <row r="67" spans="2:7" x14ac:dyDescent="0.25">
      <c r="B67" s="48"/>
      <c r="C67" s="48"/>
      <c r="D67" s="48"/>
      <c r="E67" s="48"/>
      <c r="F67" s="48"/>
      <c r="G67" s="48"/>
    </row>
    <row r="68" spans="2:7" x14ac:dyDescent="0.25">
      <c r="B68" s="48"/>
      <c r="C68" s="48"/>
      <c r="D68" s="48"/>
      <c r="E68" s="48"/>
      <c r="F68" s="48"/>
      <c r="G68" s="48"/>
    </row>
    <row r="69" spans="2:7" x14ac:dyDescent="0.25">
      <c r="B69" s="48"/>
      <c r="C69" s="48"/>
      <c r="D69" s="48"/>
      <c r="E69" s="48"/>
      <c r="F69" s="48"/>
      <c r="G69" s="48"/>
    </row>
    <row r="70" spans="2:7" x14ac:dyDescent="0.25">
      <c r="B70" s="48"/>
      <c r="C70" s="48"/>
      <c r="D70" s="48"/>
      <c r="E70" s="48"/>
      <c r="F70" s="48"/>
      <c r="G70" s="48"/>
    </row>
    <row r="71" spans="2:7" x14ac:dyDescent="0.25">
      <c r="B71" s="48"/>
      <c r="C71" s="48"/>
      <c r="D71" s="48"/>
      <c r="E71" s="48"/>
      <c r="F71" s="48"/>
      <c r="G71" s="48"/>
    </row>
    <row r="72" spans="2:7" x14ac:dyDescent="0.25">
      <c r="B72" s="48"/>
      <c r="C72" s="48"/>
      <c r="D72" s="48"/>
      <c r="E72" s="48"/>
      <c r="F72" s="48"/>
      <c r="G72" s="48"/>
    </row>
    <row r="73" spans="2:7" x14ac:dyDescent="0.25">
      <c r="B73" s="48"/>
      <c r="C73" s="48"/>
      <c r="D73" s="48"/>
      <c r="E73" s="48"/>
      <c r="F73" s="48"/>
      <c r="G73" s="48"/>
    </row>
    <row r="74" spans="2:7" x14ac:dyDescent="0.25">
      <c r="B74" s="48"/>
      <c r="C74" s="48"/>
      <c r="D74" s="48"/>
      <c r="E74" s="48"/>
      <c r="F74" s="48"/>
      <c r="G74" s="48"/>
    </row>
    <row r="75" spans="2:7" x14ac:dyDescent="0.25">
      <c r="B75" s="48"/>
      <c r="C75" s="48"/>
      <c r="D75" s="48"/>
      <c r="E75" s="48"/>
      <c r="F75" s="48"/>
      <c r="G75" s="48"/>
    </row>
    <row r="76" spans="2:7" x14ac:dyDescent="0.25">
      <c r="B76" s="48"/>
      <c r="C76" s="48"/>
      <c r="D76" s="48"/>
      <c r="E76" s="48"/>
      <c r="F76" s="48"/>
      <c r="G76" s="48"/>
    </row>
    <row r="77" spans="2:7" x14ac:dyDescent="0.25">
      <c r="B77" s="48"/>
      <c r="C77" s="48"/>
      <c r="D77" s="48"/>
      <c r="E77" s="48"/>
      <c r="F77" s="48"/>
      <c r="G77" s="48"/>
    </row>
    <row r="78" spans="2:7" x14ac:dyDescent="0.25">
      <c r="B78" s="48"/>
      <c r="C78" s="48"/>
      <c r="D78" s="48"/>
      <c r="E78" s="48"/>
      <c r="F78" s="48"/>
      <c r="G78" s="48"/>
    </row>
    <row r="79" spans="2:7" x14ac:dyDescent="0.25">
      <c r="B79" s="48"/>
      <c r="C79" s="48"/>
      <c r="D79" s="48"/>
      <c r="E79" s="48"/>
      <c r="F79" s="48"/>
      <c r="G79" s="48"/>
    </row>
    <row r="80" spans="2:7" x14ac:dyDescent="0.25">
      <c r="B80" s="48"/>
      <c r="C80" s="48"/>
      <c r="D80" s="48"/>
      <c r="E80" s="48"/>
      <c r="F80" s="48"/>
      <c r="G80" s="48"/>
    </row>
    <row r="81" spans="2:7" x14ac:dyDescent="0.25">
      <c r="B81" s="48"/>
      <c r="C81" s="48"/>
      <c r="D81" s="48"/>
      <c r="E81" s="48"/>
      <c r="F81" s="48"/>
      <c r="G81" s="48"/>
    </row>
    <row r="82" spans="2:7" x14ac:dyDescent="0.25">
      <c r="B82" s="48"/>
      <c r="C82" s="48"/>
      <c r="D82" s="48"/>
      <c r="E82" s="48"/>
      <c r="F82" s="48"/>
      <c r="G82" s="48"/>
    </row>
    <row r="83" spans="2:7" x14ac:dyDescent="0.25">
      <c r="B83" s="48"/>
      <c r="C83" s="48"/>
      <c r="D83" s="48"/>
      <c r="E83" s="48"/>
      <c r="F83" s="48"/>
      <c r="G83" s="48"/>
    </row>
    <row r="84" spans="2:7" x14ac:dyDescent="0.25">
      <c r="B84" s="48"/>
      <c r="C84" s="48"/>
      <c r="D84" s="48"/>
      <c r="E84" s="48"/>
      <c r="F84" s="48"/>
      <c r="G84" s="48"/>
    </row>
    <row r="85" spans="2:7" x14ac:dyDescent="0.25">
      <c r="B85" s="48"/>
      <c r="C85" s="48"/>
      <c r="D85" s="48"/>
      <c r="E85" s="48"/>
      <c r="F85" s="48"/>
      <c r="G85" s="48"/>
    </row>
    <row r="86" spans="2:7" x14ac:dyDescent="0.25">
      <c r="B86" s="48"/>
      <c r="C86" s="48"/>
      <c r="D86" s="48"/>
      <c r="E86" s="48"/>
      <c r="F86" s="48"/>
      <c r="G86" s="48"/>
    </row>
    <row r="87" spans="2:7" x14ac:dyDescent="0.25">
      <c r="B87" s="48"/>
      <c r="C87" s="48"/>
      <c r="D87" s="48"/>
      <c r="E87" s="48"/>
      <c r="F87" s="48"/>
      <c r="G87" s="48"/>
    </row>
    <row r="88" spans="2:7" x14ac:dyDescent="0.25">
      <c r="B88" s="48"/>
      <c r="C88" s="48"/>
      <c r="D88" s="48"/>
      <c r="E88" s="48"/>
      <c r="F88" s="48"/>
      <c r="G88" s="48"/>
    </row>
    <row r="89" spans="2:7" x14ac:dyDescent="0.25">
      <c r="B89" s="48"/>
      <c r="C89" s="48"/>
      <c r="D89" s="48"/>
      <c r="E89" s="48"/>
      <c r="F89" s="48"/>
      <c r="G89" s="48"/>
    </row>
    <row r="90" spans="2:7" x14ac:dyDescent="0.25">
      <c r="B90" s="48"/>
      <c r="C90" s="48"/>
      <c r="D90" s="48"/>
      <c r="E90" s="48"/>
      <c r="F90" s="48"/>
      <c r="G90" s="48"/>
    </row>
    <row r="91" spans="2:7" x14ac:dyDescent="0.25">
      <c r="B91" s="48"/>
      <c r="C91" s="48"/>
      <c r="D91" s="48"/>
      <c r="E91" s="48"/>
      <c r="F91" s="48"/>
      <c r="G91" s="48"/>
    </row>
    <row r="92" spans="2:7" x14ac:dyDescent="0.25">
      <c r="B92" s="48"/>
      <c r="C92" s="48"/>
      <c r="D92" s="48"/>
      <c r="E92" s="48"/>
      <c r="F92" s="48"/>
      <c r="G92" s="48"/>
    </row>
    <row r="93" spans="2:7" x14ac:dyDescent="0.25">
      <c r="B93" s="48"/>
      <c r="C93" s="48"/>
      <c r="D93" s="48"/>
      <c r="E93" s="48"/>
      <c r="F93" s="48"/>
      <c r="G93" s="48"/>
    </row>
    <row r="94" spans="2:7" x14ac:dyDescent="0.25">
      <c r="B94" s="48"/>
      <c r="C94" s="48"/>
      <c r="D94" s="48"/>
      <c r="E94" s="48"/>
      <c r="F94" s="48"/>
      <c r="G94" s="48"/>
    </row>
    <row r="95" spans="2:7" x14ac:dyDescent="0.25">
      <c r="B95" s="48"/>
      <c r="C95" s="48"/>
      <c r="D95" s="48"/>
      <c r="E95" s="48"/>
      <c r="F95" s="48"/>
      <c r="G95" s="48"/>
    </row>
    <row r="96" spans="2:7" x14ac:dyDescent="0.25">
      <c r="B96" s="48"/>
      <c r="C96" s="48"/>
      <c r="D96" s="48"/>
      <c r="E96" s="48"/>
      <c r="F96" s="48"/>
      <c r="G96" s="48"/>
    </row>
    <row r="97" spans="2:7" x14ac:dyDescent="0.25">
      <c r="B97" s="48"/>
      <c r="C97" s="48"/>
      <c r="D97" s="48"/>
      <c r="E97" s="48"/>
      <c r="F97" s="48"/>
      <c r="G97" s="48"/>
    </row>
    <row r="98" spans="2:7" x14ac:dyDescent="0.25">
      <c r="B98" s="48"/>
      <c r="C98" s="48"/>
      <c r="D98" s="48"/>
      <c r="E98" s="48"/>
      <c r="F98" s="48"/>
      <c r="G98" s="48"/>
    </row>
    <row r="99" spans="2:7" x14ac:dyDescent="0.25">
      <c r="B99" s="48"/>
      <c r="C99" s="48"/>
      <c r="D99" s="48"/>
      <c r="E99" s="48"/>
      <c r="F99" s="48"/>
      <c r="G99" s="48"/>
    </row>
    <row r="100" spans="2:7" x14ac:dyDescent="0.25">
      <c r="B100" s="48"/>
      <c r="C100" s="48"/>
      <c r="D100" s="48"/>
      <c r="E100" s="48"/>
      <c r="F100" s="48"/>
      <c r="G100" s="48"/>
    </row>
    <row r="101" spans="2:7" x14ac:dyDescent="0.25">
      <c r="B101" s="48"/>
      <c r="C101" s="48"/>
      <c r="D101" s="48"/>
      <c r="E101" s="48"/>
      <c r="F101" s="48"/>
      <c r="G101" s="48"/>
    </row>
    <row r="102" spans="2:7" x14ac:dyDescent="0.25">
      <c r="B102" s="48"/>
      <c r="C102" s="48"/>
      <c r="D102" s="48"/>
      <c r="E102" s="48"/>
      <c r="F102" s="48"/>
      <c r="G102" s="48"/>
    </row>
    <row r="103" spans="2:7" x14ac:dyDescent="0.25">
      <c r="B103" s="48"/>
      <c r="C103" s="48"/>
      <c r="D103" s="48"/>
      <c r="E103" s="48"/>
      <c r="F103" s="48"/>
      <c r="G103" s="48"/>
    </row>
    <row r="104" spans="2:7" x14ac:dyDescent="0.25">
      <c r="B104" s="48"/>
      <c r="C104" s="48"/>
      <c r="D104" s="48"/>
      <c r="E104" s="48"/>
      <c r="F104" s="48"/>
      <c r="G104" s="48"/>
    </row>
    <row r="105" spans="2:7" x14ac:dyDescent="0.25">
      <c r="B105" s="48"/>
      <c r="C105" s="48"/>
      <c r="D105" s="48"/>
      <c r="E105" s="48"/>
      <c r="F105" s="48"/>
      <c r="G105" s="48"/>
    </row>
    <row r="106" spans="2:7" x14ac:dyDescent="0.25">
      <c r="B106" s="48"/>
      <c r="C106" s="48"/>
      <c r="D106" s="48"/>
      <c r="E106" s="48"/>
      <c r="F106" s="48"/>
      <c r="G106" s="48"/>
    </row>
    <row r="107" spans="2:7" x14ac:dyDescent="0.25">
      <c r="B107" s="48"/>
      <c r="C107" s="48"/>
      <c r="D107" s="48"/>
      <c r="E107" s="48"/>
      <c r="F107" s="48"/>
      <c r="G107" s="48"/>
    </row>
    <row r="108" spans="2:7" x14ac:dyDescent="0.25">
      <c r="B108" s="48"/>
      <c r="C108" s="48"/>
      <c r="D108" s="48"/>
      <c r="E108" s="48"/>
      <c r="F108" s="48"/>
      <c r="G108" s="48"/>
    </row>
    <row r="109" spans="2:7" x14ac:dyDescent="0.25">
      <c r="B109" s="48"/>
      <c r="C109" s="48"/>
      <c r="D109" s="48"/>
      <c r="E109" s="48"/>
      <c r="F109" s="48"/>
      <c r="G109" s="48"/>
    </row>
    <row r="110" spans="2:7" x14ac:dyDescent="0.25">
      <c r="B110" s="48"/>
      <c r="C110" s="48"/>
      <c r="D110" s="48"/>
      <c r="E110" s="48"/>
      <c r="F110" s="48"/>
      <c r="G110" s="48"/>
    </row>
    <row r="111" spans="2:7" x14ac:dyDescent="0.25">
      <c r="B111" s="48"/>
      <c r="C111" s="48"/>
      <c r="D111" s="48"/>
      <c r="E111" s="48"/>
      <c r="F111" s="48"/>
      <c r="G111" s="48"/>
    </row>
    <row r="112" spans="2:7" x14ac:dyDescent="0.25">
      <c r="B112" s="48"/>
      <c r="C112" s="48"/>
      <c r="D112" s="48"/>
      <c r="E112" s="48"/>
      <c r="F112" s="48"/>
      <c r="G112" s="48"/>
    </row>
    <row r="113" spans="2:7" x14ac:dyDescent="0.25">
      <c r="B113" s="48"/>
      <c r="C113" s="48"/>
      <c r="D113" s="48"/>
      <c r="E113" s="48"/>
      <c r="F113" s="48"/>
      <c r="G113" s="48"/>
    </row>
    <row r="114" spans="2:7" x14ac:dyDescent="0.25">
      <c r="B114" s="48"/>
      <c r="C114" s="48"/>
      <c r="D114" s="48"/>
      <c r="E114" s="48"/>
      <c r="F114" s="48"/>
      <c r="G114" s="48"/>
    </row>
    <row r="115" spans="2:7" x14ac:dyDescent="0.25">
      <c r="B115" s="48"/>
      <c r="C115" s="48"/>
      <c r="D115" s="48"/>
      <c r="E115" s="48"/>
      <c r="F115" s="48"/>
      <c r="G115" s="48"/>
    </row>
    <row r="116" spans="2:7" x14ac:dyDescent="0.25">
      <c r="B116" s="48"/>
      <c r="C116" s="48"/>
      <c r="D116" s="48"/>
      <c r="E116" s="48"/>
      <c r="F116" s="48"/>
      <c r="G116" s="48"/>
    </row>
    <row r="117" spans="2:7" x14ac:dyDescent="0.25">
      <c r="B117" s="48"/>
      <c r="C117" s="48"/>
      <c r="D117" s="48"/>
      <c r="E117" s="48"/>
      <c r="F117" s="48"/>
      <c r="G117" s="48"/>
    </row>
    <row r="118" spans="2:7" x14ac:dyDescent="0.25">
      <c r="B118" s="48"/>
      <c r="C118" s="48"/>
      <c r="D118" s="48"/>
      <c r="E118" s="48"/>
      <c r="F118" s="48"/>
      <c r="G118" s="48"/>
    </row>
    <row r="119" spans="2:7" x14ac:dyDescent="0.25">
      <c r="B119" s="48"/>
      <c r="C119" s="48"/>
      <c r="D119" s="48"/>
      <c r="E119" s="48"/>
      <c r="F119" s="48"/>
      <c r="G119" s="48"/>
    </row>
    <row r="120" spans="2:7" x14ac:dyDescent="0.25">
      <c r="B120" s="48"/>
      <c r="C120" s="48"/>
      <c r="D120" s="48"/>
      <c r="E120" s="48"/>
      <c r="F120" s="48"/>
      <c r="G120" s="48"/>
    </row>
    <row r="121" spans="2:7" x14ac:dyDescent="0.25">
      <c r="B121" s="48"/>
      <c r="C121" s="48"/>
      <c r="D121" s="48"/>
      <c r="E121" s="48"/>
      <c r="F121" s="48"/>
      <c r="G121" s="48"/>
    </row>
    <row r="122" spans="2:7" x14ac:dyDescent="0.25">
      <c r="B122" s="48"/>
      <c r="C122" s="48"/>
      <c r="D122" s="48"/>
      <c r="E122" s="48"/>
      <c r="F122" s="48"/>
      <c r="G122" s="48"/>
    </row>
    <row r="123" spans="2:7" x14ac:dyDescent="0.25">
      <c r="B123" s="48"/>
      <c r="C123" s="48"/>
      <c r="D123" s="48"/>
      <c r="E123" s="48"/>
      <c r="F123" s="48"/>
      <c r="G123" s="48"/>
    </row>
    <row r="124" spans="2:7" x14ac:dyDescent="0.25">
      <c r="B124" s="48"/>
      <c r="C124" s="48"/>
      <c r="D124" s="48"/>
      <c r="E124" s="48"/>
      <c r="F124" s="48"/>
      <c r="G124" s="48"/>
    </row>
    <row r="125" spans="2:7" x14ac:dyDescent="0.25">
      <c r="B125" s="48"/>
      <c r="C125" s="48"/>
      <c r="D125" s="48"/>
      <c r="E125" s="48"/>
      <c r="F125" s="48"/>
      <c r="G125" s="48"/>
    </row>
    <row r="126" spans="2:7" x14ac:dyDescent="0.25">
      <c r="B126" s="48"/>
      <c r="C126" s="48"/>
      <c r="D126" s="48"/>
      <c r="E126" s="48"/>
      <c r="F126" s="48"/>
      <c r="G126" s="48"/>
    </row>
    <row r="127" spans="2:7" x14ac:dyDescent="0.25">
      <c r="B127" s="48"/>
      <c r="C127" s="48"/>
      <c r="D127" s="48"/>
      <c r="E127" s="48"/>
      <c r="F127" s="48"/>
      <c r="G127" s="48"/>
    </row>
    <row r="128" spans="2:7" x14ac:dyDescent="0.25">
      <c r="B128" s="48"/>
      <c r="C128" s="48"/>
      <c r="D128" s="48"/>
      <c r="E128" s="48"/>
      <c r="F128" s="48"/>
      <c r="G128" s="48"/>
    </row>
    <row r="129" spans="2:7" x14ac:dyDescent="0.25">
      <c r="B129" s="48"/>
      <c r="C129" s="48"/>
      <c r="D129" s="48"/>
      <c r="E129" s="48"/>
      <c r="F129" s="48"/>
      <c r="G129" s="48"/>
    </row>
    <row r="130" spans="2:7" x14ac:dyDescent="0.25">
      <c r="B130" s="48"/>
      <c r="C130" s="48"/>
      <c r="D130" s="48"/>
      <c r="E130" s="48"/>
      <c r="F130" s="48"/>
      <c r="G130" s="48"/>
    </row>
  </sheetData>
  <mergeCells count="3">
    <mergeCell ref="B2:F2"/>
    <mergeCell ref="B19:E19"/>
    <mergeCell ref="B20:F20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workbookViewId="0">
      <selection activeCell="C13" sqref="C13"/>
    </sheetView>
  </sheetViews>
  <sheetFormatPr baseColWidth="10" defaultRowHeight="15" x14ac:dyDescent="0.25"/>
  <cols>
    <col min="1" max="1" width="43.28515625" customWidth="1"/>
    <col min="2" max="2" width="12.85546875" customWidth="1"/>
    <col min="3" max="3" width="11" customWidth="1"/>
    <col min="4" max="7" width="11.5703125" bestFit="1" customWidth="1"/>
    <col min="8" max="8" width="12.85546875" bestFit="1" customWidth="1"/>
    <col min="9" max="9" width="2.7109375" customWidth="1"/>
    <col min="257" max="257" width="43.28515625" customWidth="1"/>
    <col min="258" max="258" width="12.85546875" customWidth="1"/>
    <col min="259" max="259" width="11" customWidth="1"/>
    <col min="260" max="263" width="11.5703125" bestFit="1" customWidth="1"/>
    <col min="264" max="264" width="12.85546875" bestFit="1" customWidth="1"/>
    <col min="265" max="265" width="2.7109375" customWidth="1"/>
    <col min="513" max="513" width="43.28515625" customWidth="1"/>
    <col min="514" max="514" width="12.85546875" customWidth="1"/>
    <col min="515" max="515" width="11" customWidth="1"/>
    <col min="516" max="519" width="11.5703125" bestFit="1" customWidth="1"/>
    <col min="520" max="520" width="12.85546875" bestFit="1" customWidth="1"/>
    <col min="521" max="521" width="2.7109375" customWidth="1"/>
    <col min="769" max="769" width="43.28515625" customWidth="1"/>
    <col min="770" max="770" width="12.85546875" customWidth="1"/>
    <col min="771" max="771" width="11" customWidth="1"/>
    <col min="772" max="775" width="11.5703125" bestFit="1" customWidth="1"/>
    <col min="776" max="776" width="12.85546875" bestFit="1" customWidth="1"/>
    <col min="777" max="777" width="2.7109375" customWidth="1"/>
    <col min="1025" max="1025" width="43.28515625" customWidth="1"/>
    <col min="1026" max="1026" width="12.85546875" customWidth="1"/>
    <col min="1027" max="1027" width="11" customWidth="1"/>
    <col min="1028" max="1031" width="11.5703125" bestFit="1" customWidth="1"/>
    <col min="1032" max="1032" width="12.85546875" bestFit="1" customWidth="1"/>
    <col min="1033" max="1033" width="2.7109375" customWidth="1"/>
    <col min="1281" max="1281" width="43.28515625" customWidth="1"/>
    <col min="1282" max="1282" width="12.85546875" customWidth="1"/>
    <col min="1283" max="1283" width="11" customWidth="1"/>
    <col min="1284" max="1287" width="11.5703125" bestFit="1" customWidth="1"/>
    <col min="1288" max="1288" width="12.85546875" bestFit="1" customWidth="1"/>
    <col min="1289" max="1289" width="2.7109375" customWidth="1"/>
    <col min="1537" max="1537" width="43.28515625" customWidth="1"/>
    <col min="1538" max="1538" width="12.85546875" customWidth="1"/>
    <col min="1539" max="1539" width="11" customWidth="1"/>
    <col min="1540" max="1543" width="11.5703125" bestFit="1" customWidth="1"/>
    <col min="1544" max="1544" width="12.85546875" bestFit="1" customWidth="1"/>
    <col min="1545" max="1545" width="2.7109375" customWidth="1"/>
    <col min="1793" max="1793" width="43.28515625" customWidth="1"/>
    <col min="1794" max="1794" width="12.85546875" customWidth="1"/>
    <col min="1795" max="1795" width="11" customWidth="1"/>
    <col min="1796" max="1799" width="11.5703125" bestFit="1" customWidth="1"/>
    <col min="1800" max="1800" width="12.85546875" bestFit="1" customWidth="1"/>
    <col min="1801" max="1801" width="2.7109375" customWidth="1"/>
    <col min="2049" max="2049" width="43.28515625" customWidth="1"/>
    <col min="2050" max="2050" width="12.85546875" customWidth="1"/>
    <col min="2051" max="2051" width="11" customWidth="1"/>
    <col min="2052" max="2055" width="11.5703125" bestFit="1" customWidth="1"/>
    <col min="2056" max="2056" width="12.85546875" bestFit="1" customWidth="1"/>
    <col min="2057" max="2057" width="2.7109375" customWidth="1"/>
    <col min="2305" max="2305" width="43.28515625" customWidth="1"/>
    <col min="2306" max="2306" width="12.85546875" customWidth="1"/>
    <col min="2307" max="2307" width="11" customWidth="1"/>
    <col min="2308" max="2311" width="11.5703125" bestFit="1" customWidth="1"/>
    <col min="2312" max="2312" width="12.85546875" bestFit="1" customWidth="1"/>
    <col min="2313" max="2313" width="2.7109375" customWidth="1"/>
    <col min="2561" max="2561" width="43.28515625" customWidth="1"/>
    <col min="2562" max="2562" width="12.85546875" customWidth="1"/>
    <col min="2563" max="2563" width="11" customWidth="1"/>
    <col min="2564" max="2567" width="11.5703125" bestFit="1" customWidth="1"/>
    <col min="2568" max="2568" width="12.85546875" bestFit="1" customWidth="1"/>
    <col min="2569" max="2569" width="2.7109375" customWidth="1"/>
    <col min="2817" max="2817" width="43.28515625" customWidth="1"/>
    <col min="2818" max="2818" width="12.85546875" customWidth="1"/>
    <col min="2819" max="2819" width="11" customWidth="1"/>
    <col min="2820" max="2823" width="11.5703125" bestFit="1" customWidth="1"/>
    <col min="2824" max="2824" width="12.85546875" bestFit="1" customWidth="1"/>
    <col min="2825" max="2825" width="2.7109375" customWidth="1"/>
    <col min="3073" max="3073" width="43.28515625" customWidth="1"/>
    <col min="3074" max="3074" width="12.85546875" customWidth="1"/>
    <col min="3075" max="3075" width="11" customWidth="1"/>
    <col min="3076" max="3079" width="11.5703125" bestFit="1" customWidth="1"/>
    <col min="3080" max="3080" width="12.85546875" bestFit="1" customWidth="1"/>
    <col min="3081" max="3081" width="2.7109375" customWidth="1"/>
    <col min="3329" max="3329" width="43.28515625" customWidth="1"/>
    <col min="3330" max="3330" width="12.85546875" customWidth="1"/>
    <col min="3331" max="3331" width="11" customWidth="1"/>
    <col min="3332" max="3335" width="11.5703125" bestFit="1" customWidth="1"/>
    <col min="3336" max="3336" width="12.85546875" bestFit="1" customWidth="1"/>
    <col min="3337" max="3337" width="2.7109375" customWidth="1"/>
    <col min="3585" max="3585" width="43.28515625" customWidth="1"/>
    <col min="3586" max="3586" width="12.85546875" customWidth="1"/>
    <col min="3587" max="3587" width="11" customWidth="1"/>
    <col min="3588" max="3591" width="11.5703125" bestFit="1" customWidth="1"/>
    <col min="3592" max="3592" width="12.85546875" bestFit="1" customWidth="1"/>
    <col min="3593" max="3593" width="2.7109375" customWidth="1"/>
    <col min="3841" max="3841" width="43.28515625" customWidth="1"/>
    <col min="3842" max="3842" width="12.85546875" customWidth="1"/>
    <col min="3843" max="3843" width="11" customWidth="1"/>
    <col min="3844" max="3847" width="11.5703125" bestFit="1" customWidth="1"/>
    <col min="3848" max="3848" width="12.85546875" bestFit="1" customWidth="1"/>
    <col min="3849" max="3849" width="2.7109375" customWidth="1"/>
    <col min="4097" max="4097" width="43.28515625" customWidth="1"/>
    <col min="4098" max="4098" width="12.85546875" customWidth="1"/>
    <col min="4099" max="4099" width="11" customWidth="1"/>
    <col min="4100" max="4103" width="11.5703125" bestFit="1" customWidth="1"/>
    <col min="4104" max="4104" width="12.85546875" bestFit="1" customWidth="1"/>
    <col min="4105" max="4105" width="2.7109375" customWidth="1"/>
    <col min="4353" max="4353" width="43.28515625" customWidth="1"/>
    <col min="4354" max="4354" width="12.85546875" customWidth="1"/>
    <col min="4355" max="4355" width="11" customWidth="1"/>
    <col min="4356" max="4359" width="11.5703125" bestFit="1" customWidth="1"/>
    <col min="4360" max="4360" width="12.85546875" bestFit="1" customWidth="1"/>
    <col min="4361" max="4361" width="2.7109375" customWidth="1"/>
    <col min="4609" max="4609" width="43.28515625" customWidth="1"/>
    <col min="4610" max="4610" width="12.85546875" customWidth="1"/>
    <col min="4611" max="4611" width="11" customWidth="1"/>
    <col min="4612" max="4615" width="11.5703125" bestFit="1" customWidth="1"/>
    <col min="4616" max="4616" width="12.85546875" bestFit="1" customWidth="1"/>
    <col min="4617" max="4617" width="2.7109375" customWidth="1"/>
    <col min="4865" max="4865" width="43.28515625" customWidth="1"/>
    <col min="4866" max="4866" width="12.85546875" customWidth="1"/>
    <col min="4867" max="4867" width="11" customWidth="1"/>
    <col min="4868" max="4871" width="11.5703125" bestFit="1" customWidth="1"/>
    <col min="4872" max="4872" width="12.85546875" bestFit="1" customWidth="1"/>
    <col min="4873" max="4873" width="2.7109375" customWidth="1"/>
    <col min="5121" max="5121" width="43.28515625" customWidth="1"/>
    <col min="5122" max="5122" width="12.85546875" customWidth="1"/>
    <col min="5123" max="5123" width="11" customWidth="1"/>
    <col min="5124" max="5127" width="11.5703125" bestFit="1" customWidth="1"/>
    <col min="5128" max="5128" width="12.85546875" bestFit="1" customWidth="1"/>
    <col min="5129" max="5129" width="2.7109375" customWidth="1"/>
    <col min="5377" max="5377" width="43.28515625" customWidth="1"/>
    <col min="5378" max="5378" width="12.85546875" customWidth="1"/>
    <col min="5379" max="5379" width="11" customWidth="1"/>
    <col min="5380" max="5383" width="11.5703125" bestFit="1" customWidth="1"/>
    <col min="5384" max="5384" width="12.85546875" bestFit="1" customWidth="1"/>
    <col min="5385" max="5385" width="2.7109375" customWidth="1"/>
    <col min="5633" max="5633" width="43.28515625" customWidth="1"/>
    <col min="5634" max="5634" width="12.85546875" customWidth="1"/>
    <col min="5635" max="5635" width="11" customWidth="1"/>
    <col min="5636" max="5639" width="11.5703125" bestFit="1" customWidth="1"/>
    <col min="5640" max="5640" width="12.85546875" bestFit="1" customWidth="1"/>
    <col min="5641" max="5641" width="2.7109375" customWidth="1"/>
    <col min="5889" max="5889" width="43.28515625" customWidth="1"/>
    <col min="5890" max="5890" width="12.85546875" customWidth="1"/>
    <col min="5891" max="5891" width="11" customWidth="1"/>
    <col min="5892" max="5895" width="11.5703125" bestFit="1" customWidth="1"/>
    <col min="5896" max="5896" width="12.85546875" bestFit="1" customWidth="1"/>
    <col min="5897" max="5897" width="2.7109375" customWidth="1"/>
    <col min="6145" max="6145" width="43.28515625" customWidth="1"/>
    <col min="6146" max="6146" width="12.85546875" customWidth="1"/>
    <col min="6147" max="6147" width="11" customWidth="1"/>
    <col min="6148" max="6151" width="11.5703125" bestFit="1" customWidth="1"/>
    <col min="6152" max="6152" width="12.85546875" bestFit="1" customWidth="1"/>
    <col min="6153" max="6153" width="2.7109375" customWidth="1"/>
    <col min="6401" max="6401" width="43.28515625" customWidth="1"/>
    <col min="6402" max="6402" width="12.85546875" customWidth="1"/>
    <col min="6403" max="6403" width="11" customWidth="1"/>
    <col min="6404" max="6407" width="11.5703125" bestFit="1" customWidth="1"/>
    <col min="6408" max="6408" width="12.85546875" bestFit="1" customWidth="1"/>
    <col min="6409" max="6409" width="2.7109375" customWidth="1"/>
    <col min="6657" max="6657" width="43.28515625" customWidth="1"/>
    <col min="6658" max="6658" width="12.85546875" customWidth="1"/>
    <col min="6659" max="6659" width="11" customWidth="1"/>
    <col min="6660" max="6663" width="11.5703125" bestFit="1" customWidth="1"/>
    <col min="6664" max="6664" width="12.85546875" bestFit="1" customWidth="1"/>
    <col min="6665" max="6665" width="2.7109375" customWidth="1"/>
    <col min="6913" max="6913" width="43.28515625" customWidth="1"/>
    <col min="6914" max="6914" width="12.85546875" customWidth="1"/>
    <col min="6915" max="6915" width="11" customWidth="1"/>
    <col min="6916" max="6919" width="11.5703125" bestFit="1" customWidth="1"/>
    <col min="6920" max="6920" width="12.85546875" bestFit="1" customWidth="1"/>
    <col min="6921" max="6921" width="2.7109375" customWidth="1"/>
    <col min="7169" max="7169" width="43.28515625" customWidth="1"/>
    <col min="7170" max="7170" width="12.85546875" customWidth="1"/>
    <col min="7171" max="7171" width="11" customWidth="1"/>
    <col min="7172" max="7175" width="11.5703125" bestFit="1" customWidth="1"/>
    <col min="7176" max="7176" width="12.85546875" bestFit="1" customWidth="1"/>
    <col min="7177" max="7177" width="2.7109375" customWidth="1"/>
    <col min="7425" max="7425" width="43.28515625" customWidth="1"/>
    <col min="7426" max="7426" width="12.85546875" customWidth="1"/>
    <col min="7427" max="7427" width="11" customWidth="1"/>
    <col min="7428" max="7431" width="11.5703125" bestFit="1" customWidth="1"/>
    <col min="7432" max="7432" width="12.85546875" bestFit="1" customWidth="1"/>
    <col min="7433" max="7433" width="2.7109375" customWidth="1"/>
    <col min="7681" max="7681" width="43.28515625" customWidth="1"/>
    <col min="7682" max="7682" width="12.85546875" customWidth="1"/>
    <col min="7683" max="7683" width="11" customWidth="1"/>
    <col min="7684" max="7687" width="11.5703125" bestFit="1" customWidth="1"/>
    <col min="7688" max="7688" width="12.85546875" bestFit="1" customWidth="1"/>
    <col min="7689" max="7689" width="2.7109375" customWidth="1"/>
    <col min="7937" max="7937" width="43.28515625" customWidth="1"/>
    <col min="7938" max="7938" width="12.85546875" customWidth="1"/>
    <col min="7939" max="7939" width="11" customWidth="1"/>
    <col min="7940" max="7943" width="11.5703125" bestFit="1" customWidth="1"/>
    <col min="7944" max="7944" width="12.85546875" bestFit="1" customWidth="1"/>
    <col min="7945" max="7945" width="2.7109375" customWidth="1"/>
    <col min="8193" max="8193" width="43.28515625" customWidth="1"/>
    <col min="8194" max="8194" width="12.85546875" customWidth="1"/>
    <col min="8195" max="8195" width="11" customWidth="1"/>
    <col min="8196" max="8199" width="11.5703125" bestFit="1" customWidth="1"/>
    <col min="8200" max="8200" width="12.85546875" bestFit="1" customWidth="1"/>
    <col min="8201" max="8201" width="2.7109375" customWidth="1"/>
    <col min="8449" max="8449" width="43.28515625" customWidth="1"/>
    <col min="8450" max="8450" width="12.85546875" customWidth="1"/>
    <col min="8451" max="8451" width="11" customWidth="1"/>
    <col min="8452" max="8455" width="11.5703125" bestFit="1" customWidth="1"/>
    <col min="8456" max="8456" width="12.85546875" bestFit="1" customWidth="1"/>
    <col min="8457" max="8457" width="2.7109375" customWidth="1"/>
    <col min="8705" max="8705" width="43.28515625" customWidth="1"/>
    <col min="8706" max="8706" width="12.85546875" customWidth="1"/>
    <col min="8707" max="8707" width="11" customWidth="1"/>
    <col min="8708" max="8711" width="11.5703125" bestFit="1" customWidth="1"/>
    <col min="8712" max="8712" width="12.85546875" bestFit="1" customWidth="1"/>
    <col min="8713" max="8713" width="2.7109375" customWidth="1"/>
    <col min="8961" max="8961" width="43.28515625" customWidth="1"/>
    <col min="8962" max="8962" width="12.85546875" customWidth="1"/>
    <col min="8963" max="8963" width="11" customWidth="1"/>
    <col min="8964" max="8967" width="11.5703125" bestFit="1" customWidth="1"/>
    <col min="8968" max="8968" width="12.85546875" bestFit="1" customWidth="1"/>
    <col min="8969" max="8969" width="2.7109375" customWidth="1"/>
    <col min="9217" max="9217" width="43.28515625" customWidth="1"/>
    <col min="9218" max="9218" width="12.85546875" customWidth="1"/>
    <col min="9219" max="9219" width="11" customWidth="1"/>
    <col min="9220" max="9223" width="11.5703125" bestFit="1" customWidth="1"/>
    <col min="9224" max="9224" width="12.85546875" bestFit="1" customWidth="1"/>
    <col min="9225" max="9225" width="2.7109375" customWidth="1"/>
    <col min="9473" max="9473" width="43.28515625" customWidth="1"/>
    <col min="9474" max="9474" width="12.85546875" customWidth="1"/>
    <col min="9475" max="9475" width="11" customWidth="1"/>
    <col min="9476" max="9479" width="11.5703125" bestFit="1" customWidth="1"/>
    <col min="9480" max="9480" width="12.85546875" bestFit="1" customWidth="1"/>
    <col min="9481" max="9481" width="2.7109375" customWidth="1"/>
    <col min="9729" max="9729" width="43.28515625" customWidth="1"/>
    <col min="9730" max="9730" width="12.85546875" customWidth="1"/>
    <col min="9731" max="9731" width="11" customWidth="1"/>
    <col min="9732" max="9735" width="11.5703125" bestFit="1" customWidth="1"/>
    <col min="9736" max="9736" width="12.85546875" bestFit="1" customWidth="1"/>
    <col min="9737" max="9737" width="2.7109375" customWidth="1"/>
    <col min="9985" max="9985" width="43.28515625" customWidth="1"/>
    <col min="9986" max="9986" width="12.85546875" customWidth="1"/>
    <col min="9987" max="9987" width="11" customWidth="1"/>
    <col min="9988" max="9991" width="11.5703125" bestFit="1" customWidth="1"/>
    <col min="9992" max="9992" width="12.85546875" bestFit="1" customWidth="1"/>
    <col min="9993" max="9993" width="2.7109375" customWidth="1"/>
    <col min="10241" max="10241" width="43.28515625" customWidth="1"/>
    <col min="10242" max="10242" width="12.85546875" customWidth="1"/>
    <col min="10243" max="10243" width="11" customWidth="1"/>
    <col min="10244" max="10247" width="11.5703125" bestFit="1" customWidth="1"/>
    <col min="10248" max="10248" width="12.85546875" bestFit="1" customWidth="1"/>
    <col min="10249" max="10249" width="2.7109375" customWidth="1"/>
    <col min="10497" max="10497" width="43.28515625" customWidth="1"/>
    <col min="10498" max="10498" width="12.85546875" customWidth="1"/>
    <col min="10499" max="10499" width="11" customWidth="1"/>
    <col min="10500" max="10503" width="11.5703125" bestFit="1" customWidth="1"/>
    <col min="10504" max="10504" width="12.85546875" bestFit="1" customWidth="1"/>
    <col min="10505" max="10505" width="2.7109375" customWidth="1"/>
    <col min="10753" max="10753" width="43.28515625" customWidth="1"/>
    <col min="10754" max="10754" width="12.85546875" customWidth="1"/>
    <col min="10755" max="10755" width="11" customWidth="1"/>
    <col min="10756" max="10759" width="11.5703125" bestFit="1" customWidth="1"/>
    <col min="10760" max="10760" width="12.85546875" bestFit="1" customWidth="1"/>
    <col min="10761" max="10761" width="2.7109375" customWidth="1"/>
    <col min="11009" max="11009" width="43.28515625" customWidth="1"/>
    <col min="11010" max="11010" width="12.85546875" customWidth="1"/>
    <col min="11011" max="11011" width="11" customWidth="1"/>
    <col min="11012" max="11015" width="11.5703125" bestFit="1" customWidth="1"/>
    <col min="11016" max="11016" width="12.85546875" bestFit="1" customWidth="1"/>
    <col min="11017" max="11017" width="2.7109375" customWidth="1"/>
    <col min="11265" max="11265" width="43.28515625" customWidth="1"/>
    <col min="11266" max="11266" width="12.85546875" customWidth="1"/>
    <col min="11267" max="11267" width="11" customWidth="1"/>
    <col min="11268" max="11271" width="11.5703125" bestFit="1" customWidth="1"/>
    <col min="11272" max="11272" width="12.85546875" bestFit="1" customWidth="1"/>
    <col min="11273" max="11273" width="2.7109375" customWidth="1"/>
    <col min="11521" max="11521" width="43.28515625" customWidth="1"/>
    <col min="11522" max="11522" width="12.85546875" customWidth="1"/>
    <col min="11523" max="11523" width="11" customWidth="1"/>
    <col min="11524" max="11527" width="11.5703125" bestFit="1" customWidth="1"/>
    <col min="11528" max="11528" width="12.85546875" bestFit="1" customWidth="1"/>
    <col min="11529" max="11529" width="2.7109375" customWidth="1"/>
    <col min="11777" max="11777" width="43.28515625" customWidth="1"/>
    <col min="11778" max="11778" width="12.85546875" customWidth="1"/>
    <col min="11779" max="11779" width="11" customWidth="1"/>
    <col min="11780" max="11783" width="11.5703125" bestFit="1" customWidth="1"/>
    <col min="11784" max="11784" width="12.85546875" bestFit="1" customWidth="1"/>
    <col min="11785" max="11785" width="2.7109375" customWidth="1"/>
    <col min="12033" max="12033" width="43.28515625" customWidth="1"/>
    <col min="12034" max="12034" width="12.85546875" customWidth="1"/>
    <col min="12035" max="12035" width="11" customWidth="1"/>
    <col min="12036" max="12039" width="11.5703125" bestFit="1" customWidth="1"/>
    <col min="12040" max="12040" width="12.85546875" bestFit="1" customWidth="1"/>
    <col min="12041" max="12041" width="2.7109375" customWidth="1"/>
    <col min="12289" max="12289" width="43.28515625" customWidth="1"/>
    <col min="12290" max="12290" width="12.85546875" customWidth="1"/>
    <col min="12291" max="12291" width="11" customWidth="1"/>
    <col min="12292" max="12295" width="11.5703125" bestFit="1" customWidth="1"/>
    <col min="12296" max="12296" width="12.85546875" bestFit="1" customWidth="1"/>
    <col min="12297" max="12297" width="2.7109375" customWidth="1"/>
    <col min="12545" max="12545" width="43.28515625" customWidth="1"/>
    <col min="12546" max="12546" width="12.85546875" customWidth="1"/>
    <col min="12547" max="12547" width="11" customWidth="1"/>
    <col min="12548" max="12551" width="11.5703125" bestFit="1" customWidth="1"/>
    <col min="12552" max="12552" width="12.85546875" bestFit="1" customWidth="1"/>
    <col min="12553" max="12553" width="2.7109375" customWidth="1"/>
    <col min="12801" max="12801" width="43.28515625" customWidth="1"/>
    <col min="12802" max="12802" width="12.85546875" customWidth="1"/>
    <col min="12803" max="12803" width="11" customWidth="1"/>
    <col min="12804" max="12807" width="11.5703125" bestFit="1" customWidth="1"/>
    <col min="12808" max="12808" width="12.85546875" bestFit="1" customWidth="1"/>
    <col min="12809" max="12809" width="2.7109375" customWidth="1"/>
    <col min="13057" max="13057" width="43.28515625" customWidth="1"/>
    <col min="13058" max="13058" width="12.85546875" customWidth="1"/>
    <col min="13059" max="13059" width="11" customWidth="1"/>
    <col min="13060" max="13063" width="11.5703125" bestFit="1" customWidth="1"/>
    <col min="13064" max="13064" width="12.85546875" bestFit="1" customWidth="1"/>
    <col min="13065" max="13065" width="2.7109375" customWidth="1"/>
    <col min="13313" max="13313" width="43.28515625" customWidth="1"/>
    <col min="13314" max="13314" width="12.85546875" customWidth="1"/>
    <col min="13315" max="13315" width="11" customWidth="1"/>
    <col min="13316" max="13319" width="11.5703125" bestFit="1" customWidth="1"/>
    <col min="13320" max="13320" width="12.85546875" bestFit="1" customWidth="1"/>
    <col min="13321" max="13321" width="2.7109375" customWidth="1"/>
    <col min="13569" max="13569" width="43.28515625" customWidth="1"/>
    <col min="13570" max="13570" width="12.85546875" customWidth="1"/>
    <col min="13571" max="13571" width="11" customWidth="1"/>
    <col min="13572" max="13575" width="11.5703125" bestFit="1" customWidth="1"/>
    <col min="13576" max="13576" width="12.85546875" bestFit="1" customWidth="1"/>
    <col min="13577" max="13577" width="2.7109375" customWidth="1"/>
    <col min="13825" max="13825" width="43.28515625" customWidth="1"/>
    <col min="13826" max="13826" width="12.85546875" customWidth="1"/>
    <col min="13827" max="13827" width="11" customWidth="1"/>
    <col min="13828" max="13831" width="11.5703125" bestFit="1" customWidth="1"/>
    <col min="13832" max="13832" width="12.85546875" bestFit="1" customWidth="1"/>
    <col min="13833" max="13833" width="2.7109375" customWidth="1"/>
    <col min="14081" max="14081" width="43.28515625" customWidth="1"/>
    <col min="14082" max="14082" width="12.85546875" customWidth="1"/>
    <col min="14083" max="14083" width="11" customWidth="1"/>
    <col min="14084" max="14087" width="11.5703125" bestFit="1" customWidth="1"/>
    <col min="14088" max="14088" width="12.85546875" bestFit="1" customWidth="1"/>
    <col min="14089" max="14089" width="2.7109375" customWidth="1"/>
    <col min="14337" max="14337" width="43.28515625" customWidth="1"/>
    <col min="14338" max="14338" width="12.85546875" customWidth="1"/>
    <col min="14339" max="14339" width="11" customWidth="1"/>
    <col min="14340" max="14343" width="11.5703125" bestFit="1" customWidth="1"/>
    <col min="14344" max="14344" width="12.85546875" bestFit="1" customWidth="1"/>
    <col min="14345" max="14345" width="2.7109375" customWidth="1"/>
    <col min="14593" max="14593" width="43.28515625" customWidth="1"/>
    <col min="14594" max="14594" width="12.85546875" customWidth="1"/>
    <col min="14595" max="14595" width="11" customWidth="1"/>
    <col min="14596" max="14599" width="11.5703125" bestFit="1" customWidth="1"/>
    <col min="14600" max="14600" width="12.85546875" bestFit="1" customWidth="1"/>
    <col min="14601" max="14601" width="2.7109375" customWidth="1"/>
    <col min="14849" max="14849" width="43.28515625" customWidth="1"/>
    <col min="14850" max="14850" width="12.85546875" customWidth="1"/>
    <col min="14851" max="14851" width="11" customWidth="1"/>
    <col min="14852" max="14855" width="11.5703125" bestFit="1" customWidth="1"/>
    <col min="14856" max="14856" width="12.85546875" bestFit="1" customWidth="1"/>
    <col min="14857" max="14857" width="2.7109375" customWidth="1"/>
    <col min="15105" max="15105" width="43.28515625" customWidth="1"/>
    <col min="15106" max="15106" width="12.85546875" customWidth="1"/>
    <col min="15107" max="15107" width="11" customWidth="1"/>
    <col min="15108" max="15111" width="11.5703125" bestFit="1" customWidth="1"/>
    <col min="15112" max="15112" width="12.85546875" bestFit="1" customWidth="1"/>
    <col min="15113" max="15113" width="2.7109375" customWidth="1"/>
    <col min="15361" max="15361" width="43.28515625" customWidth="1"/>
    <col min="15362" max="15362" width="12.85546875" customWidth="1"/>
    <col min="15363" max="15363" width="11" customWidth="1"/>
    <col min="15364" max="15367" width="11.5703125" bestFit="1" customWidth="1"/>
    <col min="15368" max="15368" width="12.85546875" bestFit="1" customWidth="1"/>
    <col min="15369" max="15369" width="2.7109375" customWidth="1"/>
    <col min="15617" max="15617" width="43.28515625" customWidth="1"/>
    <col min="15618" max="15618" width="12.85546875" customWidth="1"/>
    <col min="15619" max="15619" width="11" customWidth="1"/>
    <col min="15620" max="15623" width="11.5703125" bestFit="1" customWidth="1"/>
    <col min="15624" max="15624" width="12.85546875" bestFit="1" customWidth="1"/>
    <col min="15625" max="15625" width="2.7109375" customWidth="1"/>
    <col min="15873" max="15873" width="43.28515625" customWidth="1"/>
    <col min="15874" max="15874" width="12.85546875" customWidth="1"/>
    <col min="15875" max="15875" width="11" customWidth="1"/>
    <col min="15876" max="15879" width="11.5703125" bestFit="1" customWidth="1"/>
    <col min="15880" max="15880" width="12.85546875" bestFit="1" customWidth="1"/>
    <col min="15881" max="15881" width="2.7109375" customWidth="1"/>
    <col min="16129" max="16129" width="43.28515625" customWidth="1"/>
    <col min="16130" max="16130" width="12.85546875" customWidth="1"/>
    <col min="16131" max="16131" width="11" customWidth="1"/>
    <col min="16132" max="16135" width="11.5703125" bestFit="1" customWidth="1"/>
    <col min="16136" max="16136" width="12.85546875" bestFit="1" customWidth="1"/>
    <col min="16137" max="16137" width="2.7109375" customWidth="1"/>
  </cols>
  <sheetData>
    <row r="1" spans="1:10" x14ac:dyDescent="0.25">
      <c r="A1" s="320" t="s">
        <v>173</v>
      </c>
      <c r="B1" s="320"/>
      <c r="C1" s="320"/>
      <c r="D1" s="320"/>
      <c r="E1" s="320"/>
      <c r="F1" s="320"/>
      <c r="G1" s="320"/>
      <c r="H1" s="320"/>
      <c r="I1" s="207"/>
    </row>
    <row r="2" spans="1:10" x14ac:dyDescent="0.25">
      <c r="A2" s="341" t="s">
        <v>43</v>
      </c>
      <c r="B2" s="347" t="s">
        <v>174</v>
      </c>
      <c r="C2" s="327" t="s">
        <v>175</v>
      </c>
      <c r="D2" s="327"/>
      <c r="E2" s="327"/>
      <c r="F2" s="327"/>
      <c r="G2" s="327"/>
      <c r="H2" s="332" t="s">
        <v>176</v>
      </c>
      <c r="I2" s="348"/>
    </row>
    <row r="3" spans="1:10" x14ac:dyDescent="0.25">
      <c r="A3" s="341"/>
      <c r="B3" s="347"/>
      <c r="C3" s="158">
        <v>1</v>
      </c>
      <c r="D3" s="158">
        <v>2</v>
      </c>
      <c r="E3" s="158">
        <v>3</v>
      </c>
      <c r="F3" s="158">
        <v>4</v>
      </c>
      <c r="G3" s="158">
        <v>5</v>
      </c>
      <c r="H3" s="332"/>
      <c r="I3" s="348"/>
    </row>
    <row r="4" spans="1:10" x14ac:dyDescent="0.25">
      <c r="A4" s="1" t="s">
        <v>177</v>
      </c>
      <c r="B4" s="85"/>
      <c r="C4" s="85"/>
      <c r="D4" s="85"/>
      <c r="E4" s="85"/>
      <c r="F4" s="85"/>
      <c r="G4" s="85"/>
      <c r="H4" s="155"/>
      <c r="I4" s="48"/>
    </row>
    <row r="5" spans="1:10" x14ac:dyDescent="0.25">
      <c r="A5" s="208" t="s">
        <v>178</v>
      </c>
      <c r="B5" s="209">
        <v>0</v>
      </c>
      <c r="C5" s="210">
        <v>0</v>
      </c>
      <c r="D5" s="210">
        <v>0</v>
      </c>
      <c r="E5" s="210">
        <v>0</v>
      </c>
      <c r="F5" s="210">
        <v>0</v>
      </c>
      <c r="G5" s="210">
        <v>0</v>
      </c>
      <c r="H5" s="210">
        <f>'TERREN Y OBR CIV'!F4</f>
        <v>0</v>
      </c>
      <c r="I5" s="59"/>
    </row>
    <row r="6" spans="1:10" x14ac:dyDescent="0.25">
      <c r="A6" s="1" t="s">
        <v>179</v>
      </c>
      <c r="B6" s="209"/>
      <c r="C6" s="102">
        <f>SUM(C7:C10)</f>
        <v>2921.05</v>
      </c>
      <c r="D6" s="102">
        <f t="shared" ref="D6:G6" si="0">SUM(D7:D10)</f>
        <v>2921.05</v>
      </c>
      <c r="E6" s="102">
        <f t="shared" si="0"/>
        <v>2921.05</v>
      </c>
      <c r="F6" s="102">
        <f t="shared" si="0"/>
        <v>2921.05</v>
      </c>
      <c r="G6" s="102">
        <f t="shared" si="0"/>
        <v>2921.05</v>
      </c>
      <c r="H6" s="102">
        <f>SUM(H7:H10)</f>
        <v>-4220.25</v>
      </c>
      <c r="I6" s="211"/>
    </row>
    <row r="7" spans="1:10" x14ac:dyDescent="0.25">
      <c r="A7" s="155" t="s">
        <v>180</v>
      </c>
      <c r="B7" s="209">
        <v>0.05</v>
      </c>
      <c r="C7" s="210">
        <f>('TERREN Y OBR CIV'!G19)*B7</f>
        <v>0</v>
      </c>
      <c r="D7" s="210">
        <f t="shared" ref="D7:G10" si="1">C7</f>
        <v>0</v>
      </c>
      <c r="E7" s="210">
        <f t="shared" si="1"/>
        <v>0</v>
      </c>
      <c r="F7" s="210">
        <f t="shared" si="1"/>
        <v>0</v>
      </c>
      <c r="G7" s="210">
        <f t="shared" si="1"/>
        <v>0</v>
      </c>
      <c r="H7" s="210">
        <f>(('TERREN Y OBR CIV'!G19)-G7*5)</f>
        <v>0</v>
      </c>
      <c r="I7" s="59"/>
    </row>
    <row r="8" spans="1:10" x14ac:dyDescent="0.25">
      <c r="A8" s="155" t="s">
        <v>181</v>
      </c>
      <c r="B8" s="209">
        <v>0.33</v>
      </c>
      <c r="C8" s="210">
        <f>((INVERSION!C6))*B8</f>
        <v>2701.05</v>
      </c>
      <c r="D8" s="210">
        <f t="shared" si="1"/>
        <v>2701.05</v>
      </c>
      <c r="E8" s="210">
        <f t="shared" si="1"/>
        <v>2701.05</v>
      </c>
      <c r="F8" s="210">
        <f t="shared" si="1"/>
        <v>2701.05</v>
      </c>
      <c r="G8" s="210">
        <f t="shared" si="1"/>
        <v>2701.05</v>
      </c>
      <c r="H8" s="210">
        <f>((INVERSION!C6)-G8*5)</f>
        <v>-5320.25</v>
      </c>
      <c r="I8" s="59"/>
    </row>
    <row r="9" spans="1:10" x14ac:dyDescent="0.25">
      <c r="A9" s="155" t="s">
        <v>182</v>
      </c>
      <c r="B9" s="209">
        <v>0.1</v>
      </c>
      <c r="C9" s="210">
        <f>((INVERSION!C7))*B9</f>
        <v>0</v>
      </c>
      <c r="D9" s="210">
        <f t="shared" si="1"/>
        <v>0</v>
      </c>
      <c r="E9" s="210">
        <f t="shared" si="1"/>
        <v>0</v>
      </c>
      <c r="F9" s="210">
        <f t="shared" si="1"/>
        <v>0</v>
      </c>
      <c r="G9" s="210">
        <f t="shared" si="1"/>
        <v>0</v>
      </c>
      <c r="H9" s="210">
        <f>((INVERSION!C7)-G9*5)</f>
        <v>0</v>
      </c>
      <c r="I9" s="59"/>
    </row>
    <row r="10" spans="1:10" x14ac:dyDescent="0.25">
      <c r="A10" s="155" t="s">
        <v>183</v>
      </c>
      <c r="B10" s="209">
        <v>0.1</v>
      </c>
      <c r="C10" s="210">
        <f>((INVERSION!C8))*B10</f>
        <v>220</v>
      </c>
      <c r="D10" s="210">
        <f t="shared" si="1"/>
        <v>220</v>
      </c>
      <c r="E10" s="210">
        <f t="shared" si="1"/>
        <v>220</v>
      </c>
      <c r="F10" s="210">
        <f t="shared" si="1"/>
        <v>220</v>
      </c>
      <c r="G10" s="210">
        <f t="shared" si="1"/>
        <v>220</v>
      </c>
      <c r="H10" s="210">
        <f>((INVERSION!C8)-G10*5)</f>
        <v>1100</v>
      </c>
      <c r="I10" s="59"/>
    </row>
    <row r="11" spans="1:10" x14ac:dyDescent="0.25">
      <c r="A11" s="1" t="s">
        <v>184</v>
      </c>
      <c r="B11" s="209"/>
      <c r="C11" s="102">
        <f>C12</f>
        <v>100</v>
      </c>
      <c r="D11" s="102">
        <f t="shared" ref="D11:F11" si="2">D12</f>
        <v>100</v>
      </c>
      <c r="E11" s="102">
        <f t="shared" si="2"/>
        <v>100</v>
      </c>
      <c r="F11" s="102">
        <f t="shared" si="2"/>
        <v>100</v>
      </c>
      <c r="G11" s="102">
        <f>G12</f>
        <v>100</v>
      </c>
      <c r="H11" s="102">
        <f>H12</f>
        <v>0</v>
      </c>
      <c r="I11" s="211"/>
    </row>
    <row r="12" spans="1:10" x14ac:dyDescent="0.25">
      <c r="A12" s="208" t="s">
        <v>185</v>
      </c>
      <c r="B12" s="209">
        <v>0.2</v>
      </c>
      <c r="C12" s="210">
        <f>INVERSION!C9*B12</f>
        <v>100</v>
      </c>
      <c r="D12" s="210">
        <f>C12</f>
        <v>100</v>
      </c>
      <c r="E12" s="210">
        <f>D12</f>
        <v>100</v>
      </c>
      <c r="F12" s="210">
        <f>E12</f>
        <v>100</v>
      </c>
      <c r="G12" s="210">
        <f>F12</f>
        <v>100</v>
      </c>
      <c r="H12" s="210">
        <f>((INVERSION!C9)-G12*5)</f>
        <v>0</v>
      </c>
      <c r="I12" s="59"/>
    </row>
    <row r="13" spans="1:10" x14ac:dyDescent="0.25">
      <c r="A13" s="1" t="s">
        <v>186</v>
      </c>
      <c r="B13" s="1"/>
      <c r="C13" s="102">
        <f>C11+C6</f>
        <v>3021.05</v>
      </c>
      <c r="D13" s="102">
        <f t="shared" ref="D13:G13" si="3">D11+D6</f>
        <v>3021.05</v>
      </c>
      <c r="E13" s="102">
        <f t="shared" si="3"/>
        <v>3021.05</v>
      </c>
      <c r="F13" s="102">
        <f t="shared" si="3"/>
        <v>3021.05</v>
      </c>
      <c r="G13" s="102">
        <f t="shared" si="3"/>
        <v>3021.05</v>
      </c>
      <c r="H13" s="102">
        <f>H5+H6+H11</f>
        <v>-4220.25</v>
      </c>
      <c r="I13" s="59"/>
    </row>
    <row r="14" spans="1:10" x14ac:dyDescent="0.25">
      <c r="I14" s="18"/>
    </row>
    <row r="15" spans="1:10" x14ac:dyDescent="0.25">
      <c r="A15" s="194"/>
      <c r="B15" s="194"/>
      <c r="C15" s="194"/>
      <c r="D15" s="194"/>
      <c r="E15" s="194"/>
      <c r="F15" s="194"/>
      <c r="G15" s="194"/>
      <c r="H15" s="194"/>
      <c r="I15" s="194"/>
      <c r="J15" s="194"/>
    </row>
    <row r="16" spans="1:10" x14ac:dyDescent="0.25">
      <c r="A16" s="194"/>
      <c r="B16" s="194"/>
      <c r="C16" s="194"/>
      <c r="D16" s="194"/>
      <c r="E16" s="194"/>
      <c r="F16" s="194"/>
      <c r="G16" s="194"/>
      <c r="H16" s="194"/>
      <c r="I16" s="194"/>
      <c r="J16" s="194"/>
    </row>
    <row r="17" spans="1:10" x14ac:dyDescent="0.25">
      <c r="A17" s="194"/>
      <c r="B17" s="194"/>
      <c r="C17" s="194"/>
      <c r="D17" s="194"/>
      <c r="E17" s="194"/>
      <c r="F17" s="194"/>
      <c r="G17" s="194"/>
      <c r="H17" s="194"/>
      <c r="I17" s="194"/>
      <c r="J17" s="194"/>
    </row>
    <row r="18" spans="1:10" x14ac:dyDescent="0.25">
      <c r="A18" s="194"/>
      <c r="B18" s="194"/>
      <c r="C18" s="194"/>
      <c r="D18" s="194"/>
      <c r="E18" s="194"/>
      <c r="F18" s="194"/>
      <c r="G18" s="194"/>
      <c r="H18" s="194"/>
      <c r="I18" s="194"/>
      <c r="J18" s="194"/>
    </row>
    <row r="19" spans="1:10" x14ac:dyDescent="0.25">
      <c r="A19" s="194"/>
      <c r="B19" s="194"/>
      <c r="C19" s="194"/>
      <c r="D19" s="194"/>
      <c r="E19" s="194"/>
      <c r="F19" s="194"/>
      <c r="G19" s="194"/>
      <c r="H19" s="194"/>
      <c r="I19" s="194"/>
      <c r="J19" s="194"/>
    </row>
    <row r="20" spans="1:10" x14ac:dyDescent="0.25">
      <c r="A20" s="194"/>
      <c r="B20" s="194"/>
      <c r="C20" s="194"/>
      <c r="D20" s="194"/>
      <c r="E20" s="194"/>
      <c r="F20" s="194"/>
      <c r="G20" s="194"/>
      <c r="H20" s="194"/>
      <c r="I20" s="194"/>
      <c r="J20" s="194"/>
    </row>
    <row r="21" spans="1:10" x14ac:dyDescent="0.25">
      <c r="A21" s="194"/>
      <c r="B21" s="194"/>
      <c r="C21" s="194"/>
      <c r="D21" s="194"/>
      <c r="E21" s="194"/>
      <c r="F21" s="194"/>
      <c r="G21" s="212"/>
      <c r="H21" s="194"/>
      <c r="I21" s="194"/>
      <c r="J21" s="194"/>
    </row>
    <row r="22" spans="1:10" x14ac:dyDescent="0.25">
      <c r="A22" s="194"/>
      <c r="B22" s="194"/>
      <c r="C22" s="194"/>
      <c r="D22" s="194"/>
      <c r="E22" s="194"/>
      <c r="F22" s="194"/>
      <c r="G22" s="194"/>
      <c r="H22" s="194"/>
      <c r="I22" s="194"/>
      <c r="J22" s="194"/>
    </row>
    <row r="23" spans="1:10" x14ac:dyDescent="0.25">
      <c r="A23" s="194"/>
      <c r="B23" s="194"/>
      <c r="C23" s="194"/>
      <c r="D23" s="194"/>
      <c r="E23" s="194"/>
      <c r="F23" s="194"/>
      <c r="G23" s="194"/>
      <c r="H23" s="194"/>
      <c r="I23" s="194"/>
      <c r="J23" s="194"/>
    </row>
    <row r="24" spans="1:10" x14ac:dyDescent="0.25">
      <c r="A24" s="194"/>
      <c r="B24" s="194"/>
      <c r="C24" s="194"/>
      <c r="D24" s="194"/>
      <c r="E24" s="194"/>
      <c r="F24" s="194"/>
      <c r="G24" s="194"/>
      <c r="H24" s="194"/>
      <c r="I24" s="194"/>
      <c r="J24" s="194"/>
    </row>
    <row r="25" spans="1:10" x14ac:dyDescent="0.25">
      <c r="A25" s="194"/>
      <c r="B25" s="194"/>
      <c r="C25" s="194"/>
      <c r="D25" s="194"/>
      <c r="E25" s="194"/>
      <c r="F25" s="194"/>
      <c r="G25" s="194"/>
      <c r="H25" s="194"/>
      <c r="I25" s="194"/>
      <c r="J25" s="194"/>
    </row>
    <row r="26" spans="1:10" x14ac:dyDescent="0.25">
      <c r="A26" s="194"/>
      <c r="B26" s="194"/>
      <c r="C26" s="194"/>
      <c r="D26" s="194"/>
      <c r="E26" s="194"/>
      <c r="F26" s="194"/>
      <c r="G26" s="194"/>
      <c r="H26" s="194"/>
      <c r="I26" s="194"/>
      <c r="J26" s="194"/>
    </row>
    <row r="27" spans="1:10" x14ac:dyDescent="0.25">
      <c r="A27" s="194"/>
      <c r="B27" s="194"/>
      <c r="C27" s="194"/>
      <c r="D27" s="194"/>
      <c r="E27" s="194"/>
      <c r="F27" s="194"/>
      <c r="G27" s="194"/>
      <c r="H27" s="194"/>
      <c r="I27" s="194"/>
      <c r="J27" s="194"/>
    </row>
    <row r="28" spans="1:10" x14ac:dyDescent="0.25">
      <c r="A28" s="194"/>
      <c r="B28" s="194"/>
      <c r="C28" s="194"/>
      <c r="D28" s="194"/>
      <c r="E28" s="194"/>
      <c r="F28" s="194"/>
      <c r="G28" s="194"/>
      <c r="H28" s="194"/>
      <c r="I28" s="194"/>
      <c r="J28" s="194"/>
    </row>
    <row r="29" spans="1:10" x14ac:dyDescent="0.25">
      <c r="A29" s="194"/>
      <c r="B29" s="194"/>
      <c r="C29" s="194"/>
      <c r="D29" s="194"/>
      <c r="E29" s="194"/>
      <c r="F29" s="194"/>
      <c r="G29" s="194"/>
      <c r="H29" s="194"/>
      <c r="I29" s="194"/>
      <c r="J29" s="194"/>
    </row>
    <row r="30" spans="1:10" x14ac:dyDescent="0.25">
      <c r="A30" s="194"/>
      <c r="B30" s="194"/>
      <c r="C30" s="194"/>
      <c r="D30" s="194"/>
      <c r="E30" s="194"/>
      <c r="F30" s="194"/>
      <c r="G30" s="194"/>
      <c r="H30" s="194"/>
      <c r="I30" s="194"/>
      <c r="J30" s="194"/>
    </row>
    <row r="31" spans="1:10" x14ac:dyDescent="0.25">
      <c r="A31" s="194"/>
      <c r="B31" s="194"/>
      <c r="C31" s="194"/>
      <c r="D31" s="194"/>
      <c r="E31" s="194"/>
      <c r="F31" s="194"/>
      <c r="G31" s="194"/>
      <c r="H31" s="194"/>
      <c r="I31" s="194"/>
      <c r="J31" s="194"/>
    </row>
    <row r="32" spans="1:10" x14ac:dyDescent="0.25">
      <c r="A32" s="194"/>
      <c r="B32" s="194"/>
      <c r="C32" s="194"/>
      <c r="D32" s="194"/>
      <c r="E32" s="194"/>
      <c r="F32" s="194"/>
      <c r="G32" s="194"/>
      <c r="H32" s="194"/>
      <c r="I32" s="194"/>
      <c r="J32" s="194"/>
    </row>
    <row r="33" spans="1:10" x14ac:dyDescent="0.25">
      <c r="A33" s="194"/>
      <c r="B33" s="194"/>
      <c r="C33" s="194"/>
      <c r="D33" s="194"/>
      <c r="E33" s="194"/>
      <c r="F33" s="194"/>
      <c r="G33" s="194"/>
      <c r="H33" s="194"/>
      <c r="I33" s="194"/>
      <c r="J33" s="194"/>
    </row>
  </sheetData>
  <mergeCells count="6">
    <mergeCell ref="I2:I3"/>
    <mergeCell ref="A1:H1"/>
    <mergeCell ref="A2:A3"/>
    <mergeCell ref="B2:B3"/>
    <mergeCell ref="C2:G2"/>
    <mergeCell ref="H2:H3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34"/>
  <sheetViews>
    <sheetView topLeftCell="A13" workbookViewId="0">
      <selection activeCell="C19" sqref="C19"/>
    </sheetView>
  </sheetViews>
  <sheetFormatPr baseColWidth="10" defaultRowHeight="15" x14ac:dyDescent="0.25"/>
  <cols>
    <col min="1" max="1" width="3" style="18" customWidth="1"/>
    <col min="2" max="2" width="41.5703125" style="18" customWidth="1"/>
    <col min="3" max="7" width="13.85546875" style="18" customWidth="1"/>
    <col min="8" max="8" width="4.42578125" style="18" customWidth="1"/>
    <col min="9" max="256" width="11.42578125" style="18"/>
    <col min="257" max="257" width="3" style="18" customWidth="1"/>
    <col min="258" max="258" width="41.5703125" style="18" customWidth="1"/>
    <col min="259" max="263" width="13.85546875" style="18" customWidth="1"/>
    <col min="264" max="264" width="4.42578125" style="18" customWidth="1"/>
    <col min="265" max="512" width="11.42578125" style="18"/>
    <col min="513" max="513" width="3" style="18" customWidth="1"/>
    <col min="514" max="514" width="41.5703125" style="18" customWidth="1"/>
    <col min="515" max="519" width="13.85546875" style="18" customWidth="1"/>
    <col min="520" max="520" width="4.42578125" style="18" customWidth="1"/>
    <col min="521" max="768" width="11.42578125" style="18"/>
    <col min="769" max="769" width="3" style="18" customWidth="1"/>
    <col min="770" max="770" width="41.5703125" style="18" customWidth="1"/>
    <col min="771" max="775" width="13.85546875" style="18" customWidth="1"/>
    <col min="776" max="776" width="4.42578125" style="18" customWidth="1"/>
    <col min="777" max="1024" width="11.42578125" style="18"/>
    <col min="1025" max="1025" width="3" style="18" customWidth="1"/>
    <col min="1026" max="1026" width="41.5703125" style="18" customWidth="1"/>
    <col min="1027" max="1031" width="13.85546875" style="18" customWidth="1"/>
    <col min="1032" max="1032" width="4.42578125" style="18" customWidth="1"/>
    <col min="1033" max="1280" width="11.42578125" style="18"/>
    <col min="1281" max="1281" width="3" style="18" customWidth="1"/>
    <col min="1282" max="1282" width="41.5703125" style="18" customWidth="1"/>
    <col min="1283" max="1287" width="13.85546875" style="18" customWidth="1"/>
    <col min="1288" max="1288" width="4.42578125" style="18" customWidth="1"/>
    <col min="1289" max="1536" width="11.42578125" style="18"/>
    <col min="1537" max="1537" width="3" style="18" customWidth="1"/>
    <col min="1538" max="1538" width="41.5703125" style="18" customWidth="1"/>
    <col min="1539" max="1543" width="13.85546875" style="18" customWidth="1"/>
    <col min="1544" max="1544" width="4.42578125" style="18" customWidth="1"/>
    <col min="1545" max="1792" width="11.42578125" style="18"/>
    <col min="1793" max="1793" width="3" style="18" customWidth="1"/>
    <col min="1794" max="1794" width="41.5703125" style="18" customWidth="1"/>
    <col min="1795" max="1799" width="13.85546875" style="18" customWidth="1"/>
    <col min="1800" max="1800" width="4.42578125" style="18" customWidth="1"/>
    <col min="1801" max="2048" width="11.42578125" style="18"/>
    <col min="2049" max="2049" width="3" style="18" customWidth="1"/>
    <col min="2050" max="2050" width="41.5703125" style="18" customWidth="1"/>
    <col min="2051" max="2055" width="13.85546875" style="18" customWidth="1"/>
    <col min="2056" max="2056" width="4.42578125" style="18" customWidth="1"/>
    <col min="2057" max="2304" width="11.42578125" style="18"/>
    <col min="2305" max="2305" width="3" style="18" customWidth="1"/>
    <col min="2306" max="2306" width="41.5703125" style="18" customWidth="1"/>
    <col min="2307" max="2311" width="13.85546875" style="18" customWidth="1"/>
    <col min="2312" max="2312" width="4.42578125" style="18" customWidth="1"/>
    <col min="2313" max="2560" width="11.42578125" style="18"/>
    <col min="2561" max="2561" width="3" style="18" customWidth="1"/>
    <col min="2562" max="2562" width="41.5703125" style="18" customWidth="1"/>
    <col min="2563" max="2567" width="13.85546875" style="18" customWidth="1"/>
    <col min="2568" max="2568" width="4.42578125" style="18" customWidth="1"/>
    <col min="2569" max="2816" width="11.42578125" style="18"/>
    <col min="2817" max="2817" width="3" style="18" customWidth="1"/>
    <col min="2818" max="2818" width="41.5703125" style="18" customWidth="1"/>
    <col min="2819" max="2823" width="13.85546875" style="18" customWidth="1"/>
    <col min="2824" max="2824" width="4.42578125" style="18" customWidth="1"/>
    <col min="2825" max="3072" width="11.42578125" style="18"/>
    <col min="3073" max="3073" width="3" style="18" customWidth="1"/>
    <col min="3074" max="3074" width="41.5703125" style="18" customWidth="1"/>
    <col min="3075" max="3079" width="13.85546875" style="18" customWidth="1"/>
    <col min="3080" max="3080" width="4.42578125" style="18" customWidth="1"/>
    <col min="3081" max="3328" width="11.42578125" style="18"/>
    <col min="3329" max="3329" width="3" style="18" customWidth="1"/>
    <col min="3330" max="3330" width="41.5703125" style="18" customWidth="1"/>
    <col min="3331" max="3335" width="13.85546875" style="18" customWidth="1"/>
    <col min="3336" max="3336" width="4.42578125" style="18" customWidth="1"/>
    <col min="3337" max="3584" width="11.42578125" style="18"/>
    <col min="3585" max="3585" width="3" style="18" customWidth="1"/>
    <col min="3586" max="3586" width="41.5703125" style="18" customWidth="1"/>
    <col min="3587" max="3591" width="13.85546875" style="18" customWidth="1"/>
    <col min="3592" max="3592" width="4.42578125" style="18" customWidth="1"/>
    <col min="3593" max="3840" width="11.42578125" style="18"/>
    <col min="3841" max="3841" width="3" style="18" customWidth="1"/>
    <col min="3842" max="3842" width="41.5703125" style="18" customWidth="1"/>
    <col min="3843" max="3847" width="13.85546875" style="18" customWidth="1"/>
    <col min="3848" max="3848" width="4.42578125" style="18" customWidth="1"/>
    <col min="3849" max="4096" width="11.42578125" style="18"/>
    <col min="4097" max="4097" width="3" style="18" customWidth="1"/>
    <col min="4098" max="4098" width="41.5703125" style="18" customWidth="1"/>
    <col min="4099" max="4103" width="13.85546875" style="18" customWidth="1"/>
    <col min="4104" max="4104" width="4.42578125" style="18" customWidth="1"/>
    <col min="4105" max="4352" width="11.42578125" style="18"/>
    <col min="4353" max="4353" width="3" style="18" customWidth="1"/>
    <col min="4354" max="4354" width="41.5703125" style="18" customWidth="1"/>
    <col min="4355" max="4359" width="13.85546875" style="18" customWidth="1"/>
    <col min="4360" max="4360" width="4.42578125" style="18" customWidth="1"/>
    <col min="4361" max="4608" width="11.42578125" style="18"/>
    <col min="4609" max="4609" width="3" style="18" customWidth="1"/>
    <col min="4610" max="4610" width="41.5703125" style="18" customWidth="1"/>
    <col min="4611" max="4615" width="13.85546875" style="18" customWidth="1"/>
    <col min="4616" max="4616" width="4.42578125" style="18" customWidth="1"/>
    <col min="4617" max="4864" width="11.42578125" style="18"/>
    <col min="4865" max="4865" width="3" style="18" customWidth="1"/>
    <col min="4866" max="4866" width="41.5703125" style="18" customWidth="1"/>
    <col min="4867" max="4871" width="13.85546875" style="18" customWidth="1"/>
    <col min="4872" max="4872" width="4.42578125" style="18" customWidth="1"/>
    <col min="4873" max="5120" width="11.42578125" style="18"/>
    <col min="5121" max="5121" width="3" style="18" customWidth="1"/>
    <col min="5122" max="5122" width="41.5703125" style="18" customWidth="1"/>
    <col min="5123" max="5127" width="13.85546875" style="18" customWidth="1"/>
    <col min="5128" max="5128" width="4.42578125" style="18" customWidth="1"/>
    <col min="5129" max="5376" width="11.42578125" style="18"/>
    <col min="5377" max="5377" width="3" style="18" customWidth="1"/>
    <col min="5378" max="5378" width="41.5703125" style="18" customWidth="1"/>
    <col min="5379" max="5383" width="13.85546875" style="18" customWidth="1"/>
    <col min="5384" max="5384" width="4.42578125" style="18" customWidth="1"/>
    <col min="5385" max="5632" width="11.42578125" style="18"/>
    <col min="5633" max="5633" width="3" style="18" customWidth="1"/>
    <col min="5634" max="5634" width="41.5703125" style="18" customWidth="1"/>
    <col min="5635" max="5639" width="13.85546875" style="18" customWidth="1"/>
    <col min="5640" max="5640" width="4.42578125" style="18" customWidth="1"/>
    <col min="5641" max="5888" width="11.42578125" style="18"/>
    <col min="5889" max="5889" width="3" style="18" customWidth="1"/>
    <col min="5890" max="5890" width="41.5703125" style="18" customWidth="1"/>
    <col min="5891" max="5895" width="13.85546875" style="18" customWidth="1"/>
    <col min="5896" max="5896" width="4.42578125" style="18" customWidth="1"/>
    <col min="5897" max="6144" width="11.42578125" style="18"/>
    <col min="6145" max="6145" width="3" style="18" customWidth="1"/>
    <col min="6146" max="6146" width="41.5703125" style="18" customWidth="1"/>
    <col min="6147" max="6151" width="13.85546875" style="18" customWidth="1"/>
    <col min="6152" max="6152" width="4.42578125" style="18" customWidth="1"/>
    <col min="6153" max="6400" width="11.42578125" style="18"/>
    <col min="6401" max="6401" width="3" style="18" customWidth="1"/>
    <col min="6402" max="6402" width="41.5703125" style="18" customWidth="1"/>
    <col min="6403" max="6407" width="13.85546875" style="18" customWidth="1"/>
    <col min="6408" max="6408" width="4.42578125" style="18" customWidth="1"/>
    <col min="6409" max="6656" width="11.42578125" style="18"/>
    <col min="6657" max="6657" width="3" style="18" customWidth="1"/>
    <col min="6658" max="6658" width="41.5703125" style="18" customWidth="1"/>
    <col min="6659" max="6663" width="13.85546875" style="18" customWidth="1"/>
    <col min="6664" max="6664" width="4.42578125" style="18" customWidth="1"/>
    <col min="6665" max="6912" width="11.42578125" style="18"/>
    <col min="6913" max="6913" width="3" style="18" customWidth="1"/>
    <col min="6914" max="6914" width="41.5703125" style="18" customWidth="1"/>
    <col min="6915" max="6919" width="13.85546875" style="18" customWidth="1"/>
    <col min="6920" max="6920" width="4.42578125" style="18" customWidth="1"/>
    <col min="6921" max="7168" width="11.42578125" style="18"/>
    <col min="7169" max="7169" width="3" style="18" customWidth="1"/>
    <col min="7170" max="7170" width="41.5703125" style="18" customWidth="1"/>
    <col min="7171" max="7175" width="13.85546875" style="18" customWidth="1"/>
    <col min="7176" max="7176" width="4.42578125" style="18" customWidth="1"/>
    <col min="7177" max="7424" width="11.42578125" style="18"/>
    <col min="7425" max="7425" width="3" style="18" customWidth="1"/>
    <col min="7426" max="7426" width="41.5703125" style="18" customWidth="1"/>
    <col min="7427" max="7431" width="13.85546875" style="18" customWidth="1"/>
    <col min="7432" max="7432" width="4.42578125" style="18" customWidth="1"/>
    <col min="7433" max="7680" width="11.42578125" style="18"/>
    <col min="7681" max="7681" width="3" style="18" customWidth="1"/>
    <col min="7682" max="7682" width="41.5703125" style="18" customWidth="1"/>
    <col min="7683" max="7687" width="13.85546875" style="18" customWidth="1"/>
    <col min="7688" max="7688" width="4.42578125" style="18" customWidth="1"/>
    <col min="7689" max="7936" width="11.42578125" style="18"/>
    <col min="7937" max="7937" width="3" style="18" customWidth="1"/>
    <col min="7938" max="7938" width="41.5703125" style="18" customWidth="1"/>
    <col min="7939" max="7943" width="13.85546875" style="18" customWidth="1"/>
    <col min="7944" max="7944" width="4.42578125" style="18" customWidth="1"/>
    <col min="7945" max="8192" width="11.42578125" style="18"/>
    <col min="8193" max="8193" width="3" style="18" customWidth="1"/>
    <col min="8194" max="8194" width="41.5703125" style="18" customWidth="1"/>
    <col min="8195" max="8199" width="13.85546875" style="18" customWidth="1"/>
    <col min="8200" max="8200" width="4.42578125" style="18" customWidth="1"/>
    <col min="8201" max="8448" width="11.42578125" style="18"/>
    <col min="8449" max="8449" width="3" style="18" customWidth="1"/>
    <col min="8450" max="8450" width="41.5703125" style="18" customWidth="1"/>
    <col min="8451" max="8455" width="13.85546875" style="18" customWidth="1"/>
    <col min="8456" max="8456" width="4.42578125" style="18" customWidth="1"/>
    <col min="8457" max="8704" width="11.42578125" style="18"/>
    <col min="8705" max="8705" width="3" style="18" customWidth="1"/>
    <col min="8706" max="8706" width="41.5703125" style="18" customWidth="1"/>
    <col min="8707" max="8711" width="13.85546875" style="18" customWidth="1"/>
    <col min="8712" max="8712" width="4.42578125" style="18" customWidth="1"/>
    <col min="8713" max="8960" width="11.42578125" style="18"/>
    <col min="8961" max="8961" width="3" style="18" customWidth="1"/>
    <col min="8962" max="8962" width="41.5703125" style="18" customWidth="1"/>
    <col min="8963" max="8967" width="13.85546875" style="18" customWidth="1"/>
    <col min="8968" max="8968" width="4.42578125" style="18" customWidth="1"/>
    <col min="8969" max="9216" width="11.42578125" style="18"/>
    <col min="9217" max="9217" width="3" style="18" customWidth="1"/>
    <col min="9218" max="9218" width="41.5703125" style="18" customWidth="1"/>
    <col min="9219" max="9223" width="13.85546875" style="18" customWidth="1"/>
    <col min="9224" max="9224" width="4.42578125" style="18" customWidth="1"/>
    <col min="9225" max="9472" width="11.42578125" style="18"/>
    <col min="9473" max="9473" width="3" style="18" customWidth="1"/>
    <col min="9474" max="9474" width="41.5703125" style="18" customWidth="1"/>
    <col min="9475" max="9479" width="13.85546875" style="18" customWidth="1"/>
    <col min="9480" max="9480" width="4.42578125" style="18" customWidth="1"/>
    <col min="9481" max="9728" width="11.42578125" style="18"/>
    <col min="9729" max="9729" width="3" style="18" customWidth="1"/>
    <col min="9730" max="9730" width="41.5703125" style="18" customWidth="1"/>
    <col min="9731" max="9735" width="13.85546875" style="18" customWidth="1"/>
    <col min="9736" max="9736" width="4.42578125" style="18" customWidth="1"/>
    <col min="9737" max="9984" width="11.42578125" style="18"/>
    <col min="9985" max="9985" width="3" style="18" customWidth="1"/>
    <col min="9986" max="9986" width="41.5703125" style="18" customWidth="1"/>
    <col min="9987" max="9991" width="13.85546875" style="18" customWidth="1"/>
    <col min="9992" max="9992" width="4.42578125" style="18" customWidth="1"/>
    <col min="9993" max="10240" width="11.42578125" style="18"/>
    <col min="10241" max="10241" width="3" style="18" customWidth="1"/>
    <col min="10242" max="10242" width="41.5703125" style="18" customWidth="1"/>
    <col min="10243" max="10247" width="13.85546875" style="18" customWidth="1"/>
    <col min="10248" max="10248" width="4.42578125" style="18" customWidth="1"/>
    <col min="10249" max="10496" width="11.42578125" style="18"/>
    <col min="10497" max="10497" width="3" style="18" customWidth="1"/>
    <col min="10498" max="10498" width="41.5703125" style="18" customWidth="1"/>
    <col min="10499" max="10503" width="13.85546875" style="18" customWidth="1"/>
    <col min="10504" max="10504" width="4.42578125" style="18" customWidth="1"/>
    <col min="10505" max="10752" width="11.42578125" style="18"/>
    <col min="10753" max="10753" width="3" style="18" customWidth="1"/>
    <col min="10754" max="10754" width="41.5703125" style="18" customWidth="1"/>
    <col min="10755" max="10759" width="13.85546875" style="18" customWidth="1"/>
    <col min="10760" max="10760" width="4.42578125" style="18" customWidth="1"/>
    <col min="10761" max="11008" width="11.42578125" style="18"/>
    <col min="11009" max="11009" width="3" style="18" customWidth="1"/>
    <col min="11010" max="11010" width="41.5703125" style="18" customWidth="1"/>
    <col min="11011" max="11015" width="13.85546875" style="18" customWidth="1"/>
    <col min="11016" max="11016" width="4.42578125" style="18" customWidth="1"/>
    <col min="11017" max="11264" width="11.42578125" style="18"/>
    <col min="11265" max="11265" width="3" style="18" customWidth="1"/>
    <col min="11266" max="11266" width="41.5703125" style="18" customWidth="1"/>
    <col min="11267" max="11271" width="13.85546875" style="18" customWidth="1"/>
    <col min="11272" max="11272" width="4.42578125" style="18" customWidth="1"/>
    <col min="11273" max="11520" width="11.42578125" style="18"/>
    <col min="11521" max="11521" width="3" style="18" customWidth="1"/>
    <col min="11522" max="11522" width="41.5703125" style="18" customWidth="1"/>
    <col min="11523" max="11527" width="13.85546875" style="18" customWidth="1"/>
    <col min="11528" max="11528" width="4.42578125" style="18" customWidth="1"/>
    <col min="11529" max="11776" width="11.42578125" style="18"/>
    <col min="11777" max="11777" width="3" style="18" customWidth="1"/>
    <col min="11778" max="11778" width="41.5703125" style="18" customWidth="1"/>
    <col min="11779" max="11783" width="13.85546875" style="18" customWidth="1"/>
    <col min="11784" max="11784" width="4.42578125" style="18" customWidth="1"/>
    <col min="11785" max="12032" width="11.42578125" style="18"/>
    <col min="12033" max="12033" width="3" style="18" customWidth="1"/>
    <col min="12034" max="12034" width="41.5703125" style="18" customWidth="1"/>
    <col min="12035" max="12039" width="13.85546875" style="18" customWidth="1"/>
    <col min="12040" max="12040" width="4.42578125" style="18" customWidth="1"/>
    <col min="12041" max="12288" width="11.42578125" style="18"/>
    <col min="12289" max="12289" width="3" style="18" customWidth="1"/>
    <col min="12290" max="12290" width="41.5703125" style="18" customWidth="1"/>
    <col min="12291" max="12295" width="13.85546875" style="18" customWidth="1"/>
    <col min="12296" max="12296" width="4.42578125" style="18" customWidth="1"/>
    <col min="12297" max="12544" width="11.42578125" style="18"/>
    <col min="12545" max="12545" width="3" style="18" customWidth="1"/>
    <col min="12546" max="12546" width="41.5703125" style="18" customWidth="1"/>
    <col min="12547" max="12551" width="13.85546875" style="18" customWidth="1"/>
    <col min="12552" max="12552" width="4.42578125" style="18" customWidth="1"/>
    <col min="12553" max="12800" width="11.42578125" style="18"/>
    <col min="12801" max="12801" width="3" style="18" customWidth="1"/>
    <col min="12802" max="12802" width="41.5703125" style="18" customWidth="1"/>
    <col min="12803" max="12807" width="13.85546875" style="18" customWidth="1"/>
    <col min="12808" max="12808" width="4.42578125" style="18" customWidth="1"/>
    <col min="12809" max="13056" width="11.42578125" style="18"/>
    <col min="13057" max="13057" width="3" style="18" customWidth="1"/>
    <col min="13058" max="13058" width="41.5703125" style="18" customWidth="1"/>
    <col min="13059" max="13063" width="13.85546875" style="18" customWidth="1"/>
    <col min="13064" max="13064" width="4.42578125" style="18" customWidth="1"/>
    <col min="13065" max="13312" width="11.42578125" style="18"/>
    <col min="13313" max="13313" width="3" style="18" customWidth="1"/>
    <col min="13314" max="13314" width="41.5703125" style="18" customWidth="1"/>
    <col min="13315" max="13319" width="13.85546875" style="18" customWidth="1"/>
    <col min="13320" max="13320" width="4.42578125" style="18" customWidth="1"/>
    <col min="13321" max="13568" width="11.42578125" style="18"/>
    <col min="13569" max="13569" width="3" style="18" customWidth="1"/>
    <col min="13570" max="13570" width="41.5703125" style="18" customWidth="1"/>
    <col min="13571" max="13575" width="13.85546875" style="18" customWidth="1"/>
    <col min="13576" max="13576" width="4.42578125" style="18" customWidth="1"/>
    <col min="13577" max="13824" width="11.42578125" style="18"/>
    <col min="13825" max="13825" width="3" style="18" customWidth="1"/>
    <col min="13826" max="13826" width="41.5703125" style="18" customWidth="1"/>
    <col min="13827" max="13831" width="13.85546875" style="18" customWidth="1"/>
    <col min="13832" max="13832" width="4.42578125" style="18" customWidth="1"/>
    <col min="13833" max="14080" width="11.42578125" style="18"/>
    <col min="14081" max="14081" width="3" style="18" customWidth="1"/>
    <col min="14082" max="14082" width="41.5703125" style="18" customWidth="1"/>
    <col min="14083" max="14087" width="13.85546875" style="18" customWidth="1"/>
    <col min="14088" max="14088" width="4.42578125" style="18" customWidth="1"/>
    <col min="14089" max="14336" width="11.42578125" style="18"/>
    <col min="14337" max="14337" width="3" style="18" customWidth="1"/>
    <col min="14338" max="14338" width="41.5703125" style="18" customWidth="1"/>
    <col min="14339" max="14343" width="13.85546875" style="18" customWidth="1"/>
    <col min="14344" max="14344" width="4.42578125" style="18" customWidth="1"/>
    <col min="14345" max="14592" width="11.42578125" style="18"/>
    <col min="14593" max="14593" width="3" style="18" customWidth="1"/>
    <col min="14594" max="14594" width="41.5703125" style="18" customWidth="1"/>
    <col min="14595" max="14599" width="13.85546875" style="18" customWidth="1"/>
    <col min="14600" max="14600" width="4.42578125" style="18" customWidth="1"/>
    <col min="14601" max="14848" width="11.42578125" style="18"/>
    <col min="14849" max="14849" width="3" style="18" customWidth="1"/>
    <col min="14850" max="14850" width="41.5703125" style="18" customWidth="1"/>
    <col min="14851" max="14855" width="13.85546875" style="18" customWidth="1"/>
    <col min="14856" max="14856" width="4.42578125" style="18" customWidth="1"/>
    <col min="14857" max="15104" width="11.42578125" style="18"/>
    <col min="15105" max="15105" width="3" style="18" customWidth="1"/>
    <col min="15106" max="15106" width="41.5703125" style="18" customWidth="1"/>
    <col min="15107" max="15111" width="13.85546875" style="18" customWidth="1"/>
    <col min="15112" max="15112" width="4.42578125" style="18" customWidth="1"/>
    <col min="15113" max="15360" width="11.42578125" style="18"/>
    <col min="15361" max="15361" width="3" style="18" customWidth="1"/>
    <col min="15362" max="15362" width="41.5703125" style="18" customWidth="1"/>
    <col min="15363" max="15367" width="13.85546875" style="18" customWidth="1"/>
    <col min="15368" max="15368" width="4.42578125" style="18" customWidth="1"/>
    <col min="15369" max="15616" width="11.42578125" style="18"/>
    <col min="15617" max="15617" width="3" style="18" customWidth="1"/>
    <col min="15618" max="15618" width="41.5703125" style="18" customWidth="1"/>
    <col min="15619" max="15623" width="13.85546875" style="18" customWidth="1"/>
    <col min="15624" max="15624" width="4.42578125" style="18" customWidth="1"/>
    <col min="15625" max="15872" width="11.42578125" style="18"/>
    <col min="15873" max="15873" width="3" style="18" customWidth="1"/>
    <col min="15874" max="15874" width="41.5703125" style="18" customWidth="1"/>
    <col min="15875" max="15879" width="13.85546875" style="18" customWidth="1"/>
    <col min="15880" max="15880" width="4.42578125" style="18" customWidth="1"/>
    <col min="15881" max="16128" width="11.42578125" style="18"/>
    <col min="16129" max="16129" width="3" style="18" customWidth="1"/>
    <col min="16130" max="16130" width="41.5703125" style="18" customWidth="1"/>
    <col min="16131" max="16135" width="13.85546875" style="18" customWidth="1"/>
    <col min="16136" max="16136" width="4.42578125" style="18" customWidth="1"/>
    <col min="16137" max="16384" width="11.42578125" style="18"/>
  </cols>
  <sheetData>
    <row r="2" spans="2:8" x14ac:dyDescent="0.25">
      <c r="B2" s="325" t="s">
        <v>187</v>
      </c>
      <c r="C2" s="325"/>
      <c r="D2" s="325"/>
      <c r="E2" s="325"/>
      <c r="F2" s="325"/>
      <c r="G2" s="325"/>
    </row>
    <row r="3" spans="2:8" x14ac:dyDescent="0.25">
      <c r="B3" s="325" t="s">
        <v>43</v>
      </c>
      <c r="C3" s="325" t="s">
        <v>44</v>
      </c>
      <c r="D3" s="325"/>
      <c r="E3" s="325"/>
      <c r="F3" s="325"/>
      <c r="G3" s="325"/>
    </row>
    <row r="4" spans="2:8" x14ac:dyDescent="0.25">
      <c r="B4" s="325"/>
      <c r="C4" s="213">
        <v>1</v>
      </c>
      <c r="D4" s="213">
        <v>2</v>
      </c>
      <c r="E4" s="213">
        <v>3</v>
      </c>
      <c r="F4" s="213">
        <v>4</v>
      </c>
      <c r="G4" s="213">
        <v>5</v>
      </c>
    </row>
    <row r="5" spans="2:8" x14ac:dyDescent="0.25">
      <c r="B5" s="8" t="s">
        <v>188</v>
      </c>
      <c r="C5" s="12">
        <f>C6+C9</f>
        <v>43640.4</v>
      </c>
      <c r="D5" s="12">
        <f>D6+D9</f>
        <v>48233.46</v>
      </c>
      <c r="E5" s="12">
        <f>E6+E9</f>
        <v>53515.478999999999</v>
      </c>
      <c r="F5" s="12">
        <f>F6+F9</f>
        <v>59589.80085</v>
      </c>
      <c r="G5" s="12">
        <f>G6+G9</f>
        <v>66575.270977499997</v>
      </c>
    </row>
    <row r="6" spans="2:8" x14ac:dyDescent="0.25">
      <c r="B6" s="8" t="s">
        <v>189</v>
      </c>
      <c r="C6" s="12">
        <f>SUM(C7:C8)</f>
        <v>30000</v>
      </c>
      <c r="D6" s="12">
        <f>SUM(D7:D8)</f>
        <v>34500</v>
      </c>
      <c r="E6" s="12">
        <f>SUM(E7:E8)</f>
        <v>39675</v>
      </c>
      <c r="F6" s="12">
        <f>SUM(F7:F8)</f>
        <v>45626.25</v>
      </c>
      <c r="G6" s="12">
        <f>SUM(G7:G8)</f>
        <v>52470.187499999993</v>
      </c>
    </row>
    <row r="7" spans="2:8" x14ac:dyDescent="0.25">
      <c r="B7" s="214" t="s">
        <v>190</v>
      </c>
      <c r="C7" s="40">
        <f>+SUM('COSTO PROD Y OPER'!H71:H73)</f>
        <v>0</v>
      </c>
      <c r="D7" s="40">
        <f>+SUM('COSTO PROD Y OPER'!I71:I73)</f>
        <v>0</v>
      </c>
      <c r="E7" s="40">
        <f>+SUM('COSTO PROD Y OPER'!J71:J73)</f>
        <v>0</v>
      </c>
      <c r="F7" s="40">
        <f>+SUM('COSTO PROD Y OPER'!K71:K73)</f>
        <v>0</v>
      </c>
      <c r="G7" s="40">
        <f>+SUM('COSTO PROD Y OPER'!L71:L73)</f>
        <v>0</v>
      </c>
    </row>
    <row r="8" spans="2:8" x14ac:dyDescent="0.25">
      <c r="B8" s="214" t="s">
        <v>191</v>
      </c>
      <c r="C8" s="40">
        <f>+'COSTO PROD Y OPER'!H74</f>
        <v>30000</v>
      </c>
      <c r="D8" s="40">
        <f>+'COSTO PROD Y OPER'!I74</f>
        <v>34500</v>
      </c>
      <c r="E8" s="40">
        <f>+'COSTO PROD Y OPER'!J74</f>
        <v>39675</v>
      </c>
      <c r="F8" s="40">
        <f>+'COSTO PROD Y OPER'!K74</f>
        <v>45626.25</v>
      </c>
      <c r="G8" s="40">
        <f>+'COSTO PROD Y OPER'!L74</f>
        <v>52470.187499999993</v>
      </c>
    </row>
    <row r="9" spans="2:8" x14ac:dyDescent="0.25">
      <c r="B9" s="8" t="s">
        <v>192</v>
      </c>
      <c r="C9" s="12">
        <f>SUM(C10:C11)</f>
        <v>13640.4</v>
      </c>
      <c r="D9" s="12">
        <f>SUM(D10:D11)</f>
        <v>13733.46</v>
      </c>
      <c r="E9" s="12">
        <f>SUM(E10:E11)</f>
        <v>13840.478999999999</v>
      </c>
      <c r="F9" s="12">
        <f>SUM(F10:F11)</f>
        <v>13963.55085</v>
      </c>
      <c r="G9" s="12">
        <f>SUM(G10:G11)</f>
        <v>14105.0834775</v>
      </c>
    </row>
    <row r="10" spans="2:8" x14ac:dyDescent="0.25">
      <c r="B10" s="89" t="s">
        <v>193</v>
      </c>
      <c r="C10" s="40">
        <f>+SUM('COSTO PROD Y OPER'!H82)</f>
        <v>12300</v>
      </c>
      <c r="D10" s="40">
        <f>+SUM('COSTO PROD Y OPER'!I82)</f>
        <v>12300</v>
      </c>
      <c r="E10" s="40">
        <f>+SUM('COSTO PROD Y OPER'!J82)</f>
        <v>12300</v>
      </c>
      <c r="F10" s="40">
        <f>+SUM('COSTO PROD Y OPER'!K82)</f>
        <v>12300</v>
      </c>
      <c r="G10" s="40">
        <f>+SUM('COSTO PROD Y OPER'!L82)</f>
        <v>12300</v>
      </c>
    </row>
    <row r="11" spans="2:8" x14ac:dyDescent="0.25">
      <c r="B11" s="89" t="s">
        <v>194</v>
      </c>
      <c r="C11" s="40">
        <f>+SUM('COSTO PROD Y OPER'!H76:H81)</f>
        <v>1340.4</v>
      </c>
      <c r="D11" s="40">
        <f>+SUM('COSTO PROD Y OPER'!I76:I81)</f>
        <v>1433.46</v>
      </c>
      <c r="E11" s="40">
        <f>+SUM('COSTO PROD Y OPER'!J76:J81)</f>
        <v>1540.4789999999998</v>
      </c>
      <c r="F11" s="40">
        <f>+SUM('COSTO PROD Y OPER'!K76:K81)</f>
        <v>1663.5508499999999</v>
      </c>
      <c r="G11" s="40">
        <f>+SUM('COSTO PROD Y OPER'!L76:L81)</f>
        <v>1805.0834774999996</v>
      </c>
    </row>
    <row r="12" spans="2:8" x14ac:dyDescent="0.25">
      <c r="B12" s="8" t="s">
        <v>195</v>
      </c>
      <c r="C12" s="12">
        <f>SUM(C13:C14)</f>
        <v>27840</v>
      </c>
      <c r="D12" s="12">
        <f>SUM(D13:D14)</f>
        <v>27840</v>
      </c>
      <c r="E12" s="12">
        <f>SUM(E13:E14)</f>
        <v>27840</v>
      </c>
      <c r="F12" s="12">
        <f>SUM(F13:F14)</f>
        <v>27840</v>
      </c>
      <c r="G12" s="12">
        <f>SUM(G13:G14)</f>
        <v>27840</v>
      </c>
    </row>
    <row r="13" spans="2:8" x14ac:dyDescent="0.25">
      <c r="B13" s="214" t="s">
        <v>196</v>
      </c>
      <c r="C13" s="40">
        <f>+'COSTO PROD Y OPER'!E56</f>
        <v>14700</v>
      </c>
      <c r="D13" s="40">
        <f>C13</f>
        <v>14700</v>
      </c>
      <c r="E13" s="40">
        <f t="shared" ref="E13:G14" si="0">D13</f>
        <v>14700</v>
      </c>
      <c r="F13" s="40">
        <f t="shared" si="0"/>
        <v>14700</v>
      </c>
      <c r="G13" s="40">
        <f t="shared" si="0"/>
        <v>14700</v>
      </c>
    </row>
    <row r="14" spans="2:8" x14ac:dyDescent="0.25">
      <c r="B14" s="215" t="s">
        <v>197</v>
      </c>
      <c r="C14" s="216">
        <f>+'COSTO PROD Y OPER'!E59</f>
        <v>13140</v>
      </c>
      <c r="D14" s="40">
        <f>C14</f>
        <v>13140</v>
      </c>
      <c r="E14" s="40">
        <f t="shared" si="0"/>
        <v>13140</v>
      </c>
      <c r="F14" s="40">
        <f t="shared" si="0"/>
        <v>13140</v>
      </c>
      <c r="G14" s="40">
        <f t="shared" si="0"/>
        <v>13140</v>
      </c>
      <c r="H14" s="48"/>
    </row>
    <row r="15" spans="2:8" ht="26.25" x14ac:dyDescent="0.25">
      <c r="B15" s="217" t="s">
        <v>198</v>
      </c>
      <c r="C15" s="128">
        <f>DEPRECIAC!C13</f>
        <v>3021.05</v>
      </c>
      <c r="D15" s="128">
        <f>DEPRECIAC!D13</f>
        <v>3021.05</v>
      </c>
      <c r="E15" s="128">
        <f>DEPRECIAC!E13</f>
        <v>3021.05</v>
      </c>
      <c r="F15" s="128">
        <f>DEPRECIAC!F13</f>
        <v>3021.05</v>
      </c>
      <c r="G15" s="128">
        <f>DEPRECIAC!G13</f>
        <v>3021.05</v>
      </c>
      <c r="H15" s="48"/>
    </row>
    <row r="16" spans="2:8" x14ac:dyDescent="0.25">
      <c r="B16" s="8" t="s">
        <v>199</v>
      </c>
      <c r="C16" s="12">
        <f>SUM(C17:C17)</f>
        <v>2534.7201674506091</v>
      </c>
      <c r="D16" s="12">
        <f>SUM(D17:D17)</f>
        <v>2534.7201674506091</v>
      </c>
      <c r="E16" s="12">
        <f>SUM(E17:E17)</f>
        <v>2534.7201674506091</v>
      </c>
      <c r="F16" s="12">
        <f>SUM(F17:F17)</f>
        <v>2534.7201674506091</v>
      </c>
      <c r="G16" s="12">
        <f>SUM(G17:G17)</f>
        <v>2534.7201674506091</v>
      </c>
      <c r="H16" s="48"/>
    </row>
    <row r="17" spans="2:8" x14ac:dyDescent="0.25">
      <c r="B17" s="89" t="s">
        <v>200</v>
      </c>
      <c r="C17" s="40">
        <f>+'SERV. DEUD'!M14</f>
        <v>2534.7201674506091</v>
      </c>
      <c r="D17" s="40">
        <f>+'SERV. DEUD'!M15</f>
        <v>2534.7201674506091</v>
      </c>
      <c r="E17" s="40">
        <f>+'SERV. DEUD'!M16</f>
        <v>2534.7201674506091</v>
      </c>
      <c r="F17" s="40">
        <f>+'SERV. DEUD'!M17</f>
        <v>2534.7201674506091</v>
      </c>
      <c r="G17" s="40">
        <f>+'SERV. DEUD'!M18</f>
        <v>2534.7201674506091</v>
      </c>
      <c r="H17" s="218"/>
    </row>
    <row r="18" spans="2:8" x14ac:dyDescent="0.25">
      <c r="B18" s="82" t="s">
        <v>201</v>
      </c>
      <c r="C18" s="13">
        <f>C16+C15+C12+C5</f>
        <v>77036.170167450618</v>
      </c>
      <c r="D18" s="13">
        <f>D16+D15+D12+D5</f>
        <v>81629.230167450616</v>
      </c>
      <c r="E18" s="13">
        <f>E16+E15+E12+E5</f>
        <v>86911.249167450616</v>
      </c>
      <c r="F18" s="13">
        <f>F16+F15+F12+F5</f>
        <v>92985.571017450609</v>
      </c>
      <c r="G18" s="13">
        <f>G16+G15+G12+G5</f>
        <v>99971.041144950606</v>
      </c>
      <c r="H18" s="48"/>
    </row>
    <row r="19" spans="2:8" x14ac:dyDescent="0.25">
      <c r="B19" s="48"/>
      <c r="C19" s="48"/>
      <c r="D19" s="48"/>
      <c r="E19" s="48"/>
      <c r="F19" s="48"/>
      <c r="G19" s="48"/>
      <c r="H19" s="48"/>
    </row>
    <row r="20" spans="2:8" x14ac:dyDescent="0.25">
      <c r="B20" s="219"/>
      <c r="C20" s="220"/>
      <c r="D20" s="220"/>
      <c r="E20" s="220"/>
      <c r="F20" s="220"/>
      <c r="G20" s="220"/>
      <c r="H20" s="48"/>
    </row>
    <row r="21" spans="2:8" x14ac:dyDescent="0.25">
      <c r="B21" s="48"/>
      <c r="C21" s="48"/>
      <c r="D21" s="48"/>
      <c r="E21" s="48"/>
      <c r="F21" s="48"/>
      <c r="G21" s="48"/>
      <c r="H21" s="48"/>
    </row>
    <row r="22" spans="2:8" x14ac:dyDescent="0.25">
      <c r="B22" s="333" t="s">
        <v>43</v>
      </c>
      <c r="C22" s="333" t="s">
        <v>44</v>
      </c>
      <c r="D22" s="333"/>
      <c r="E22" s="333"/>
      <c r="F22" s="333"/>
      <c r="G22" s="333"/>
      <c r="H22" s="48"/>
    </row>
    <row r="23" spans="2:8" x14ac:dyDescent="0.25">
      <c r="B23" s="333"/>
      <c r="C23" s="125">
        <v>1</v>
      </c>
      <c r="D23" s="125">
        <v>2</v>
      </c>
      <c r="E23" s="125">
        <v>3</v>
      </c>
      <c r="F23" s="125">
        <v>4</v>
      </c>
      <c r="G23" s="125">
        <v>5</v>
      </c>
      <c r="H23" s="48"/>
    </row>
    <row r="24" spans="2:8" x14ac:dyDescent="0.25">
      <c r="B24" s="2" t="s">
        <v>202</v>
      </c>
      <c r="C24" s="93">
        <f>+C18</f>
        <v>77036.170167450618</v>
      </c>
      <c r="D24" s="93">
        <f>+D18</f>
        <v>81629.230167450616</v>
      </c>
      <c r="E24" s="93">
        <f>+E18</f>
        <v>86911.249167450616</v>
      </c>
      <c r="F24" s="93">
        <f>+F18</f>
        <v>92985.571017450609</v>
      </c>
      <c r="G24" s="93">
        <f>+G18</f>
        <v>99971.041144950606</v>
      </c>
      <c r="H24" s="48"/>
    </row>
    <row r="25" spans="2:8" x14ac:dyDescent="0.25">
      <c r="B25" s="2" t="s">
        <v>203</v>
      </c>
      <c r="C25" s="93">
        <f>+INGRESOS!N6</f>
        <v>1344</v>
      </c>
      <c r="D25" s="93">
        <f>+INGRESOS!N7</f>
        <v>1588</v>
      </c>
      <c r="E25" s="93">
        <f>+INGRESOS!N8</f>
        <v>1806</v>
      </c>
      <c r="F25" s="93">
        <f>+INGRESOS!N9</f>
        <v>2088</v>
      </c>
      <c r="G25" s="93">
        <f>+INGRESOS!N10</f>
        <v>2407</v>
      </c>
      <c r="H25" s="48"/>
    </row>
    <row r="26" spans="2:8" x14ac:dyDescent="0.25">
      <c r="B26" s="2" t="s">
        <v>204</v>
      </c>
      <c r="C26" s="93">
        <f>C24/C25</f>
        <v>57.318578993638852</v>
      </c>
      <c r="D26" s="93">
        <f>D24/D25</f>
        <v>51.403797334666635</v>
      </c>
      <c r="E26" s="93">
        <f>E24/E25</f>
        <v>48.123615264369114</v>
      </c>
      <c r="F26" s="93">
        <f>F24/F25</f>
        <v>44.533319452802019</v>
      </c>
      <c r="G26" s="93">
        <f>G24/G25</f>
        <v>41.533461215185127</v>
      </c>
      <c r="H26" s="48"/>
    </row>
    <row r="27" spans="2:8" x14ac:dyDescent="0.25">
      <c r="B27" s="48"/>
      <c r="C27" s="48"/>
      <c r="D27" s="48"/>
      <c r="E27" s="48"/>
      <c r="F27" s="48"/>
      <c r="G27" s="48"/>
      <c r="H27" s="48"/>
    </row>
    <row r="28" spans="2:8" x14ac:dyDescent="0.25">
      <c r="B28" s="48"/>
      <c r="C28" s="48"/>
      <c r="D28" s="48"/>
      <c r="E28" s="48"/>
      <c r="F28" s="48"/>
      <c r="G28" s="48"/>
      <c r="H28" s="48"/>
    </row>
    <row r="29" spans="2:8" x14ac:dyDescent="0.25">
      <c r="B29" s="48"/>
      <c r="C29" s="48"/>
      <c r="D29" s="48"/>
      <c r="E29" s="48"/>
      <c r="F29" s="48"/>
      <c r="G29" s="48"/>
      <c r="H29" s="48"/>
    </row>
    <row r="30" spans="2:8" x14ac:dyDescent="0.25">
      <c r="B30" s="48"/>
      <c r="C30" s="48"/>
      <c r="D30" s="48"/>
      <c r="E30" s="48"/>
      <c r="F30" s="48"/>
      <c r="G30" s="48"/>
      <c r="H30" s="48"/>
    </row>
    <row r="31" spans="2:8" x14ac:dyDescent="0.25">
      <c r="B31" s="48"/>
      <c r="C31" s="48"/>
      <c r="D31" s="48"/>
      <c r="E31" s="48"/>
      <c r="F31" s="48"/>
      <c r="G31" s="48"/>
      <c r="H31" s="48"/>
    </row>
    <row r="32" spans="2:8" x14ac:dyDescent="0.25">
      <c r="B32" s="48"/>
      <c r="C32" s="48"/>
      <c r="D32" s="48"/>
      <c r="E32" s="48"/>
      <c r="F32" s="48"/>
      <c r="G32" s="48"/>
      <c r="H32" s="48"/>
    </row>
    <row r="33" spans="2:8" x14ac:dyDescent="0.25">
      <c r="B33" s="48"/>
      <c r="C33" s="48"/>
      <c r="D33" s="48"/>
      <c r="E33" s="48"/>
      <c r="F33" s="48"/>
      <c r="G33" s="48"/>
      <c r="H33" s="48"/>
    </row>
    <row r="34" spans="2:8" x14ac:dyDescent="0.25">
      <c r="B34" s="48"/>
      <c r="C34" s="48"/>
      <c r="D34" s="48"/>
      <c r="E34" s="48"/>
      <c r="F34" s="48"/>
      <c r="G34" s="48"/>
      <c r="H34" s="48"/>
    </row>
  </sheetData>
  <mergeCells count="5">
    <mergeCell ref="B2:G2"/>
    <mergeCell ref="B3:B4"/>
    <mergeCell ref="C3:G3"/>
    <mergeCell ref="B22:B23"/>
    <mergeCell ref="C22:G2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20"/>
  <sheetViews>
    <sheetView workbookViewId="0">
      <selection activeCell="Q13" sqref="Q13"/>
    </sheetView>
  </sheetViews>
  <sheetFormatPr baseColWidth="10" defaultRowHeight="15" x14ac:dyDescent="0.25"/>
  <cols>
    <col min="1" max="1" width="5.42578125" style="18" customWidth="1"/>
    <col min="2" max="10" width="6.5703125" style="18" customWidth="1"/>
    <col min="11" max="12" width="7.5703125" style="18" bestFit="1" customWidth="1"/>
    <col min="13" max="13" width="6.5703125" style="18" customWidth="1"/>
    <col min="14" max="14" width="11.42578125" style="18"/>
    <col min="15" max="15" width="5.28515625" style="18" customWidth="1"/>
    <col min="16" max="16" width="6.85546875" style="18" customWidth="1"/>
    <col min="17" max="18" width="12.28515625" style="18" customWidth="1"/>
    <col min="19" max="19" width="14.42578125" style="18" customWidth="1"/>
    <col min="20" max="20" width="16.28515625" style="18" customWidth="1"/>
    <col min="21" max="21" width="11.42578125" style="18"/>
    <col min="22" max="22" width="12.7109375" style="18" bestFit="1" customWidth="1"/>
    <col min="23" max="256" width="11.42578125" style="18"/>
    <col min="257" max="257" width="5.42578125" style="18" customWidth="1"/>
    <col min="258" max="266" width="6.5703125" style="18" customWidth="1"/>
    <col min="267" max="268" width="7.5703125" style="18" bestFit="1" customWidth="1"/>
    <col min="269" max="269" width="6.5703125" style="18" customWidth="1"/>
    <col min="270" max="270" width="11.42578125" style="18"/>
    <col min="271" max="271" width="5.28515625" style="18" customWidth="1"/>
    <col min="272" max="272" width="6.85546875" style="18" customWidth="1"/>
    <col min="273" max="274" width="12.28515625" style="18" customWidth="1"/>
    <col min="275" max="275" width="14.42578125" style="18" customWidth="1"/>
    <col min="276" max="276" width="16.28515625" style="18" customWidth="1"/>
    <col min="277" max="277" width="11.42578125" style="18"/>
    <col min="278" max="278" width="12.7109375" style="18" bestFit="1" customWidth="1"/>
    <col min="279" max="512" width="11.42578125" style="18"/>
    <col min="513" max="513" width="5.42578125" style="18" customWidth="1"/>
    <col min="514" max="522" width="6.5703125" style="18" customWidth="1"/>
    <col min="523" max="524" width="7.5703125" style="18" bestFit="1" customWidth="1"/>
    <col min="525" max="525" width="6.5703125" style="18" customWidth="1"/>
    <col min="526" max="526" width="11.42578125" style="18"/>
    <col min="527" max="527" width="5.28515625" style="18" customWidth="1"/>
    <col min="528" max="528" width="6.85546875" style="18" customWidth="1"/>
    <col min="529" max="530" width="12.28515625" style="18" customWidth="1"/>
    <col min="531" max="531" width="14.42578125" style="18" customWidth="1"/>
    <col min="532" max="532" width="16.28515625" style="18" customWidth="1"/>
    <col min="533" max="533" width="11.42578125" style="18"/>
    <col min="534" max="534" width="12.7109375" style="18" bestFit="1" customWidth="1"/>
    <col min="535" max="768" width="11.42578125" style="18"/>
    <col min="769" max="769" width="5.42578125" style="18" customWidth="1"/>
    <col min="770" max="778" width="6.5703125" style="18" customWidth="1"/>
    <col min="779" max="780" width="7.5703125" style="18" bestFit="1" customWidth="1"/>
    <col min="781" max="781" width="6.5703125" style="18" customWidth="1"/>
    <col min="782" max="782" width="11.42578125" style="18"/>
    <col min="783" max="783" width="5.28515625" style="18" customWidth="1"/>
    <col min="784" max="784" width="6.85546875" style="18" customWidth="1"/>
    <col min="785" max="786" width="12.28515625" style="18" customWidth="1"/>
    <col min="787" max="787" width="14.42578125" style="18" customWidth="1"/>
    <col min="788" max="788" width="16.28515625" style="18" customWidth="1"/>
    <col min="789" max="789" width="11.42578125" style="18"/>
    <col min="790" max="790" width="12.7109375" style="18" bestFit="1" customWidth="1"/>
    <col min="791" max="1024" width="11.42578125" style="18"/>
    <col min="1025" max="1025" width="5.42578125" style="18" customWidth="1"/>
    <col min="1026" max="1034" width="6.5703125" style="18" customWidth="1"/>
    <col min="1035" max="1036" width="7.5703125" style="18" bestFit="1" customWidth="1"/>
    <col min="1037" max="1037" width="6.5703125" style="18" customWidth="1"/>
    <col min="1038" max="1038" width="11.42578125" style="18"/>
    <col min="1039" max="1039" width="5.28515625" style="18" customWidth="1"/>
    <col min="1040" max="1040" width="6.85546875" style="18" customWidth="1"/>
    <col min="1041" max="1042" width="12.28515625" style="18" customWidth="1"/>
    <col min="1043" max="1043" width="14.42578125" style="18" customWidth="1"/>
    <col min="1044" max="1044" width="16.28515625" style="18" customWidth="1"/>
    <col min="1045" max="1045" width="11.42578125" style="18"/>
    <col min="1046" max="1046" width="12.7109375" style="18" bestFit="1" customWidth="1"/>
    <col min="1047" max="1280" width="11.42578125" style="18"/>
    <col min="1281" max="1281" width="5.42578125" style="18" customWidth="1"/>
    <col min="1282" max="1290" width="6.5703125" style="18" customWidth="1"/>
    <col min="1291" max="1292" width="7.5703125" style="18" bestFit="1" customWidth="1"/>
    <col min="1293" max="1293" width="6.5703125" style="18" customWidth="1"/>
    <col min="1294" max="1294" width="11.42578125" style="18"/>
    <col min="1295" max="1295" width="5.28515625" style="18" customWidth="1"/>
    <col min="1296" max="1296" width="6.85546875" style="18" customWidth="1"/>
    <col min="1297" max="1298" width="12.28515625" style="18" customWidth="1"/>
    <col min="1299" max="1299" width="14.42578125" style="18" customWidth="1"/>
    <col min="1300" max="1300" width="16.28515625" style="18" customWidth="1"/>
    <col min="1301" max="1301" width="11.42578125" style="18"/>
    <col min="1302" max="1302" width="12.7109375" style="18" bestFit="1" customWidth="1"/>
    <col min="1303" max="1536" width="11.42578125" style="18"/>
    <col min="1537" max="1537" width="5.42578125" style="18" customWidth="1"/>
    <col min="1538" max="1546" width="6.5703125" style="18" customWidth="1"/>
    <col min="1547" max="1548" width="7.5703125" style="18" bestFit="1" customWidth="1"/>
    <col min="1549" max="1549" width="6.5703125" style="18" customWidth="1"/>
    <col min="1550" max="1550" width="11.42578125" style="18"/>
    <col min="1551" max="1551" width="5.28515625" style="18" customWidth="1"/>
    <col min="1552" max="1552" width="6.85546875" style="18" customWidth="1"/>
    <col min="1553" max="1554" width="12.28515625" style="18" customWidth="1"/>
    <col min="1555" max="1555" width="14.42578125" style="18" customWidth="1"/>
    <col min="1556" max="1556" width="16.28515625" style="18" customWidth="1"/>
    <col min="1557" max="1557" width="11.42578125" style="18"/>
    <col min="1558" max="1558" width="12.7109375" style="18" bestFit="1" customWidth="1"/>
    <col min="1559" max="1792" width="11.42578125" style="18"/>
    <col min="1793" max="1793" width="5.42578125" style="18" customWidth="1"/>
    <col min="1794" max="1802" width="6.5703125" style="18" customWidth="1"/>
    <col min="1803" max="1804" width="7.5703125" style="18" bestFit="1" customWidth="1"/>
    <col min="1805" max="1805" width="6.5703125" style="18" customWidth="1"/>
    <col min="1806" max="1806" width="11.42578125" style="18"/>
    <col min="1807" max="1807" width="5.28515625" style="18" customWidth="1"/>
    <col min="1808" max="1808" width="6.85546875" style="18" customWidth="1"/>
    <col min="1809" max="1810" width="12.28515625" style="18" customWidth="1"/>
    <col min="1811" max="1811" width="14.42578125" style="18" customWidth="1"/>
    <col min="1812" max="1812" width="16.28515625" style="18" customWidth="1"/>
    <col min="1813" max="1813" width="11.42578125" style="18"/>
    <col min="1814" max="1814" width="12.7109375" style="18" bestFit="1" customWidth="1"/>
    <col min="1815" max="2048" width="11.42578125" style="18"/>
    <col min="2049" max="2049" width="5.42578125" style="18" customWidth="1"/>
    <col min="2050" max="2058" width="6.5703125" style="18" customWidth="1"/>
    <col min="2059" max="2060" width="7.5703125" style="18" bestFit="1" customWidth="1"/>
    <col min="2061" max="2061" width="6.5703125" style="18" customWidth="1"/>
    <col min="2062" max="2062" width="11.42578125" style="18"/>
    <col min="2063" max="2063" width="5.28515625" style="18" customWidth="1"/>
    <col min="2064" max="2064" width="6.85546875" style="18" customWidth="1"/>
    <col min="2065" max="2066" width="12.28515625" style="18" customWidth="1"/>
    <col min="2067" max="2067" width="14.42578125" style="18" customWidth="1"/>
    <col min="2068" max="2068" width="16.28515625" style="18" customWidth="1"/>
    <col min="2069" max="2069" width="11.42578125" style="18"/>
    <col min="2070" max="2070" width="12.7109375" style="18" bestFit="1" customWidth="1"/>
    <col min="2071" max="2304" width="11.42578125" style="18"/>
    <col min="2305" max="2305" width="5.42578125" style="18" customWidth="1"/>
    <col min="2306" max="2314" width="6.5703125" style="18" customWidth="1"/>
    <col min="2315" max="2316" width="7.5703125" style="18" bestFit="1" customWidth="1"/>
    <col min="2317" max="2317" width="6.5703125" style="18" customWidth="1"/>
    <col min="2318" max="2318" width="11.42578125" style="18"/>
    <col min="2319" max="2319" width="5.28515625" style="18" customWidth="1"/>
    <col min="2320" max="2320" width="6.85546875" style="18" customWidth="1"/>
    <col min="2321" max="2322" width="12.28515625" style="18" customWidth="1"/>
    <col min="2323" max="2323" width="14.42578125" style="18" customWidth="1"/>
    <col min="2324" max="2324" width="16.28515625" style="18" customWidth="1"/>
    <col min="2325" max="2325" width="11.42578125" style="18"/>
    <col min="2326" max="2326" width="12.7109375" style="18" bestFit="1" customWidth="1"/>
    <col min="2327" max="2560" width="11.42578125" style="18"/>
    <col min="2561" max="2561" width="5.42578125" style="18" customWidth="1"/>
    <col min="2562" max="2570" width="6.5703125" style="18" customWidth="1"/>
    <col min="2571" max="2572" width="7.5703125" style="18" bestFit="1" customWidth="1"/>
    <col min="2573" max="2573" width="6.5703125" style="18" customWidth="1"/>
    <col min="2574" max="2574" width="11.42578125" style="18"/>
    <col min="2575" max="2575" width="5.28515625" style="18" customWidth="1"/>
    <col min="2576" max="2576" width="6.85546875" style="18" customWidth="1"/>
    <col min="2577" max="2578" width="12.28515625" style="18" customWidth="1"/>
    <col min="2579" max="2579" width="14.42578125" style="18" customWidth="1"/>
    <col min="2580" max="2580" width="16.28515625" style="18" customWidth="1"/>
    <col min="2581" max="2581" width="11.42578125" style="18"/>
    <col min="2582" max="2582" width="12.7109375" style="18" bestFit="1" customWidth="1"/>
    <col min="2583" max="2816" width="11.42578125" style="18"/>
    <col min="2817" max="2817" width="5.42578125" style="18" customWidth="1"/>
    <col min="2818" max="2826" width="6.5703125" style="18" customWidth="1"/>
    <col min="2827" max="2828" width="7.5703125" style="18" bestFit="1" customWidth="1"/>
    <col min="2829" max="2829" width="6.5703125" style="18" customWidth="1"/>
    <col min="2830" max="2830" width="11.42578125" style="18"/>
    <col min="2831" max="2831" width="5.28515625" style="18" customWidth="1"/>
    <col min="2832" max="2832" width="6.85546875" style="18" customWidth="1"/>
    <col min="2833" max="2834" width="12.28515625" style="18" customWidth="1"/>
    <col min="2835" max="2835" width="14.42578125" style="18" customWidth="1"/>
    <col min="2836" max="2836" width="16.28515625" style="18" customWidth="1"/>
    <col min="2837" max="2837" width="11.42578125" style="18"/>
    <col min="2838" max="2838" width="12.7109375" style="18" bestFit="1" customWidth="1"/>
    <col min="2839" max="3072" width="11.42578125" style="18"/>
    <col min="3073" max="3073" width="5.42578125" style="18" customWidth="1"/>
    <col min="3074" max="3082" width="6.5703125" style="18" customWidth="1"/>
    <col min="3083" max="3084" width="7.5703125" style="18" bestFit="1" customWidth="1"/>
    <col min="3085" max="3085" width="6.5703125" style="18" customWidth="1"/>
    <col min="3086" max="3086" width="11.42578125" style="18"/>
    <col min="3087" max="3087" width="5.28515625" style="18" customWidth="1"/>
    <col min="3088" max="3088" width="6.85546875" style="18" customWidth="1"/>
    <col min="3089" max="3090" width="12.28515625" style="18" customWidth="1"/>
    <col min="3091" max="3091" width="14.42578125" style="18" customWidth="1"/>
    <col min="3092" max="3092" width="16.28515625" style="18" customWidth="1"/>
    <col min="3093" max="3093" width="11.42578125" style="18"/>
    <col min="3094" max="3094" width="12.7109375" style="18" bestFit="1" customWidth="1"/>
    <col min="3095" max="3328" width="11.42578125" style="18"/>
    <col min="3329" max="3329" width="5.42578125" style="18" customWidth="1"/>
    <col min="3330" max="3338" width="6.5703125" style="18" customWidth="1"/>
    <col min="3339" max="3340" width="7.5703125" style="18" bestFit="1" customWidth="1"/>
    <col min="3341" max="3341" width="6.5703125" style="18" customWidth="1"/>
    <col min="3342" max="3342" width="11.42578125" style="18"/>
    <col min="3343" max="3343" width="5.28515625" style="18" customWidth="1"/>
    <col min="3344" max="3344" width="6.85546875" style="18" customWidth="1"/>
    <col min="3345" max="3346" width="12.28515625" style="18" customWidth="1"/>
    <col min="3347" max="3347" width="14.42578125" style="18" customWidth="1"/>
    <col min="3348" max="3348" width="16.28515625" style="18" customWidth="1"/>
    <col min="3349" max="3349" width="11.42578125" style="18"/>
    <col min="3350" max="3350" width="12.7109375" style="18" bestFit="1" customWidth="1"/>
    <col min="3351" max="3584" width="11.42578125" style="18"/>
    <col min="3585" max="3585" width="5.42578125" style="18" customWidth="1"/>
    <col min="3586" max="3594" width="6.5703125" style="18" customWidth="1"/>
    <col min="3595" max="3596" width="7.5703125" style="18" bestFit="1" customWidth="1"/>
    <col min="3597" max="3597" width="6.5703125" style="18" customWidth="1"/>
    <col min="3598" max="3598" width="11.42578125" style="18"/>
    <col min="3599" max="3599" width="5.28515625" style="18" customWidth="1"/>
    <col min="3600" max="3600" width="6.85546875" style="18" customWidth="1"/>
    <col min="3601" max="3602" width="12.28515625" style="18" customWidth="1"/>
    <col min="3603" max="3603" width="14.42578125" style="18" customWidth="1"/>
    <col min="3604" max="3604" width="16.28515625" style="18" customWidth="1"/>
    <col min="3605" max="3605" width="11.42578125" style="18"/>
    <col min="3606" max="3606" width="12.7109375" style="18" bestFit="1" customWidth="1"/>
    <col min="3607" max="3840" width="11.42578125" style="18"/>
    <col min="3841" max="3841" width="5.42578125" style="18" customWidth="1"/>
    <col min="3842" max="3850" width="6.5703125" style="18" customWidth="1"/>
    <col min="3851" max="3852" width="7.5703125" style="18" bestFit="1" customWidth="1"/>
    <col min="3853" max="3853" width="6.5703125" style="18" customWidth="1"/>
    <col min="3854" max="3854" width="11.42578125" style="18"/>
    <col min="3855" max="3855" width="5.28515625" style="18" customWidth="1"/>
    <col min="3856" max="3856" width="6.85546875" style="18" customWidth="1"/>
    <col min="3857" max="3858" width="12.28515625" style="18" customWidth="1"/>
    <col min="3859" max="3859" width="14.42578125" style="18" customWidth="1"/>
    <col min="3860" max="3860" width="16.28515625" style="18" customWidth="1"/>
    <col min="3861" max="3861" width="11.42578125" style="18"/>
    <col min="3862" max="3862" width="12.7109375" style="18" bestFit="1" customWidth="1"/>
    <col min="3863" max="4096" width="11.42578125" style="18"/>
    <col min="4097" max="4097" width="5.42578125" style="18" customWidth="1"/>
    <col min="4098" max="4106" width="6.5703125" style="18" customWidth="1"/>
    <col min="4107" max="4108" width="7.5703125" style="18" bestFit="1" customWidth="1"/>
    <col min="4109" max="4109" width="6.5703125" style="18" customWidth="1"/>
    <col min="4110" max="4110" width="11.42578125" style="18"/>
    <col min="4111" max="4111" width="5.28515625" style="18" customWidth="1"/>
    <col min="4112" max="4112" width="6.85546875" style="18" customWidth="1"/>
    <col min="4113" max="4114" width="12.28515625" style="18" customWidth="1"/>
    <col min="4115" max="4115" width="14.42578125" style="18" customWidth="1"/>
    <col min="4116" max="4116" width="16.28515625" style="18" customWidth="1"/>
    <col min="4117" max="4117" width="11.42578125" style="18"/>
    <col min="4118" max="4118" width="12.7109375" style="18" bestFit="1" customWidth="1"/>
    <col min="4119" max="4352" width="11.42578125" style="18"/>
    <col min="4353" max="4353" width="5.42578125" style="18" customWidth="1"/>
    <col min="4354" max="4362" width="6.5703125" style="18" customWidth="1"/>
    <col min="4363" max="4364" width="7.5703125" style="18" bestFit="1" customWidth="1"/>
    <col min="4365" max="4365" width="6.5703125" style="18" customWidth="1"/>
    <col min="4366" max="4366" width="11.42578125" style="18"/>
    <col min="4367" max="4367" width="5.28515625" style="18" customWidth="1"/>
    <col min="4368" max="4368" width="6.85546875" style="18" customWidth="1"/>
    <col min="4369" max="4370" width="12.28515625" style="18" customWidth="1"/>
    <col min="4371" max="4371" width="14.42578125" style="18" customWidth="1"/>
    <col min="4372" max="4372" width="16.28515625" style="18" customWidth="1"/>
    <col min="4373" max="4373" width="11.42578125" style="18"/>
    <col min="4374" max="4374" width="12.7109375" style="18" bestFit="1" customWidth="1"/>
    <col min="4375" max="4608" width="11.42578125" style="18"/>
    <col min="4609" max="4609" width="5.42578125" style="18" customWidth="1"/>
    <col min="4610" max="4618" width="6.5703125" style="18" customWidth="1"/>
    <col min="4619" max="4620" width="7.5703125" style="18" bestFit="1" customWidth="1"/>
    <col min="4621" max="4621" width="6.5703125" style="18" customWidth="1"/>
    <col min="4622" max="4622" width="11.42578125" style="18"/>
    <col min="4623" max="4623" width="5.28515625" style="18" customWidth="1"/>
    <col min="4624" max="4624" width="6.85546875" style="18" customWidth="1"/>
    <col min="4625" max="4626" width="12.28515625" style="18" customWidth="1"/>
    <col min="4627" max="4627" width="14.42578125" style="18" customWidth="1"/>
    <col min="4628" max="4628" width="16.28515625" style="18" customWidth="1"/>
    <col min="4629" max="4629" width="11.42578125" style="18"/>
    <col min="4630" max="4630" width="12.7109375" style="18" bestFit="1" customWidth="1"/>
    <col min="4631" max="4864" width="11.42578125" style="18"/>
    <col min="4865" max="4865" width="5.42578125" style="18" customWidth="1"/>
    <col min="4866" max="4874" width="6.5703125" style="18" customWidth="1"/>
    <col min="4875" max="4876" width="7.5703125" style="18" bestFit="1" customWidth="1"/>
    <col min="4877" max="4877" width="6.5703125" style="18" customWidth="1"/>
    <col min="4878" max="4878" width="11.42578125" style="18"/>
    <col min="4879" max="4879" width="5.28515625" style="18" customWidth="1"/>
    <col min="4880" max="4880" width="6.85546875" style="18" customWidth="1"/>
    <col min="4881" max="4882" width="12.28515625" style="18" customWidth="1"/>
    <col min="4883" max="4883" width="14.42578125" style="18" customWidth="1"/>
    <col min="4884" max="4884" width="16.28515625" style="18" customWidth="1"/>
    <col min="4885" max="4885" width="11.42578125" style="18"/>
    <col min="4886" max="4886" width="12.7109375" style="18" bestFit="1" customWidth="1"/>
    <col min="4887" max="5120" width="11.42578125" style="18"/>
    <col min="5121" max="5121" width="5.42578125" style="18" customWidth="1"/>
    <col min="5122" max="5130" width="6.5703125" style="18" customWidth="1"/>
    <col min="5131" max="5132" width="7.5703125" style="18" bestFit="1" customWidth="1"/>
    <col min="5133" max="5133" width="6.5703125" style="18" customWidth="1"/>
    <col min="5134" max="5134" width="11.42578125" style="18"/>
    <col min="5135" max="5135" width="5.28515625" style="18" customWidth="1"/>
    <col min="5136" max="5136" width="6.85546875" style="18" customWidth="1"/>
    <col min="5137" max="5138" width="12.28515625" style="18" customWidth="1"/>
    <col min="5139" max="5139" width="14.42578125" style="18" customWidth="1"/>
    <col min="5140" max="5140" width="16.28515625" style="18" customWidth="1"/>
    <col min="5141" max="5141" width="11.42578125" style="18"/>
    <col min="5142" max="5142" width="12.7109375" style="18" bestFit="1" customWidth="1"/>
    <col min="5143" max="5376" width="11.42578125" style="18"/>
    <col min="5377" max="5377" width="5.42578125" style="18" customWidth="1"/>
    <col min="5378" max="5386" width="6.5703125" style="18" customWidth="1"/>
    <col min="5387" max="5388" width="7.5703125" style="18" bestFit="1" customWidth="1"/>
    <col min="5389" max="5389" width="6.5703125" style="18" customWidth="1"/>
    <col min="5390" max="5390" width="11.42578125" style="18"/>
    <col min="5391" max="5391" width="5.28515625" style="18" customWidth="1"/>
    <col min="5392" max="5392" width="6.85546875" style="18" customWidth="1"/>
    <col min="5393" max="5394" width="12.28515625" style="18" customWidth="1"/>
    <col min="5395" max="5395" width="14.42578125" style="18" customWidth="1"/>
    <col min="5396" max="5396" width="16.28515625" style="18" customWidth="1"/>
    <col min="5397" max="5397" width="11.42578125" style="18"/>
    <col min="5398" max="5398" width="12.7109375" style="18" bestFit="1" customWidth="1"/>
    <col min="5399" max="5632" width="11.42578125" style="18"/>
    <col min="5633" max="5633" width="5.42578125" style="18" customWidth="1"/>
    <col min="5634" max="5642" width="6.5703125" style="18" customWidth="1"/>
    <col min="5643" max="5644" width="7.5703125" style="18" bestFit="1" customWidth="1"/>
    <col min="5645" max="5645" width="6.5703125" style="18" customWidth="1"/>
    <col min="5646" max="5646" width="11.42578125" style="18"/>
    <col min="5647" max="5647" width="5.28515625" style="18" customWidth="1"/>
    <col min="5648" max="5648" width="6.85546875" style="18" customWidth="1"/>
    <col min="5649" max="5650" width="12.28515625" style="18" customWidth="1"/>
    <col min="5651" max="5651" width="14.42578125" style="18" customWidth="1"/>
    <col min="5652" max="5652" width="16.28515625" style="18" customWidth="1"/>
    <col min="5653" max="5653" width="11.42578125" style="18"/>
    <col min="5654" max="5654" width="12.7109375" style="18" bestFit="1" customWidth="1"/>
    <col min="5655" max="5888" width="11.42578125" style="18"/>
    <col min="5889" max="5889" width="5.42578125" style="18" customWidth="1"/>
    <col min="5890" max="5898" width="6.5703125" style="18" customWidth="1"/>
    <col min="5899" max="5900" width="7.5703125" style="18" bestFit="1" customWidth="1"/>
    <col min="5901" max="5901" width="6.5703125" style="18" customWidth="1"/>
    <col min="5902" max="5902" width="11.42578125" style="18"/>
    <col min="5903" max="5903" width="5.28515625" style="18" customWidth="1"/>
    <col min="5904" max="5904" width="6.85546875" style="18" customWidth="1"/>
    <col min="5905" max="5906" width="12.28515625" style="18" customWidth="1"/>
    <col min="5907" max="5907" width="14.42578125" style="18" customWidth="1"/>
    <col min="5908" max="5908" width="16.28515625" style="18" customWidth="1"/>
    <col min="5909" max="5909" width="11.42578125" style="18"/>
    <col min="5910" max="5910" width="12.7109375" style="18" bestFit="1" customWidth="1"/>
    <col min="5911" max="6144" width="11.42578125" style="18"/>
    <col min="6145" max="6145" width="5.42578125" style="18" customWidth="1"/>
    <col min="6146" max="6154" width="6.5703125" style="18" customWidth="1"/>
    <col min="6155" max="6156" width="7.5703125" style="18" bestFit="1" customWidth="1"/>
    <col min="6157" max="6157" width="6.5703125" style="18" customWidth="1"/>
    <col min="6158" max="6158" width="11.42578125" style="18"/>
    <col min="6159" max="6159" width="5.28515625" style="18" customWidth="1"/>
    <col min="6160" max="6160" width="6.85546875" style="18" customWidth="1"/>
    <col min="6161" max="6162" width="12.28515625" style="18" customWidth="1"/>
    <col min="6163" max="6163" width="14.42578125" style="18" customWidth="1"/>
    <col min="6164" max="6164" width="16.28515625" style="18" customWidth="1"/>
    <col min="6165" max="6165" width="11.42578125" style="18"/>
    <col min="6166" max="6166" width="12.7109375" style="18" bestFit="1" customWidth="1"/>
    <col min="6167" max="6400" width="11.42578125" style="18"/>
    <col min="6401" max="6401" width="5.42578125" style="18" customWidth="1"/>
    <col min="6402" max="6410" width="6.5703125" style="18" customWidth="1"/>
    <col min="6411" max="6412" width="7.5703125" style="18" bestFit="1" customWidth="1"/>
    <col min="6413" max="6413" width="6.5703125" style="18" customWidth="1"/>
    <col min="6414" max="6414" width="11.42578125" style="18"/>
    <col min="6415" max="6415" width="5.28515625" style="18" customWidth="1"/>
    <col min="6416" max="6416" width="6.85546875" style="18" customWidth="1"/>
    <col min="6417" max="6418" width="12.28515625" style="18" customWidth="1"/>
    <col min="6419" max="6419" width="14.42578125" style="18" customWidth="1"/>
    <col min="6420" max="6420" width="16.28515625" style="18" customWidth="1"/>
    <col min="6421" max="6421" width="11.42578125" style="18"/>
    <col min="6422" max="6422" width="12.7109375" style="18" bestFit="1" customWidth="1"/>
    <col min="6423" max="6656" width="11.42578125" style="18"/>
    <col min="6657" max="6657" width="5.42578125" style="18" customWidth="1"/>
    <col min="6658" max="6666" width="6.5703125" style="18" customWidth="1"/>
    <col min="6667" max="6668" width="7.5703125" style="18" bestFit="1" customWidth="1"/>
    <col min="6669" max="6669" width="6.5703125" style="18" customWidth="1"/>
    <col min="6670" max="6670" width="11.42578125" style="18"/>
    <col min="6671" max="6671" width="5.28515625" style="18" customWidth="1"/>
    <col min="6672" max="6672" width="6.85546875" style="18" customWidth="1"/>
    <col min="6673" max="6674" width="12.28515625" style="18" customWidth="1"/>
    <col min="6675" max="6675" width="14.42578125" style="18" customWidth="1"/>
    <col min="6676" max="6676" width="16.28515625" style="18" customWidth="1"/>
    <col min="6677" max="6677" width="11.42578125" style="18"/>
    <col min="6678" max="6678" width="12.7109375" style="18" bestFit="1" customWidth="1"/>
    <col min="6679" max="6912" width="11.42578125" style="18"/>
    <col min="6913" max="6913" width="5.42578125" style="18" customWidth="1"/>
    <col min="6914" max="6922" width="6.5703125" style="18" customWidth="1"/>
    <col min="6923" max="6924" width="7.5703125" style="18" bestFit="1" customWidth="1"/>
    <col min="6925" max="6925" width="6.5703125" style="18" customWidth="1"/>
    <col min="6926" max="6926" width="11.42578125" style="18"/>
    <col min="6927" max="6927" width="5.28515625" style="18" customWidth="1"/>
    <col min="6928" max="6928" width="6.85546875" style="18" customWidth="1"/>
    <col min="6929" max="6930" width="12.28515625" style="18" customWidth="1"/>
    <col min="6931" max="6931" width="14.42578125" style="18" customWidth="1"/>
    <col min="6932" max="6932" width="16.28515625" style="18" customWidth="1"/>
    <col min="6933" max="6933" width="11.42578125" style="18"/>
    <col min="6934" max="6934" width="12.7109375" style="18" bestFit="1" customWidth="1"/>
    <col min="6935" max="7168" width="11.42578125" style="18"/>
    <col min="7169" max="7169" width="5.42578125" style="18" customWidth="1"/>
    <col min="7170" max="7178" width="6.5703125" style="18" customWidth="1"/>
    <col min="7179" max="7180" width="7.5703125" style="18" bestFit="1" customWidth="1"/>
    <col min="7181" max="7181" width="6.5703125" style="18" customWidth="1"/>
    <col min="7182" max="7182" width="11.42578125" style="18"/>
    <col min="7183" max="7183" width="5.28515625" style="18" customWidth="1"/>
    <col min="7184" max="7184" width="6.85546875" style="18" customWidth="1"/>
    <col min="7185" max="7186" width="12.28515625" style="18" customWidth="1"/>
    <col min="7187" max="7187" width="14.42578125" style="18" customWidth="1"/>
    <col min="7188" max="7188" width="16.28515625" style="18" customWidth="1"/>
    <col min="7189" max="7189" width="11.42578125" style="18"/>
    <col min="7190" max="7190" width="12.7109375" style="18" bestFit="1" customWidth="1"/>
    <col min="7191" max="7424" width="11.42578125" style="18"/>
    <col min="7425" max="7425" width="5.42578125" style="18" customWidth="1"/>
    <col min="7426" max="7434" width="6.5703125" style="18" customWidth="1"/>
    <col min="7435" max="7436" width="7.5703125" style="18" bestFit="1" customWidth="1"/>
    <col min="7437" max="7437" width="6.5703125" style="18" customWidth="1"/>
    <col min="7438" max="7438" width="11.42578125" style="18"/>
    <col min="7439" max="7439" width="5.28515625" style="18" customWidth="1"/>
    <col min="7440" max="7440" width="6.85546875" style="18" customWidth="1"/>
    <col min="7441" max="7442" width="12.28515625" style="18" customWidth="1"/>
    <col min="7443" max="7443" width="14.42578125" style="18" customWidth="1"/>
    <col min="7444" max="7444" width="16.28515625" style="18" customWidth="1"/>
    <col min="7445" max="7445" width="11.42578125" style="18"/>
    <col min="7446" max="7446" width="12.7109375" style="18" bestFit="1" customWidth="1"/>
    <col min="7447" max="7680" width="11.42578125" style="18"/>
    <col min="7681" max="7681" width="5.42578125" style="18" customWidth="1"/>
    <col min="7682" max="7690" width="6.5703125" style="18" customWidth="1"/>
    <col min="7691" max="7692" width="7.5703125" style="18" bestFit="1" customWidth="1"/>
    <col min="7693" max="7693" width="6.5703125" style="18" customWidth="1"/>
    <col min="7694" max="7694" width="11.42578125" style="18"/>
    <col min="7695" max="7695" width="5.28515625" style="18" customWidth="1"/>
    <col min="7696" max="7696" width="6.85546875" style="18" customWidth="1"/>
    <col min="7697" max="7698" width="12.28515625" style="18" customWidth="1"/>
    <col min="7699" max="7699" width="14.42578125" style="18" customWidth="1"/>
    <col min="7700" max="7700" width="16.28515625" style="18" customWidth="1"/>
    <col min="7701" max="7701" width="11.42578125" style="18"/>
    <col min="7702" max="7702" width="12.7109375" style="18" bestFit="1" customWidth="1"/>
    <col min="7703" max="7936" width="11.42578125" style="18"/>
    <col min="7937" max="7937" width="5.42578125" style="18" customWidth="1"/>
    <col min="7938" max="7946" width="6.5703125" style="18" customWidth="1"/>
    <col min="7947" max="7948" width="7.5703125" style="18" bestFit="1" customWidth="1"/>
    <col min="7949" max="7949" width="6.5703125" style="18" customWidth="1"/>
    <col min="7950" max="7950" width="11.42578125" style="18"/>
    <col min="7951" max="7951" width="5.28515625" style="18" customWidth="1"/>
    <col min="7952" max="7952" width="6.85546875" style="18" customWidth="1"/>
    <col min="7953" max="7954" width="12.28515625" style="18" customWidth="1"/>
    <col min="7955" max="7955" width="14.42578125" style="18" customWidth="1"/>
    <col min="7956" max="7956" width="16.28515625" style="18" customWidth="1"/>
    <col min="7957" max="7957" width="11.42578125" style="18"/>
    <col min="7958" max="7958" width="12.7109375" style="18" bestFit="1" customWidth="1"/>
    <col min="7959" max="8192" width="11.42578125" style="18"/>
    <col min="8193" max="8193" width="5.42578125" style="18" customWidth="1"/>
    <col min="8194" max="8202" width="6.5703125" style="18" customWidth="1"/>
    <col min="8203" max="8204" width="7.5703125" style="18" bestFit="1" customWidth="1"/>
    <col min="8205" max="8205" width="6.5703125" style="18" customWidth="1"/>
    <col min="8206" max="8206" width="11.42578125" style="18"/>
    <col min="8207" max="8207" width="5.28515625" style="18" customWidth="1"/>
    <col min="8208" max="8208" width="6.85546875" style="18" customWidth="1"/>
    <col min="8209" max="8210" width="12.28515625" style="18" customWidth="1"/>
    <col min="8211" max="8211" width="14.42578125" style="18" customWidth="1"/>
    <col min="8212" max="8212" width="16.28515625" style="18" customWidth="1"/>
    <col min="8213" max="8213" width="11.42578125" style="18"/>
    <col min="8214" max="8214" width="12.7109375" style="18" bestFit="1" customWidth="1"/>
    <col min="8215" max="8448" width="11.42578125" style="18"/>
    <col min="8449" max="8449" width="5.42578125" style="18" customWidth="1"/>
    <col min="8450" max="8458" width="6.5703125" style="18" customWidth="1"/>
    <col min="8459" max="8460" width="7.5703125" style="18" bestFit="1" customWidth="1"/>
    <col min="8461" max="8461" width="6.5703125" style="18" customWidth="1"/>
    <col min="8462" max="8462" width="11.42578125" style="18"/>
    <col min="8463" max="8463" width="5.28515625" style="18" customWidth="1"/>
    <col min="8464" max="8464" width="6.85546875" style="18" customWidth="1"/>
    <col min="8465" max="8466" width="12.28515625" style="18" customWidth="1"/>
    <col min="8467" max="8467" width="14.42578125" style="18" customWidth="1"/>
    <col min="8468" max="8468" width="16.28515625" style="18" customWidth="1"/>
    <col min="8469" max="8469" width="11.42578125" style="18"/>
    <col min="8470" max="8470" width="12.7109375" style="18" bestFit="1" customWidth="1"/>
    <col min="8471" max="8704" width="11.42578125" style="18"/>
    <col min="8705" max="8705" width="5.42578125" style="18" customWidth="1"/>
    <col min="8706" max="8714" width="6.5703125" style="18" customWidth="1"/>
    <col min="8715" max="8716" width="7.5703125" style="18" bestFit="1" customWidth="1"/>
    <col min="8717" max="8717" width="6.5703125" style="18" customWidth="1"/>
    <col min="8718" max="8718" width="11.42578125" style="18"/>
    <col min="8719" max="8719" width="5.28515625" style="18" customWidth="1"/>
    <col min="8720" max="8720" width="6.85546875" style="18" customWidth="1"/>
    <col min="8721" max="8722" width="12.28515625" style="18" customWidth="1"/>
    <col min="8723" max="8723" width="14.42578125" style="18" customWidth="1"/>
    <col min="8724" max="8724" width="16.28515625" style="18" customWidth="1"/>
    <col min="8725" max="8725" width="11.42578125" style="18"/>
    <col min="8726" max="8726" width="12.7109375" style="18" bestFit="1" customWidth="1"/>
    <col min="8727" max="8960" width="11.42578125" style="18"/>
    <col min="8961" max="8961" width="5.42578125" style="18" customWidth="1"/>
    <col min="8962" max="8970" width="6.5703125" style="18" customWidth="1"/>
    <col min="8971" max="8972" width="7.5703125" style="18" bestFit="1" customWidth="1"/>
    <col min="8973" max="8973" width="6.5703125" style="18" customWidth="1"/>
    <col min="8974" max="8974" width="11.42578125" style="18"/>
    <col min="8975" max="8975" width="5.28515625" style="18" customWidth="1"/>
    <col min="8976" max="8976" width="6.85546875" style="18" customWidth="1"/>
    <col min="8977" max="8978" width="12.28515625" style="18" customWidth="1"/>
    <col min="8979" max="8979" width="14.42578125" style="18" customWidth="1"/>
    <col min="8980" max="8980" width="16.28515625" style="18" customWidth="1"/>
    <col min="8981" max="8981" width="11.42578125" style="18"/>
    <col min="8982" max="8982" width="12.7109375" style="18" bestFit="1" customWidth="1"/>
    <col min="8983" max="9216" width="11.42578125" style="18"/>
    <col min="9217" max="9217" width="5.42578125" style="18" customWidth="1"/>
    <col min="9218" max="9226" width="6.5703125" style="18" customWidth="1"/>
    <col min="9227" max="9228" width="7.5703125" style="18" bestFit="1" customWidth="1"/>
    <col min="9229" max="9229" width="6.5703125" style="18" customWidth="1"/>
    <col min="9230" max="9230" width="11.42578125" style="18"/>
    <col min="9231" max="9231" width="5.28515625" style="18" customWidth="1"/>
    <col min="9232" max="9232" width="6.85546875" style="18" customWidth="1"/>
    <col min="9233" max="9234" width="12.28515625" style="18" customWidth="1"/>
    <col min="9235" max="9235" width="14.42578125" style="18" customWidth="1"/>
    <col min="9236" max="9236" width="16.28515625" style="18" customWidth="1"/>
    <col min="9237" max="9237" width="11.42578125" style="18"/>
    <col min="9238" max="9238" width="12.7109375" style="18" bestFit="1" customWidth="1"/>
    <col min="9239" max="9472" width="11.42578125" style="18"/>
    <col min="9473" max="9473" width="5.42578125" style="18" customWidth="1"/>
    <col min="9474" max="9482" width="6.5703125" style="18" customWidth="1"/>
    <col min="9483" max="9484" width="7.5703125" style="18" bestFit="1" customWidth="1"/>
    <col min="9485" max="9485" width="6.5703125" style="18" customWidth="1"/>
    <col min="9486" max="9486" width="11.42578125" style="18"/>
    <col min="9487" max="9487" width="5.28515625" style="18" customWidth="1"/>
    <col min="9488" max="9488" width="6.85546875" style="18" customWidth="1"/>
    <col min="9489" max="9490" width="12.28515625" style="18" customWidth="1"/>
    <col min="9491" max="9491" width="14.42578125" style="18" customWidth="1"/>
    <col min="9492" max="9492" width="16.28515625" style="18" customWidth="1"/>
    <col min="9493" max="9493" width="11.42578125" style="18"/>
    <col min="9494" max="9494" width="12.7109375" style="18" bestFit="1" customWidth="1"/>
    <col min="9495" max="9728" width="11.42578125" style="18"/>
    <col min="9729" max="9729" width="5.42578125" style="18" customWidth="1"/>
    <col min="9730" max="9738" width="6.5703125" style="18" customWidth="1"/>
    <col min="9739" max="9740" width="7.5703125" style="18" bestFit="1" customWidth="1"/>
    <col min="9741" max="9741" width="6.5703125" style="18" customWidth="1"/>
    <col min="9742" max="9742" width="11.42578125" style="18"/>
    <col min="9743" max="9743" width="5.28515625" style="18" customWidth="1"/>
    <col min="9744" max="9744" width="6.85546875" style="18" customWidth="1"/>
    <col min="9745" max="9746" width="12.28515625" style="18" customWidth="1"/>
    <col min="9747" max="9747" width="14.42578125" style="18" customWidth="1"/>
    <col min="9748" max="9748" width="16.28515625" style="18" customWidth="1"/>
    <col min="9749" max="9749" width="11.42578125" style="18"/>
    <col min="9750" max="9750" width="12.7109375" style="18" bestFit="1" customWidth="1"/>
    <col min="9751" max="9984" width="11.42578125" style="18"/>
    <col min="9985" max="9985" width="5.42578125" style="18" customWidth="1"/>
    <col min="9986" max="9994" width="6.5703125" style="18" customWidth="1"/>
    <col min="9995" max="9996" width="7.5703125" style="18" bestFit="1" customWidth="1"/>
    <col min="9997" max="9997" width="6.5703125" style="18" customWidth="1"/>
    <col min="9998" max="9998" width="11.42578125" style="18"/>
    <col min="9999" max="9999" width="5.28515625" style="18" customWidth="1"/>
    <col min="10000" max="10000" width="6.85546875" style="18" customWidth="1"/>
    <col min="10001" max="10002" width="12.28515625" style="18" customWidth="1"/>
    <col min="10003" max="10003" width="14.42578125" style="18" customWidth="1"/>
    <col min="10004" max="10004" width="16.28515625" style="18" customWidth="1"/>
    <col min="10005" max="10005" width="11.42578125" style="18"/>
    <col min="10006" max="10006" width="12.7109375" style="18" bestFit="1" customWidth="1"/>
    <col min="10007" max="10240" width="11.42578125" style="18"/>
    <col min="10241" max="10241" width="5.42578125" style="18" customWidth="1"/>
    <col min="10242" max="10250" width="6.5703125" style="18" customWidth="1"/>
    <col min="10251" max="10252" width="7.5703125" style="18" bestFit="1" customWidth="1"/>
    <col min="10253" max="10253" width="6.5703125" style="18" customWidth="1"/>
    <col min="10254" max="10254" width="11.42578125" style="18"/>
    <col min="10255" max="10255" width="5.28515625" style="18" customWidth="1"/>
    <col min="10256" max="10256" width="6.85546875" style="18" customWidth="1"/>
    <col min="10257" max="10258" width="12.28515625" style="18" customWidth="1"/>
    <col min="10259" max="10259" width="14.42578125" style="18" customWidth="1"/>
    <col min="10260" max="10260" width="16.28515625" style="18" customWidth="1"/>
    <col min="10261" max="10261" width="11.42578125" style="18"/>
    <col min="10262" max="10262" width="12.7109375" style="18" bestFit="1" customWidth="1"/>
    <col min="10263" max="10496" width="11.42578125" style="18"/>
    <col min="10497" max="10497" width="5.42578125" style="18" customWidth="1"/>
    <col min="10498" max="10506" width="6.5703125" style="18" customWidth="1"/>
    <col min="10507" max="10508" width="7.5703125" style="18" bestFit="1" customWidth="1"/>
    <col min="10509" max="10509" width="6.5703125" style="18" customWidth="1"/>
    <col min="10510" max="10510" width="11.42578125" style="18"/>
    <col min="10511" max="10511" width="5.28515625" style="18" customWidth="1"/>
    <col min="10512" max="10512" width="6.85546875" style="18" customWidth="1"/>
    <col min="10513" max="10514" width="12.28515625" style="18" customWidth="1"/>
    <col min="10515" max="10515" width="14.42578125" style="18" customWidth="1"/>
    <col min="10516" max="10516" width="16.28515625" style="18" customWidth="1"/>
    <col min="10517" max="10517" width="11.42578125" style="18"/>
    <col min="10518" max="10518" width="12.7109375" style="18" bestFit="1" customWidth="1"/>
    <col min="10519" max="10752" width="11.42578125" style="18"/>
    <col min="10753" max="10753" width="5.42578125" style="18" customWidth="1"/>
    <col min="10754" max="10762" width="6.5703125" style="18" customWidth="1"/>
    <col min="10763" max="10764" width="7.5703125" style="18" bestFit="1" customWidth="1"/>
    <col min="10765" max="10765" width="6.5703125" style="18" customWidth="1"/>
    <col min="10766" max="10766" width="11.42578125" style="18"/>
    <col min="10767" max="10767" width="5.28515625" style="18" customWidth="1"/>
    <col min="10768" max="10768" width="6.85546875" style="18" customWidth="1"/>
    <col min="10769" max="10770" width="12.28515625" style="18" customWidth="1"/>
    <col min="10771" max="10771" width="14.42578125" style="18" customWidth="1"/>
    <col min="10772" max="10772" width="16.28515625" style="18" customWidth="1"/>
    <col min="10773" max="10773" width="11.42578125" style="18"/>
    <col min="10774" max="10774" width="12.7109375" style="18" bestFit="1" customWidth="1"/>
    <col min="10775" max="11008" width="11.42578125" style="18"/>
    <col min="11009" max="11009" width="5.42578125" style="18" customWidth="1"/>
    <col min="11010" max="11018" width="6.5703125" style="18" customWidth="1"/>
    <col min="11019" max="11020" width="7.5703125" style="18" bestFit="1" customWidth="1"/>
    <col min="11021" max="11021" width="6.5703125" style="18" customWidth="1"/>
    <col min="11022" max="11022" width="11.42578125" style="18"/>
    <col min="11023" max="11023" width="5.28515625" style="18" customWidth="1"/>
    <col min="11024" max="11024" width="6.85546875" style="18" customWidth="1"/>
    <col min="11025" max="11026" width="12.28515625" style="18" customWidth="1"/>
    <col min="11027" max="11027" width="14.42578125" style="18" customWidth="1"/>
    <col min="11028" max="11028" width="16.28515625" style="18" customWidth="1"/>
    <col min="11029" max="11029" width="11.42578125" style="18"/>
    <col min="11030" max="11030" width="12.7109375" style="18" bestFit="1" customWidth="1"/>
    <col min="11031" max="11264" width="11.42578125" style="18"/>
    <col min="11265" max="11265" width="5.42578125" style="18" customWidth="1"/>
    <col min="11266" max="11274" width="6.5703125" style="18" customWidth="1"/>
    <col min="11275" max="11276" width="7.5703125" style="18" bestFit="1" customWidth="1"/>
    <col min="11277" max="11277" width="6.5703125" style="18" customWidth="1"/>
    <col min="11278" max="11278" width="11.42578125" style="18"/>
    <col min="11279" max="11279" width="5.28515625" style="18" customWidth="1"/>
    <col min="11280" max="11280" width="6.85546875" style="18" customWidth="1"/>
    <col min="11281" max="11282" width="12.28515625" style="18" customWidth="1"/>
    <col min="11283" max="11283" width="14.42578125" style="18" customWidth="1"/>
    <col min="11284" max="11284" width="16.28515625" style="18" customWidth="1"/>
    <col min="11285" max="11285" width="11.42578125" style="18"/>
    <col min="11286" max="11286" width="12.7109375" style="18" bestFit="1" customWidth="1"/>
    <col min="11287" max="11520" width="11.42578125" style="18"/>
    <col min="11521" max="11521" width="5.42578125" style="18" customWidth="1"/>
    <col min="11522" max="11530" width="6.5703125" style="18" customWidth="1"/>
    <col min="11531" max="11532" width="7.5703125" style="18" bestFit="1" customWidth="1"/>
    <col min="11533" max="11533" width="6.5703125" style="18" customWidth="1"/>
    <col min="11534" max="11534" width="11.42578125" style="18"/>
    <col min="11535" max="11535" width="5.28515625" style="18" customWidth="1"/>
    <col min="11536" max="11536" width="6.85546875" style="18" customWidth="1"/>
    <col min="11537" max="11538" width="12.28515625" style="18" customWidth="1"/>
    <col min="11539" max="11539" width="14.42578125" style="18" customWidth="1"/>
    <col min="11540" max="11540" width="16.28515625" style="18" customWidth="1"/>
    <col min="11541" max="11541" width="11.42578125" style="18"/>
    <col min="11542" max="11542" width="12.7109375" style="18" bestFit="1" customWidth="1"/>
    <col min="11543" max="11776" width="11.42578125" style="18"/>
    <col min="11777" max="11777" width="5.42578125" style="18" customWidth="1"/>
    <col min="11778" max="11786" width="6.5703125" style="18" customWidth="1"/>
    <col min="11787" max="11788" width="7.5703125" style="18" bestFit="1" customWidth="1"/>
    <col min="11789" max="11789" width="6.5703125" style="18" customWidth="1"/>
    <col min="11790" max="11790" width="11.42578125" style="18"/>
    <col min="11791" max="11791" width="5.28515625" style="18" customWidth="1"/>
    <col min="11792" max="11792" width="6.85546875" style="18" customWidth="1"/>
    <col min="11793" max="11794" width="12.28515625" style="18" customWidth="1"/>
    <col min="11795" max="11795" width="14.42578125" style="18" customWidth="1"/>
    <col min="11796" max="11796" width="16.28515625" style="18" customWidth="1"/>
    <col min="11797" max="11797" width="11.42578125" style="18"/>
    <col min="11798" max="11798" width="12.7109375" style="18" bestFit="1" customWidth="1"/>
    <col min="11799" max="12032" width="11.42578125" style="18"/>
    <col min="12033" max="12033" width="5.42578125" style="18" customWidth="1"/>
    <col min="12034" max="12042" width="6.5703125" style="18" customWidth="1"/>
    <col min="12043" max="12044" width="7.5703125" style="18" bestFit="1" customWidth="1"/>
    <col min="12045" max="12045" width="6.5703125" style="18" customWidth="1"/>
    <col min="12046" max="12046" width="11.42578125" style="18"/>
    <col min="12047" max="12047" width="5.28515625" style="18" customWidth="1"/>
    <col min="12048" max="12048" width="6.85546875" style="18" customWidth="1"/>
    <col min="12049" max="12050" width="12.28515625" style="18" customWidth="1"/>
    <col min="12051" max="12051" width="14.42578125" style="18" customWidth="1"/>
    <col min="12052" max="12052" width="16.28515625" style="18" customWidth="1"/>
    <col min="12053" max="12053" width="11.42578125" style="18"/>
    <col min="12054" max="12054" width="12.7109375" style="18" bestFit="1" customWidth="1"/>
    <col min="12055" max="12288" width="11.42578125" style="18"/>
    <col min="12289" max="12289" width="5.42578125" style="18" customWidth="1"/>
    <col min="12290" max="12298" width="6.5703125" style="18" customWidth="1"/>
    <col min="12299" max="12300" width="7.5703125" style="18" bestFit="1" customWidth="1"/>
    <col min="12301" max="12301" width="6.5703125" style="18" customWidth="1"/>
    <col min="12302" max="12302" width="11.42578125" style="18"/>
    <col min="12303" max="12303" width="5.28515625" style="18" customWidth="1"/>
    <col min="12304" max="12304" width="6.85546875" style="18" customWidth="1"/>
    <col min="12305" max="12306" width="12.28515625" style="18" customWidth="1"/>
    <col min="12307" max="12307" width="14.42578125" style="18" customWidth="1"/>
    <col min="12308" max="12308" width="16.28515625" style="18" customWidth="1"/>
    <col min="12309" max="12309" width="11.42578125" style="18"/>
    <col min="12310" max="12310" width="12.7109375" style="18" bestFit="1" customWidth="1"/>
    <col min="12311" max="12544" width="11.42578125" style="18"/>
    <col min="12545" max="12545" width="5.42578125" style="18" customWidth="1"/>
    <col min="12546" max="12554" width="6.5703125" style="18" customWidth="1"/>
    <col min="12555" max="12556" width="7.5703125" style="18" bestFit="1" customWidth="1"/>
    <col min="12557" max="12557" width="6.5703125" style="18" customWidth="1"/>
    <col min="12558" max="12558" width="11.42578125" style="18"/>
    <col min="12559" max="12559" width="5.28515625" style="18" customWidth="1"/>
    <col min="12560" max="12560" width="6.85546875" style="18" customWidth="1"/>
    <col min="12561" max="12562" width="12.28515625" style="18" customWidth="1"/>
    <col min="12563" max="12563" width="14.42578125" style="18" customWidth="1"/>
    <col min="12564" max="12564" width="16.28515625" style="18" customWidth="1"/>
    <col min="12565" max="12565" width="11.42578125" style="18"/>
    <col min="12566" max="12566" width="12.7109375" style="18" bestFit="1" customWidth="1"/>
    <col min="12567" max="12800" width="11.42578125" style="18"/>
    <col min="12801" max="12801" width="5.42578125" style="18" customWidth="1"/>
    <col min="12802" max="12810" width="6.5703125" style="18" customWidth="1"/>
    <col min="12811" max="12812" width="7.5703125" style="18" bestFit="1" customWidth="1"/>
    <col min="12813" max="12813" width="6.5703125" style="18" customWidth="1"/>
    <col min="12814" max="12814" width="11.42578125" style="18"/>
    <col min="12815" max="12815" width="5.28515625" style="18" customWidth="1"/>
    <col min="12816" max="12816" width="6.85546875" style="18" customWidth="1"/>
    <col min="12817" max="12818" width="12.28515625" style="18" customWidth="1"/>
    <col min="12819" max="12819" width="14.42578125" style="18" customWidth="1"/>
    <col min="12820" max="12820" width="16.28515625" style="18" customWidth="1"/>
    <col min="12821" max="12821" width="11.42578125" style="18"/>
    <col min="12822" max="12822" width="12.7109375" style="18" bestFit="1" customWidth="1"/>
    <col min="12823" max="13056" width="11.42578125" style="18"/>
    <col min="13057" max="13057" width="5.42578125" style="18" customWidth="1"/>
    <col min="13058" max="13066" width="6.5703125" style="18" customWidth="1"/>
    <col min="13067" max="13068" width="7.5703125" style="18" bestFit="1" customWidth="1"/>
    <col min="13069" max="13069" width="6.5703125" style="18" customWidth="1"/>
    <col min="13070" max="13070" width="11.42578125" style="18"/>
    <col min="13071" max="13071" width="5.28515625" style="18" customWidth="1"/>
    <col min="13072" max="13072" width="6.85546875" style="18" customWidth="1"/>
    <col min="13073" max="13074" width="12.28515625" style="18" customWidth="1"/>
    <col min="13075" max="13075" width="14.42578125" style="18" customWidth="1"/>
    <col min="13076" max="13076" width="16.28515625" style="18" customWidth="1"/>
    <col min="13077" max="13077" width="11.42578125" style="18"/>
    <col min="13078" max="13078" width="12.7109375" style="18" bestFit="1" customWidth="1"/>
    <col min="13079" max="13312" width="11.42578125" style="18"/>
    <col min="13313" max="13313" width="5.42578125" style="18" customWidth="1"/>
    <col min="13314" max="13322" width="6.5703125" style="18" customWidth="1"/>
    <col min="13323" max="13324" width="7.5703125" style="18" bestFit="1" customWidth="1"/>
    <col min="13325" max="13325" width="6.5703125" style="18" customWidth="1"/>
    <col min="13326" max="13326" width="11.42578125" style="18"/>
    <col min="13327" max="13327" width="5.28515625" style="18" customWidth="1"/>
    <col min="13328" max="13328" width="6.85546875" style="18" customWidth="1"/>
    <col min="13329" max="13330" width="12.28515625" style="18" customWidth="1"/>
    <col min="13331" max="13331" width="14.42578125" style="18" customWidth="1"/>
    <col min="13332" max="13332" width="16.28515625" style="18" customWidth="1"/>
    <col min="13333" max="13333" width="11.42578125" style="18"/>
    <col min="13334" max="13334" width="12.7109375" style="18" bestFit="1" customWidth="1"/>
    <col min="13335" max="13568" width="11.42578125" style="18"/>
    <col min="13569" max="13569" width="5.42578125" style="18" customWidth="1"/>
    <col min="13570" max="13578" width="6.5703125" style="18" customWidth="1"/>
    <col min="13579" max="13580" width="7.5703125" style="18" bestFit="1" customWidth="1"/>
    <col min="13581" max="13581" width="6.5703125" style="18" customWidth="1"/>
    <col min="13582" max="13582" width="11.42578125" style="18"/>
    <col min="13583" max="13583" width="5.28515625" style="18" customWidth="1"/>
    <col min="13584" max="13584" width="6.85546875" style="18" customWidth="1"/>
    <col min="13585" max="13586" width="12.28515625" style="18" customWidth="1"/>
    <col min="13587" max="13587" width="14.42578125" style="18" customWidth="1"/>
    <col min="13588" max="13588" width="16.28515625" style="18" customWidth="1"/>
    <col min="13589" max="13589" width="11.42578125" style="18"/>
    <col min="13590" max="13590" width="12.7109375" style="18" bestFit="1" customWidth="1"/>
    <col min="13591" max="13824" width="11.42578125" style="18"/>
    <col min="13825" max="13825" width="5.42578125" style="18" customWidth="1"/>
    <col min="13826" max="13834" width="6.5703125" style="18" customWidth="1"/>
    <col min="13835" max="13836" width="7.5703125" style="18" bestFit="1" customWidth="1"/>
    <col min="13837" max="13837" width="6.5703125" style="18" customWidth="1"/>
    <col min="13838" max="13838" width="11.42578125" style="18"/>
    <col min="13839" max="13839" width="5.28515625" style="18" customWidth="1"/>
    <col min="13840" max="13840" width="6.85546875" style="18" customWidth="1"/>
    <col min="13841" max="13842" width="12.28515625" style="18" customWidth="1"/>
    <col min="13843" max="13843" width="14.42578125" style="18" customWidth="1"/>
    <col min="13844" max="13844" width="16.28515625" style="18" customWidth="1"/>
    <col min="13845" max="13845" width="11.42578125" style="18"/>
    <col min="13846" max="13846" width="12.7109375" style="18" bestFit="1" customWidth="1"/>
    <col min="13847" max="14080" width="11.42578125" style="18"/>
    <col min="14081" max="14081" width="5.42578125" style="18" customWidth="1"/>
    <col min="14082" max="14090" width="6.5703125" style="18" customWidth="1"/>
    <col min="14091" max="14092" width="7.5703125" style="18" bestFit="1" customWidth="1"/>
    <col min="14093" max="14093" width="6.5703125" style="18" customWidth="1"/>
    <col min="14094" max="14094" width="11.42578125" style="18"/>
    <col min="14095" max="14095" width="5.28515625" style="18" customWidth="1"/>
    <col min="14096" max="14096" width="6.85546875" style="18" customWidth="1"/>
    <col min="14097" max="14098" width="12.28515625" style="18" customWidth="1"/>
    <col min="14099" max="14099" width="14.42578125" style="18" customWidth="1"/>
    <col min="14100" max="14100" width="16.28515625" style="18" customWidth="1"/>
    <col min="14101" max="14101" width="11.42578125" style="18"/>
    <col min="14102" max="14102" width="12.7109375" style="18" bestFit="1" customWidth="1"/>
    <col min="14103" max="14336" width="11.42578125" style="18"/>
    <col min="14337" max="14337" width="5.42578125" style="18" customWidth="1"/>
    <col min="14338" max="14346" width="6.5703125" style="18" customWidth="1"/>
    <col min="14347" max="14348" width="7.5703125" style="18" bestFit="1" customWidth="1"/>
    <col min="14349" max="14349" width="6.5703125" style="18" customWidth="1"/>
    <col min="14350" max="14350" width="11.42578125" style="18"/>
    <col min="14351" max="14351" width="5.28515625" style="18" customWidth="1"/>
    <col min="14352" max="14352" width="6.85546875" style="18" customWidth="1"/>
    <col min="14353" max="14354" width="12.28515625" style="18" customWidth="1"/>
    <col min="14355" max="14355" width="14.42578125" style="18" customWidth="1"/>
    <col min="14356" max="14356" width="16.28515625" style="18" customWidth="1"/>
    <col min="14357" max="14357" width="11.42578125" style="18"/>
    <col min="14358" max="14358" width="12.7109375" style="18" bestFit="1" customWidth="1"/>
    <col min="14359" max="14592" width="11.42578125" style="18"/>
    <col min="14593" max="14593" width="5.42578125" style="18" customWidth="1"/>
    <col min="14594" max="14602" width="6.5703125" style="18" customWidth="1"/>
    <col min="14603" max="14604" width="7.5703125" style="18" bestFit="1" customWidth="1"/>
    <col min="14605" max="14605" width="6.5703125" style="18" customWidth="1"/>
    <col min="14606" max="14606" width="11.42578125" style="18"/>
    <col min="14607" max="14607" width="5.28515625" style="18" customWidth="1"/>
    <col min="14608" max="14608" width="6.85546875" style="18" customWidth="1"/>
    <col min="14609" max="14610" width="12.28515625" style="18" customWidth="1"/>
    <col min="14611" max="14611" width="14.42578125" style="18" customWidth="1"/>
    <col min="14612" max="14612" width="16.28515625" style="18" customWidth="1"/>
    <col min="14613" max="14613" width="11.42578125" style="18"/>
    <col min="14614" max="14614" width="12.7109375" style="18" bestFit="1" customWidth="1"/>
    <col min="14615" max="14848" width="11.42578125" style="18"/>
    <col min="14849" max="14849" width="5.42578125" style="18" customWidth="1"/>
    <col min="14850" max="14858" width="6.5703125" style="18" customWidth="1"/>
    <col min="14859" max="14860" width="7.5703125" style="18" bestFit="1" customWidth="1"/>
    <col min="14861" max="14861" width="6.5703125" style="18" customWidth="1"/>
    <col min="14862" max="14862" width="11.42578125" style="18"/>
    <col min="14863" max="14863" width="5.28515625" style="18" customWidth="1"/>
    <col min="14864" max="14864" width="6.85546875" style="18" customWidth="1"/>
    <col min="14865" max="14866" width="12.28515625" style="18" customWidth="1"/>
    <col min="14867" max="14867" width="14.42578125" style="18" customWidth="1"/>
    <col min="14868" max="14868" width="16.28515625" style="18" customWidth="1"/>
    <col min="14869" max="14869" width="11.42578125" style="18"/>
    <col min="14870" max="14870" width="12.7109375" style="18" bestFit="1" customWidth="1"/>
    <col min="14871" max="15104" width="11.42578125" style="18"/>
    <col min="15105" max="15105" width="5.42578125" style="18" customWidth="1"/>
    <col min="15106" max="15114" width="6.5703125" style="18" customWidth="1"/>
    <col min="15115" max="15116" width="7.5703125" style="18" bestFit="1" customWidth="1"/>
    <col min="15117" max="15117" width="6.5703125" style="18" customWidth="1"/>
    <col min="15118" max="15118" width="11.42578125" style="18"/>
    <col min="15119" max="15119" width="5.28515625" style="18" customWidth="1"/>
    <col min="15120" max="15120" width="6.85546875" style="18" customWidth="1"/>
    <col min="15121" max="15122" width="12.28515625" style="18" customWidth="1"/>
    <col min="15123" max="15123" width="14.42578125" style="18" customWidth="1"/>
    <col min="15124" max="15124" width="16.28515625" style="18" customWidth="1"/>
    <col min="15125" max="15125" width="11.42578125" style="18"/>
    <col min="15126" max="15126" width="12.7109375" style="18" bestFit="1" customWidth="1"/>
    <col min="15127" max="15360" width="11.42578125" style="18"/>
    <col min="15361" max="15361" width="5.42578125" style="18" customWidth="1"/>
    <col min="15362" max="15370" width="6.5703125" style="18" customWidth="1"/>
    <col min="15371" max="15372" width="7.5703125" style="18" bestFit="1" customWidth="1"/>
    <col min="15373" max="15373" width="6.5703125" style="18" customWidth="1"/>
    <col min="15374" max="15374" width="11.42578125" style="18"/>
    <col min="15375" max="15375" width="5.28515625" style="18" customWidth="1"/>
    <col min="15376" max="15376" width="6.85546875" style="18" customWidth="1"/>
    <col min="15377" max="15378" width="12.28515625" style="18" customWidth="1"/>
    <col min="15379" max="15379" width="14.42578125" style="18" customWidth="1"/>
    <col min="15380" max="15380" width="16.28515625" style="18" customWidth="1"/>
    <col min="15381" max="15381" width="11.42578125" style="18"/>
    <col min="15382" max="15382" width="12.7109375" style="18" bestFit="1" customWidth="1"/>
    <col min="15383" max="15616" width="11.42578125" style="18"/>
    <col min="15617" max="15617" width="5.42578125" style="18" customWidth="1"/>
    <col min="15618" max="15626" width="6.5703125" style="18" customWidth="1"/>
    <col min="15627" max="15628" width="7.5703125" style="18" bestFit="1" customWidth="1"/>
    <col min="15629" max="15629" width="6.5703125" style="18" customWidth="1"/>
    <col min="15630" max="15630" width="11.42578125" style="18"/>
    <col min="15631" max="15631" width="5.28515625" style="18" customWidth="1"/>
    <col min="15632" max="15632" width="6.85546875" style="18" customWidth="1"/>
    <col min="15633" max="15634" width="12.28515625" style="18" customWidth="1"/>
    <col min="15635" max="15635" width="14.42578125" style="18" customWidth="1"/>
    <col min="15636" max="15636" width="16.28515625" style="18" customWidth="1"/>
    <col min="15637" max="15637" width="11.42578125" style="18"/>
    <col min="15638" max="15638" width="12.7109375" style="18" bestFit="1" customWidth="1"/>
    <col min="15639" max="15872" width="11.42578125" style="18"/>
    <col min="15873" max="15873" width="5.42578125" style="18" customWidth="1"/>
    <col min="15874" max="15882" width="6.5703125" style="18" customWidth="1"/>
    <col min="15883" max="15884" width="7.5703125" style="18" bestFit="1" customWidth="1"/>
    <col min="15885" max="15885" width="6.5703125" style="18" customWidth="1"/>
    <col min="15886" max="15886" width="11.42578125" style="18"/>
    <col min="15887" max="15887" width="5.28515625" style="18" customWidth="1"/>
    <col min="15888" max="15888" width="6.85546875" style="18" customWidth="1"/>
    <col min="15889" max="15890" width="12.28515625" style="18" customWidth="1"/>
    <col min="15891" max="15891" width="14.42578125" style="18" customWidth="1"/>
    <col min="15892" max="15892" width="16.28515625" style="18" customWidth="1"/>
    <col min="15893" max="15893" width="11.42578125" style="18"/>
    <col min="15894" max="15894" width="12.7109375" style="18" bestFit="1" customWidth="1"/>
    <col min="15895" max="16128" width="11.42578125" style="18"/>
    <col min="16129" max="16129" width="5.42578125" style="18" customWidth="1"/>
    <col min="16130" max="16138" width="6.5703125" style="18" customWidth="1"/>
    <col min="16139" max="16140" width="7.5703125" style="18" bestFit="1" customWidth="1"/>
    <col min="16141" max="16141" width="6.5703125" style="18" customWidth="1"/>
    <col min="16142" max="16142" width="11.42578125" style="18"/>
    <col min="16143" max="16143" width="5.28515625" style="18" customWidth="1"/>
    <col min="16144" max="16144" width="6.85546875" style="18" customWidth="1"/>
    <col min="16145" max="16146" width="12.28515625" style="18" customWidth="1"/>
    <col min="16147" max="16147" width="14.42578125" style="18" customWidth="1"/>
    <col min="16148" max="16148" width="16.28515625" style="18" customWidth="1"/>
    <col min="16149" max="16149" width="11.42578125" style="18"/>
    <col min="16150" max="16150" width="12.7109375" style="18" bestFit="1" customWidth="1"/>
    <col min="16151" max="16384" width="11.42578125" style="18"/>
  </cols>
  <sheetData>
    <row r="2" spans="1:22" x14ac:dyDescent="0.25">
      <c r="A2" s="350" t="s">
        <v>205</v>
      </c>
      <c r="B2" s="350"/>
      <c r="C2" s="350"/>
      <c r="D2" s="350"/>
      <c r="E2" s="350"/>
      <c r="F2" s="350"/>
      <c r="G2" s="350"/>
      <c r="H2" s="350"/>
      <c r="I2" s="350"/>
      <c r="J2" s="350"/>
      <c r="K2" s="350"/>
      <c r="L2" s="350"/>
      <c r="M2" s="350"/>
      <c r="N2" s="350"/>
      <c r="P2" s="350" t="s">
        <v>206</v>
      </c>
      <c r="Q2" s="350"/>
      <c r="R2" s="350"/>
      <c r="S2" s="350"/>
      <c r="T2" s="350"/>
    </row>
    <row r="4" spans="1:22" ht="24.75" customHeight="1" x14ac:dyDescent="0.25">
      <c r="A4" s="351" t="s">
        <v>207</v>
      </c>
      <c r="B4" s="351" t="s">
        <v>208</v>
      </c>
      <c r="C4" s="351"/>
      <c r="D4" s="351"/>
      <c r="E4" s="351"/>
      <c r="F4" s="351"/>
      <c r="G4" s="351"/>
      <c r="H4" s="351"/>
      <c r="I4" s="351"/>
      <c r="J4" s="351"/>
      <c r="K4" s="351"/>
      <c r="L4" s="351"/>
      <c r="M4" s="351"/>
      <c r="N4" s="352" t="s">
        <v>209</v>
      </c>
      <c r="P4" s="351" t="s">
        <v>207</v>
      </c>
      <c r="Q4" s="352" t="s">
        <v>210</v>
      </c>
      <c r="R4" s="352" t="s">
        <v>211</v>
      </c>
      <c r="S4" s="352" t="s">
        <v>212</v>
      </c>
      <c r="T4" s="353" t="s">
        <v>213</v>
      </c>
    </row>
    <row r="5" spans="1:22" ht="24" customHeight="1" x14ac:dyDescent="0.25">
      <c r="A5" s="351"/>
      <c r="B5" s="221" t="s">
        <v>214</v>
      </c>
      <c r="C5" s="221" t="s">
        <v>215</v>
      </c>
      <c r="D5" s="221" t="s">
        <v>216</v>
      </c>
      <c r="E5" s="221" t="s">
        <v>217</v>
      </c>
      <c r="F5" s="221" t="s">
        <v>218</v>
      </c>
      <c r="G5" s="221" t="s">
        <v>219</v>
      </c>
      <c r="H5" s="221" t="s">
        <v>220</v>
      </c>
      <c r="I5" s="221" t="s">
        <v>221</v>
      </c>
      <c r="J5" s="221" t="s">
        <v>222</v>
      </c>
      <c r="K5" s="221" t="s">
        <v>223</v>
      </c>
      <c r="L5" s="221" t="s">
        <v>224</v>
      </c>
      <c r="M5" s="221" t="s">
        <v>225</v>
      </c>
      <c r="N5" s="352"/>
      <c r="P5" s="351"/>
      <c r="Q5" s="352"/>
      <c r="R5" s="352"/>
      <c r="S5" s="352"/>
      <c r="T5" s="353"/>
    </row>
    <row r="6" spans="1:22" x14ac:dyDescent="0.25">
      <c r="A6" s="156">
        <v>1</v>
      </c>
      <c r="B6" s="222">
        <v>100</v>
      </c>
      <c r="C6" s="222">
        <f>1000*0.066667</f>
        <v>66.667000000000002</v>
      </c>
      <c r="D6" s="222">
        <f>1000*0.066667</f>
        <v>66.667000000000002</v>
      </c>
      <c r="E6" s="222">
        <f>1000*0.16</f>
        <v>160</v>
      </c>
      <c r="F6" s="222">
        <f>1000*0.16</f>
        <v>160</v>
      </c>
      <c r="G6" s="222">
        <f>1000*0.16</f>
        <v>160</v>
      </c>
      <c r="H6" s="222">
        <f>1000*0.16</f>
        <v>160</v>
      </c>
      <c r="I6" s="222">
        <f>1000*0.16</f>
        <v>160</v>
      </c>
      <c r="J6" s="222">
        <v>67</v>
      </c>
      <c r="K6" s="222"/>
      <c r="L6" s="222"/>
      <c r="M6" s="222"/>
      <c r="N6" s="228">
        <v>1344</v>
      </c>
      <c r="O6" s="223"/>
      <c r="P6" s="156">
        <v>1</v>
      </c>
      <c r="Q6" s="222">
        <f>N6</f>
        <v>1344</v>
      </c>
      <c r="R6" s="224">
        <v>16.18</v>
      </c>
      <c r="S6" s="135">
        <f>+Q6*R6</f>
        <v>21745.919999999998</v>
      </c>
      <c r="T6" s="135">
        <f>+S6*$S$12</f>
        <v>80677.363199999993</v>
      </c>
      <c r="V6" s="151"/>
    </row>
    <row r="7" spans="1:22" x14ac:dyDescent="0.25">
      <c r="A7" s="156">
        <v>2</v>
      </c>
      <c r="B7" s="222"/>
      <c r="C7" s="222">
        <f>1368*0.066667</f>
        <v>91.200456000000003</v>
      </c>
      <c r="D7" s="222">
        <f>1368*0.066667</f>
        <v>91.200456000000003</v>
      </c>
      <c r="E7" s="222">
        <f>1368*0.16</f>
        <v>218.88</v>
      </c>
      <c r="F7" s="222">
        <f>1368*0.16</f>
        <v>218.88</v>
      </c>
      <c r="G7" s="222">
        <f>1368*0.16</f>
        <v>218.88</v>
      </c>
      <c r="H7" s="222">
        <f>1368*0.16</f>
        <v>218.88</v>
      </c>
      <c r="I7" s="222">
        <f>1368*0.16</f>
        <v>218.88</v>
      </c>
      <c r="J7" s="222">
        <f>1368*0.066667</f>
        <v>91.200456000000003</v>
      </c>
      <c r="K7" s="222"/>
      <c r="L7" s="222"/>
      <c r="M7" s="222"/>
      <c r="N7" s="228">
        <v>1588</v>
      </c>
      <c r="O7" s="223"/>
      <c r="P7" s="156">
        <v>2</v>
      </c>
      <c r="Q7" s="222">
        <f t="shared" ref="Q7:Q10" si="0">N7</f>
        <v>1588</v>
      </c>
      <c r="R7" s="224">
        <v>16.18</v>
      </c>
      <c r="S7" s="135">
        <f>+Q7*R7</f>
        <v>25693.84</v>
      </c>
      <c r="T7" s="135">
        <f>+S7*$S$12</f>
        <v>95324.146399999998</v>
      </c>
      <c r="V7" s="151"/>
    </row>
    <row r="8" spans="1:22" x14ac:dyDescent="0.25">
      <c r="A8" s="156">
        <v>3</v>
      </c>
      <c r="B8" s="222"/>
      <c r="C8" s="222">
        <f>1398*0.066667</f>
        <v>93.200466000000006</v>
      </c>
      <c r="D8" s="222">
        <f>1398*0.066667</f>
        <v>93.200466000000006</v>
      </c>
      <c r="E8" s="222">
        <f>1398*0.16</f>
        <v>223.68</v>
      </c>
      <c r="F8" s="222">
        <f>1398*0.16</f>
        <v>223.68</v>
      </c>
      <c r="G8" s="222">
        <f>1398*0.16</f>
        <v>223.68</v>
      </c>
      <c r="H8" s="222">
        <f>1398*0.16</f>
        <v>223.68</v>
      </c>
      <c r="I8" s="222">
        <f>1398*0.16</f>
        <v>223.68</v>
      </c>
      <c r="J8" s="222">
        <f>1398*0.066667</f>
        <v>93.200466000000006</v>
      </c>
      <c r="K8" s="222"/>
      <c r="L8" s="222"/>
      <c r="M8" s="222"/>
      <c r="N8" s="228">
        <v>1806</v>
      </c>
      <c r="O8" s="223"/>
      <c r="P8" s="156">
        <v>3</v>
      </c>
      <c r="Q8" s="222">
        <f t="shared" si="0"/>
        <v>1806</v>
      </c>
      <c r="R8" s="224">
        <v>16.18</v>
      </c>
      <c r="S8" s="135">
        <f>+Q8*R8</f>
        <v>29221.079999999998</v>
      </c>
      <c r="T8" s="135">
        <f>+S8*$S$12</f>
        <v>108410.20679999999</v>
      </c>
      <c r="V8" s="151"/>
    </row>
    <row r="9" spans="1:22" x14ac:dyDescent="0.25">
      <c r="A9" s="156">
        <v>4</v>
      </c>
      <c r="B9" s="222"/>
      <c r="C9" s="222">
        <f>1751*0.066667</f>
        <v>116.73391700000001</v>
      </c>
      <c r="D9" s="222">
        <f>1751*0.066667</f>
        <v>116.73391700000001</v>
      </c>
      <c r="E9" s="222">
        <f>1751*0.16</f>
        <v>280.16000000000003</v>
      </c>
      <c r="F9" s="222">
        <f>1751*0.16</f>
        <v>280.16000000000003</v>
      </c>
      <c r="G9" s="222">
        <f>1751*0.16</f>
        <v>280.16000000000003</v>
      </c>
      <c r="H9" s="222">
        <f>1751*0.16</f>
        <v>280.16000000000003</v>
      </c>
      <c r="I9" s="222">
        <f>1751*0.16</f>
        <v>280.16000000000003</v>
      </c>
      <c r="J9" s="222">
        <f>1751*0.066667</f>
        <v>116.73391700000001</v>
      </c>
      <c r="K9" s="222"/>
      <c r="L9" s="222"/>
      <c r="M9" s="222"/>
      <c r="N9" s="228">
        <v>2088</v>
      </c>
      <c r="O9" s="223"/>
      <c r="P9" s="156">
        <v>4</v>
      </c>
      <c r="Q9" s="222">
        <f t="shared" si="0"/>
        <v>2088</v>
      </c>
      <c r="R9" s="224">
        <v>16.18</v>
      </c>
      <c r="S9" s="135">
        <f>+Q9*R9</f>
        <v>33783.839999999997</v>
      </c>
      <c r="T9" s="135">
        <f>+S9*$S$12</f>
        <v>125338.04639999999</v>
      </c>
      <c r="V9" s="151"/>
    </row>
    <row r="10" spans="1:22" x14ac:dyDescent="0.25">
      <c r="A10" s="156">
        <v>5</v>
      </c>
      <c r="B10" s="222"/>
      <c r="C10" s="222">
        <f>1985*0.066667</f>
        <v>132.33399500000002</v>
      </c>
      <c r="D10" s="222">
        <f>1985*0.066667</f>
        <v>132.33399500000002</v>
      </c>
      <c r="E10" s="222">
        <f>1985*0.16</f>
        <v>317.60000000000002</v>
      </c>
      <c r="F10" s="222">
        <f>1985*0.16</f>
        <v>317.60000000000002</v>
      </c>
      <c r="G10" s="222">
        <f>1985*0.16</f>
        <v>317.60000000000002</v>
      </c>
      <c r="H10" s="222">
        <f>1985*0.16</f>
        <v>317.60000000000002</v>
      </c>
      <c r="I10" s="222">
        <f>1985*0.16</f>
        <v>317.60000000000002</v>
      </c>
      <c r="J10" s="222">
        <f>1985*0.066667</f>
        <v>132.33399500000002</v>
      </c>
      <c r="K10" s="222"/>
      <c r="L10" s="222"/>
      <c r="M10" s="222"/>
      <c r="N10" s="228">
        <v>2407</v>
      </c>
      <c r="O10" s="223"/>
      <c r="P10" s="156">
        <v>5</v>
      </c>
      <c r="Q10" s="222">
        <f t="shared" si="0"/>
        <v>2407</v>
      </c>
      <c r="R10" s="224">
        <v>16.18</v>
      </c>
      <c r="S10" s="135">
        <f>+Q10*R10</f>
        <v>38945.26</v>
      </c>
      <c r="T10" s="135">
        <f>+S10*$S$12</f>
        <v>144486.91460000002</v>
      </c>
      <c r="V10" s="151"/>
    </row>
    <row r="12" spans="1:22" x14ac:dyDescent="0.25">
      <c r="K12" s="225"/>
      <c r="N12" s="175"/>
      <c r="O12" s="175"/>
      <c r="P12" s="175"/>
      <c r="Q12" s="349" t="s">
        <v>226</v>
      </c>
      <c r="R12" s="349"/>
      <c r="S12" s="227">
        <v>3.71</v>
      </c>
    </row>
    <row r="13" spans="1:22" x14ac:dyDescent="0.25">
      <c r="K13" s="225"/>
      <c r="M13" s="48"/>
      <c r="N13" s="175"/>
      <c r="O13" s="175"/>
      <c r="P13" s="175"/>
    </row>
    <row r="14" spans="1:22" x14ac:dyDescent="0.25">
      <c r="K14" s="225"/>
      <c r="M14" s="48"/>
      <c r="N14" s="175"/>
      <c r="O14" s="175"/>
      <c r="P14" s="175"/>
      <c r="T14" s="151"/>
    </row>
    <row r="15" spans="1:22" x14ac:dyDescent="0.25">
      <c r="K15" s="225"/>
      <c r="M15" s="48"/>
      <c r="N15" s="175"/>
      <c r="O15" s="175"/>
      <c r="P15" s="175"/>
      <c r="T15" s="151"/>
    </row>
    <row r="16" spans="1:22" x14ac:dyDescent="0.25">
      <c r="F16" s="62"/>
      <c r="K16" s="225"/>
      <c r="M16" s="48"/>
      <c r="N16" s="175"/>
      <c r="O16" s="175"/>
      <c r="P16" s="175"/>
      <c r="T16" s="151"/>
    </row>
    <row r="17" spans="6:20" x14ac:dyDescent="0.25">
      <c r="F17" s="62"/>
      <c r="G17" s="62"/>
      <c r="M17" s="48"/>
      <c r="N17" s="226"/>
      <c r="O17" s="48"/>
      <c r="P17" s="175"/>
      <c r="T17" s="151"/>
    </row>
    <row r="18" spans="6:20" x14ac:dyDescent="0.25">
      <c r="F18" s="62"/>
      <c r="G18" s="62"/>
      <c r="M18" s="48"/>
      <c r="N18" s="226"/>
      <c r="O18" s="48"/>
      <c r="T18" s="151"/>
    </row>
    <row r="19" spans="6:20" x14ac:dyDescent="0.25">
      <c r="F19" s="62"/>
      <c r="G19" s="62"/>
      <c r="T19" s="151"/>
    </row>
    <row r="20" spans="6:20" x14ac:dyDescent="0.25">
      <c r="F20" s="62"/>
      <c r="G20" s="62"/>
      <c r="T20" s="151"/>
    </row>
  </sheetData>
  <mergeCells count="11">
    <mergeCell ref="Q12:R12"/>
    <mergeCell ref="A2:N2"/>
    <mergeCell ref="P2:T2"/>
    <mergeCell ref="A4:A5"/>
    <mergeCell ref="B4:M4"/>
    <mergeCell ref="N4:N5"/>
    <mergeCell ref="P4:P5"/>
    <mergeCell ref="Q4:Q5"/>
    <mergeCell ref="R4:R5"/>
    <mergeCell ref="S4:S5"/>
    <mergeCell ref="T4:T5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52"/>
  <sheetViews>
    <sheetView workbookViewId="0">
      <selection activeCell="I15" sqref="I15"/>
    </sheetView>
  </sheetViews>
  <sheetFormatPr baseColWidth="10" defaultRowHeight="12" x14ac:dyDescent="0.2"/>
  <cols>
    <col min="1" max="1" width="41.7109375" style="229" customWidth="1"/>
    <col min="2" max="2" width="12.42578125" style="229" customWidth="1"/>
    <col min="3" max="7" width="13.42578125" style="229" bestFit="1" customWidth="1"/>
    <col min="8" max="8" width="35.7109375" style="229" customWidth="1"/>
    <col min="9" max="13" width="13.42578125" style="229" bestFit="1" customWidth="1"/>
    <col min="14" max="14" width="4" style="229" customWidth="1"/>
    <col min="15" max="256" width="11.42578125" style="229"/>
    <col min="257" max="257" width="41.7109375" style="229" customWidth="1"/>
    <col min="258" max="258" width="12.42578125" style="229" customWidth="1"/>
    <col min="259" max="263" width="13.42578125" style="229" bestFit="1" customWidth="1"/>
    <col min="264" max="264" width="35.7109375" style="229" customWidth="1"/>
    <col min="265" max="269" width="13.42578125" style="229" bestFit="1" customWidth="1"/>
    <col min="270" max="270" width="4" style="229" customWidth="1"/>
    <col min="271" max="512" width="11.42578125" style="229"/>
    <col min="513" max="513" width="41.7109375" style="229" customWidth="1"/>
    <col min="514" max="514" width="12.42578125" style="229" customWidth="1"/>
    <col min="515" max="519" width="13.42578125" style="229" bestFit="1" customWidth="1"/>
    <col min="520" max="520" width="35.7109375" style="229" customWidth="1"/>
    <col min="521" max="525" width="13.42578125" style="229" bestFit="1" customWidth="1"/>
    <col min="526" max="526" width="4" style="229" customWidth="1"/>
    <col min="527" max="768" width="11.42578125" style="229"/>
    <col min="769" max="769" width="41.7109375" style="229" customWidth="1"/>
    <col min="770" max="770" width="12.42578125" style="229" customWidth="1"/>
    <col min="771" max="775" width="13.42578125" style="229" bestFit="1" customWidth="1"/>
    <col min="776" max="776" width="35.7109375" style="229" customWidth="1"/>
    <col min="777" max="781" width="13.42578125" style="229" bestFit="1" customWidth="1"/>
    <col min="782" max="782" width="4" style="229" customWidth="1"/>
    <col min="783" max="1024" width="11.42578125" style="229"/>
    <col min="1025" max="1025" width="41.7109375" style="229" customWidth="1"/>
    <col min="1026" max="1026" width="12.42578125" style="229" customWidth="1"/>
    <col min="1027" max="1031" width="13.42578125" style="229" bestFit="1" customWidth="1"/>
    <col min="1032" max="1032" width="35.7109375" style="229" customWidth="1"/>
    <col min="1033" max="1037" width="13.42578125" style="229" bestFit="1" customWidth="1"/>
    <col min="1038" max="1038" width="4" style="229" customWidth="1"/>
    <col min="1039" max="1280" width="11.42578125" style="229"/>
    <col min="1281" max="1281" width="41.7109375" style="229" customWidth="1"/>
    <col min="1282" max="1282" width="12.42578125" style="229" customWidth="1"/>
    <col min="1283" max="1287" width="13.42578125" style="229" bestFit="1" customWidth="1"/>
    <col min="1288" max="1288" width="35.7109375" style="229" customWidth="1"/>
    <col min="1289" max="1293" width="13.42578125" style="229" bestFit="1" customWidth="1"/>
    <col min="1294" max="1294" width="4" style="229" customWidth="1"/>
    <col min="1295" max="1536" width="11.42578125" style="229"/>
    <col min="1537" max="1537" width="41.7109375" style="229" customWidth="1"/>
    <col min="1538" max="1538" width="12.42578125" style="229" customWidth="1"/>
    <col min="1539" max="1543" width="13.42578125" style="229" bestFit="1" customWidth="1"/>
    <col min="1544" max="1544" width="35.7109375" style="229" customWidth="1"/>
    <col min="1545" max="1549" width="13.42578125" style="229" bestFit="1" customWidth="1"/>
    <col min="1550" max="1550" width="4" style="229" customWidth="1"/>
    <col min="1551" max="1792" width="11.42578125" style="229"/>
    <col min="1793" max="1793" width="41.7109375" style="229" customWidth="1"/>
    <col min="1794" max="1794" width="12.42578125" style="229" customWidth="1"/>
    <col min="1795" max="1799" width="13.42578125" style="229" bestFit="1" customWidth="1"/>
    <col min="1800" max="1800" width="35.7109375" style="229" customWidth="1"/>
    <col min="1801" max="1805" width="13.42578125" style="229" bestFit="1" customWidth="1"/>
    <col min="1806" max="1806" width="4" style="229" customWidth="1"/>
    <col min="1807" max="2048" width="11.42578125" style="229"/>
    <col min="2049" max="2049" width="41.7109375" style="229" customWidth="1"/>
    <col min="2050" max="2050" width="12.42578125" style="229" customWidth="1"/>
    <col min="2051" max="2055" width="13.42578125" style="229" bestFit="1" customWidth="1"/>
    <col min="2056" max="2056" width="35.7109375" style="229" customWidth="1"/>
    <col min="2057" max="2061" width="13.42578125" style="229" bestFit="1" customWidth="1"/>
    <col min="2062" max="2062" width="4" style="229" customWidth="1"/>
    <col min="2063" max="2304" width="11.42578125" style="229"/>
    <col min="2305" max="2305" width="41.7109375" style="229" customWidth="1"/>
    <col min="2306" max="2306" width="12.42578125" style="229" customWidth="1"/>
    <col min="2307" max="2311" width="13.42578125" style="229" bestFit="1" customWidth="1"/>
    <col min="2312" max="2312" width="35.7109375" style="229" customWidth="1"/>
    <col min="2313" max="2317" width="13.42578125" style="229" bestFit="1" customWidth="1"/>
    <col min="2318" max="2318" width="4" style="229" customWidth="1"/>
    <col min="2319" max="2560" width="11.42578125" style="229"/>
    <col min="2561" max="2561" width="41.7109375" style="229" customWidth="1"/>
    <col min="2562" max="2562" width="12.42578125" style="229" customWidth="1"/>
    <col min="2563" max="2567" width="13.42578125" style="229" bestFit="1" customWidth="1"/>
    <col min="2568" max="2568" width="35.7109375" style="229" customWidth="1"/>
    <col min="2569" max="2573" width="13.42578125" style="229" bestFit="1" customWidth="1"/>
    <col min="2574" max="2574" width="4" style="229" customWidth="1"/>
    <col min="2575" max="2816" width="11.42578125" style="229"/>
    <col min="2817" max="2817" width="41.7109375" style="229" customWidth="1"/>
    <col min="2818" max="2818" width="12.42578125" style="229" customWidth="1"/>
    <col min="2819" max="2823" width="13.42578125" style="229" bestFit="1" customWidth="1"/>
    <col min="2824" max="2824" width="35.7109375" style="229" customWidth="1"/>
    <col min="2825" max="2829" width="13.42578125" style="229" bestFit="1" customWidth="1"/>
    <col min="2830" max="2830" width="4" style="229" customWidth="1"/>
    <col min="2831" max="3072" width="11.42578125" style="229"/>
    <col min="3073" max="3073" width="41.7109375" style="229" customWidth="1"/>
    <col min="3074" max="3074" width="12.42578125" style="229" customWidth="1"/>
    <col min="3075" max="3079" width="13.42578125" style="229" bestFit="1" customWidth="1"/>
    <col min="3080" max="3080" width="35.7109375" style="229" customWidth="1"/>
    <col min="3081" max="3085" width="13.42578125" style="229" bestFit="1" customWidth="1"/>
    <col min="3086" max="3086" width="4" style="229" customWidth="1"/>
    <col min="3087" max="3328" width="11.42578125" style="229"/>
    <col min="3329" max="3329" width="41.7109375" style="229" customWidth="1"/>
    <col min="3330" max="3330" width="12.42578125" style="229" customWidth="1"/>
    <col min="3331" max="3335" width="13.42578125" style="229" bestFit="1" customWidth="1"/>
    <col min="3336" max="3336" width="35.7109375" style="229" customWidth="1"/>
    <col min="3337" max="3341" width="13.42578125" style="229" bestFit="1" customWidth="1"/>
    <col min="3342" max="3342" width="4" style="229" customWidth="1"/>
    <col min="3343" max="3584" width="11.42578125" style="229"/>
    <col min="3585" max="3585" width="41.7109375" style="229" customWidth="1"/>
    <col min="3586" max="3586" width="12.42578125" style="229" customWidth="1"/>
    <col min="3587" max="3591" width="13.42578125" style="229" bestFit="1" customWidth="1"/>
    <col min="3592" max="3592" width="35.7109375" style="229" customWidth="1"/>
    <col min="3593" max="3597" width="13.42578125" style="229" bestFit="1" customWidth="1"/>
    <col min="3598" max="3598" width="4" style="229" customWidth="1"/>
    <col min="3599" max="3840" width="11.42578125" style="229"/>
    <col min="3841" max="3841" width="41.7109375" style="229" customWidth="1"/>
    <col min="3842" max="3842" width="12.42578125" style="229" customWidth="1"/>
    <col min="3843" max="3847" width="13.42578125" style="229" bestFit="1" customWidth="1"/>
    <col min="3848" max="3848" width="35.7109375" style="229" customWidth="1"/>
    <col min="3849" max="3853" width="13.42578125" style="229" bestFit="1" customWidth="1"/>
    <col min="3854" max="3854" width="4" style="229" customWidth="1"/>
    <col min="3855" max="4096" width="11.42578125" style="229"/>
    <col min="4097" max="4097" width="41.7109375" style="229" customWidth="1"/>
    <col min="4098" max="4098" width="12.42578125" style="229" customWidth="1"/>
    <col min="4099" max="4103" width="13.42578125" style="229" bestFit="1" customWidth="1"/>
    <col min="4104" max="4104" width="35.7109375" style="229" customWidth="1"/>
    <col min="4105" max="4109" width="13.42578125" style="229" bestFit="1" customWidth="1"/>
    <col min="4110" max="4110" width="4" style="229" customWidth="1"/>
    <col min="4111" max="4352" width="11.42578125" style="229"/>
    <col min="4353" max="4353" width="41.7109375" style="229" customWidth="1"/>
    <col min="4354" max="4354" width="12.42578125" style="229" customWidth="1"/>
    <col min="4355" max="4359" width="13.42578125" style="229" bestFit="1" customWidth="1"/>
    <col min="4360" max="4360" width="35.7109375" style="229" customWidth="1"/>
    <col min="4361" max="4365" width="13.42578125" style="229" bestFit="1" customWidth="1"/>
    <col min="4366" max="4366" width="4" style="229" customWidth="1"/>
    <col min="4367" max="4608" width="11.42578125" style="229"/>
    <col min="4609" max="4609" width="41.7109375" style="229" customWidth="1"/>
    <col min="4610" max="4610" width="12.42578125" style="229" customWidth="1"/>
    <col min="4611" max="4615" width="13.42578125" style="229" bestFit="1" customWidth="1"/>
    <col min="4616" max="4616" width="35.7109375" style="229" customWidth="1"/>
    <col min="4617" max="4621" width="13.42578125" style="229" bestFit="1" customWidth="1"/>
    <col min="4622" max="4622" width="4" style="229" customWidth="1"/>
    <col min="4623" max="4864" width="11.42578125" style="229"/>
    <col min="4865" max="4865" width="41.7109375" style="229" customWidth="1"/>
    <col min="4866" max="4866" width="12.42578125" style="229" customWidth="1"/>
    <col min="4867" max="4871" width="13.42578125" style="229" bestFit="1" customWidth="1"/>
    <col min="4872" max="4872" width="35.7109375" style="229" customWidth="1"/>
    <col min="4873" max="4877" width="13.42578125" style="229" bestFit="1" customWidth="1"/>
    <col min="4878" max="4878" width="4" style="229" customWidth="1"/>
    <col min="4879" max="5120" width="11.42578125" style="229"/>
    <col min="5121" max="5121" width="41.7109375" style="229" customWidth="1"/>
    <col min="5122" max="5122" width="12.42578125" style="229" customWidth="1"/>
    <col min="5123" max="5127" width="13.42578125" style="229" bestFit="1" customWidth="1"/>
    <col min="5128" max="5128" width="35.7109375" style="229" customWidth="1"/>
    <col min="5129" max="5133" width="13.42578125" style="229" bestFit="1" customWidth="1"/>
    <col min="5134" max="5134" width="4" style="229" customWidth="1"/>
    <col min="5135" max="5376" width="11.42578125" style="229"/>
    <col min="5377" max="5377" width="41.7109375" style="229" customWidth="1"/>
    <col min="5378" max="5378" width="12.42578125" style="229" customWidth="1"/>
    <col min="5379" max="5383" width="13.42578125" style="229" bestFit="1" customWidth="1"/>
    <col min="5384" max="5384" width="35.7109375" style="229" customWidth="1"/>
    <col min="5385" max="5389" width="13.42578125" style="229" bestFit="1" customWidth="1"/>
    <col min="5390" max="5390" width="4" style="229" customWidth="1"/>
    <col min="5391" max="5632" width="11.42578125" style="229"/>
    <col min="5633" max="5633" width="41.7109375" style="229" customWidth="1"/>
    <col min="5634" max="5634" width="12.42578125" style="229" customWidth="1"/>
    <col min="5635" max="5639" width="13.42578125" style="229" bestFit="1" customWidth="1"/>
    <col min="5640" max="5640" width="35.7109375" style="229" customWidth="1"/>
    <col min="5641" max="5645" width="13.42578125" style="229" bestFit="1" customWidth="1"/>
    <col min="5646" max="5646" width="4" style="229" customWidth="1"/>
    <col min="5647" max="5888" width="11.42578125" style="229"/>
    <col min="5889" max="5889" width="41.7109375" style="229" customWidth="1"/>
    <col min="5890" max="5890" width="12.42578125" style="229" customWidth="1"/>
    <col min="5891" max="5895" width="13.42578125" style="229" bestFit="1" customWidth="1"/>
    <col min="5896" max="5896" width="35.7109375" style="229" customWidth="1"/>
    <col min="5897" max="5901" width="13.42578125" style="229" bestFit="1" customWidth="1"/>
    <col min="5902" max="5902" width="4" style="229" customWidth="1"/>
    <col min="5903" max="6144" width="11.42578125" style="229"/>
    <col min="6145" max="6145" width="41.7109375" style="229" customWidth="1"/>
    <col min="6146" max="6146" width="12.42578125" style="229" customWidth="1"/>
    <col min="6147" max="6151" width="13.42578125" style="229" bestFit="1" customWidth="1"/>
    <col min="6152" max="6152" width="35.7109375" style="229" customWidth="1"/>
    <col min="6153" max="6157" width="13.42578125" style="229" bestFit="1" customWidth="1"/>
    <col min="6158" max="6158" width="4" style="229" customWidth="1"/>
    <col min="6159" max="6400" width="11.42578125" style="229"/>
    <col min="6401" max="6401" width="41.7109375" style="229" customWidth="1"/>
    <col min="6402" max="6402" width="12.42578125" style="229" customWidth="1"/>
    <col min="6403" max="6407" width="13.42578125" style="229" bestFit="1" customWidth="1"/>
    <col min="6408" max="6408" width="35.7109375" style="229" customWidth="1"/>
    <col min="6409" max="6413" width="13.42578125" style="229" bestFit="1" customWidth="1"/>
    <col min="6414" max="6414" width="4" style="229" customWidth="1"/>
    <col min="6415" max="6656" width="11.42578125" style="229"/>
    <col min="6657" max="6657" width="41.7109375" style="229" customWidth="1"/>
    <col min="6658" max="6658" width="12.42578125" style="229" customWidth="1"/>
    <col min="6659" max="6663" width="13.42578125" style="229" bestFit="1" customWidth="1"/>
    <col min="6664" max="6664" width="35.7109375" style="229" customWidth="1"/>
    <col min="6665" max="6669" width="13.42578125" style="229" bestFit="1" customWidth="1"/>
    <col min="6670" max="6670" width="4" style="229" customWidth="1"/>
    <col min="6671" max="6912" width="11.42578125" style="229"/>
    <col min="6913" max="6913" width="41.7109375" style="229" customWidth="1"/>
    <col min="6914" max="6914" width="12.42578125" style="229" customWidth="1"/>
    <col min="6915" max="6919" width="13.42578125" style="229" bestFit="1" customWidth="1"/>
    <col min="6920" max="6920" width="35.7109375" style="229" customWidth="1"/>
    <col min="6921" max="6925" width="13.42578125" style="229" bestFit="1" customWidth="1"/>
    <col min="6926" max="6926" width="4" style="229" customWidth="1"/>
    <col min="6927" max="7168" width="11.42578125" style="229"/>
    <col min="7169" max="7169" width="41.7109375" style="229" customWidth="1"/>
    <col min="7170" max="7170" width="12.42578125" style="229" customWidth="1"/>
    <col min="7171" max="7175" width="13.42578125" style="229" bestFit="1" customWidth="1"/>
    <col min="7176" max="7176" width="35.7109375" style="229" customWidth="1"/>
    <col min="7177" max="7181" width="13.42578125" style="229" bestFit="1" customWidth="1"/>
    <col min="7182" max="7182" width="4" style="229" customWidth="1"/>
    <col min="7183" max="7424" width="11.42578125" style="229"/>
    <col min="7425" max="7425" width="41.7109375" style="229" customWidth="1"/>
    <col min="7426" max="7426" width="12.42578125" style="229" customWidth="1"/>
    <col min="7427" max="7431" width="13.42578125" style="229" bestFit="1" customWidth="1"/>
    <col min="7432" max="7432" width="35.7109375" style="229" customWidth="1"/>
    <col min="7433" max="7437" width="13.42578125" style="229" bestFit="1" customWidth="1"/>
    <col min="7438" max="7438" width="4" style="229" customWidth="1"/>
    <col min="7439" max="7680" width="11.42578125" style="229"/>
    <col min="7681" max="7681" width="41.7109375" style="229" customWidth="1"/>
    <col min="7682" max="7682" width="12.42578125" style="229" customWidth="1"/>
    <col min="7683" max="7687" width="13.42578125" style="229" bestFit="1" customWidth="1"/>
    <col min="7688" max="7688" width="35.7109375" style="229" customWidth="1"/>
    <col min="7689" max="7693" width="13.42578125" style="229" bestFit="1" customWidth="1"/>
    <col min="7694" max="7694" width="4" style="229" customWidth="1"/>
    <col min="7695" max="7936" width="11.42578125" style="229"/>
    <col min="7937" max="7937" width="41.7109375" style="229" customWidth="1"/>
    <col min="7938" max="7938" width="12.42578125" style="229" customWidth="1"/>
    <col min="7939" max="7943" width="13.42578125" style="229" bestFit="1" customWidth="1"/>
    <col min="7944" max="7944" width="35.7109375" style="229" customWidth="1"/>
    <col min="7945" max="7949" width="13.42578125" style="229" bestFit="1" customWidth="1"/>
    <col min="7950" max="7950" width="4" style="229" customWidth="1"/>
    <col min="7951" max="8192" width="11.42578125" style="229"/>
    <col min="8193" max="8193" width="41.7109375" style="229" customWidth="1"/>
    <col min="8194" max="8194" width="12.42578125" style="229" customWidth="1"/>
    <col min="8195" max="8199" width="13.42578125" style="229" bestFit="1" customWidth="1"/>
    <col min="8200" max="8200" width="35.7109375" style="229" customWidth="1"/>
    <col min="8201" max="8205" width="13.42578125" style="229" bestFit="1" customWidth="1"/>
    <col min="8206" max="8206" width="4" style="229" customWidth="1"/>
    <col min="8207" max="8448" width="11.42578125" style="229"/>
    <col min="8449" max="8449" width="41.7109375" style="229" customWidth="1"/>
    <col min="8450" max="8450" width="12.42578125" style="229" customWidth="1"/>
    <col min="8451" max="8455" width="13.42578125" style="229" bestFit="1" customWidth="1"/>
    <col min="8456" max="8456" width="35.7109375" style="229" customWidth="1"/>
    <col min="8457" max="8461" width="13.42578125" style="229" bestFit="1" customWidth="1"/>
    <col min="8462" max="8462" width="4" style="229" customWidth="1"/>
    <col min="8463" max="8704" width="11.42578125" style="229"/>
    <col min="8705" max="8705" width="41.7109375" style="229" customWidth="1"/>
    <col min="8706" max="8706" width="12.42578125" style="229" customWidth="1"/>
    <col min="8707" max="8711" width="13.42578125" style="229" bestFit="1" customWidth="1"/>
    <col min="8712" max="8712" width="35.7109375" style="229" customWidth="1"/>
    <col min="8713" max="8717" width="13.42578125" style="229" bestFit="1" customWidth="1"/>
    <col min="8718" max="8718" width="4" style="229" customWidth="1"/>
    <col min="8719" max="8960" width="11.42578125" style="229"/>
    <col min="8961" max="8961" width="41.7109375" style="229" customWidth="1"/>
    <col min="8962" max="8962" width="12.42578125" style="229" customWidth="1"/>
    <col min="8963" max="8967" width="13.42578125" style="229" bestFit="1" customWidth="1"/>
    <col min="8968" max="8968" width="35.7109375" style="229" customWidth="1"/>
    <col min="8969" max="8973" width="13.42578125" style="229" bestFit="1" customWidth="1"/>
    <col min="8974" max="8974" width="4" style="229" customWidth="1"/>
    <col min="8975" max="9216" width="11.42578125" style="229"/>
    <col min="9217" max="9217" width="41.7109375" style="229" customWidth="1"/>
    <col min="9218" max="9218" width="12.42578125" style="229" customWidth="1"/>
    <col min="9219" max="9223" width="13.42578125" style="229" bestFit="1" customWidth="1"/>
    <col min="9224" max="9224" width="35.7109375" style="229" customWidth="1"/>
    <col min="9225" max="9229" width="13.42578125" style="229" bestFit="1" customWidth="1"/>
    <col min="9230" max="9230" width="4" style="229" customWidth="1"/>
    <col min="9231" max="9472" width="11.42578125" style="229"/>
    <col min="9473" max="9473" width="41.7109375" style="229" customWidth="1"/>
    <col min="9474" max="9474" width="12.42578125" style="229" customWidth="1"/>
    <col min="9475" max="9479" width="13.42578125" style="229" bestFit="1" customWidth="1"/>
    <col min="9480" max="9480" width="35.7109375" style="229" customWidth="1"/>
    <col min="9481" max="9485" width="13.42578125" style="229" bestFit="1" customWidth="1"/>
    <col min="9486" max="9486" width="4" style="229" customWidth="1"/>
    <col min="9487" max="9728" width="11.42578125" style="229"/>
    <col min="9729" max="9729" width="41.7109375" style="229" customWidth="1"/>
    <col min="9730" max="9730" width="12.42578125" style="229" customWidth="1"/>
    <col min="9731" max="9735" width="13.42578125" style="229" bestFit="1" customWidth="1"/>
    <col min="9736" max="9736" width="35.7109375" style="229" customWidth="1"/>
    <col min="9737" max="9741" width="13.42578125" style="229" bestFit="1" customWidth="1"/>
    <col min="9742" max="9742" width="4" style="229" customWidth="1"/>
    <col min="9743" max="9984" width="11.42578125" style="229"/>
    <col min="9985" max="9985" width="41.7109375" style="229" customWidth="1"/>
    <col min="9986" max="9986" width="12.42578125" style="229" customWidth="1"/>
    <col min="9987" max="9991" width="13.42578125" style="229" bestFit="1" customWidth="1"/>
    <col min="9992" max="9992" width="35.7109375" style="229" customWidth="1"/>
    <col min="9993" max="9997" width="13.42578125" style="229" bestFit="1" customWidth="1"/>
    <col min="9998" max="9998" width="4" style="229" customWidth="1"/>
    <col min="9999" max="10240" width="11.42578125" style="229"/>
    <col min="10241" max="10241" width="41.7109375" style="229" customWidth="1"/>
    <col min="10242" max="10242" width="12.42578125" style="229" customWidth="1"/>
    <col min="10243" max="10247" width="13.42578125" style="229" bestFit="1" customWidth="1"/>
    <col min="10248" max="10248" width="35.7109375" style="229" customWidth="1"/>
    <col min="10249" max="10253" width="13.42578125" style="229" bestFit="1" customWidth="1"/>
    <col min="10254" max="10254" width="4" style="229" customWidth="1"/>
    <col min="10255" max="10496" width="11.42578125" style="229"/>
    <col min="10497" max="10497" width="41.7109375" style="229" customWidth="1"/>
    <col min="10498" max="10498" width="12.42578125" style="229" customWidth="1"/>
    <col min="10499" max="10503" width="13.42578125" style="229" bestFit="1" customWidth="1"/>
    <col min="10504" max="10504" width="35.7109375" style="229" customWidth="1"/>
    <col min="10505" max="10509" width="13.42578125" style="229" bestFit="1" customWidth="1"/>
    <col min="10510" max="10510" width="4" style="229" customWidth="1"/>
    <col min="10511" max="10752" width="11.42578125" style="229"/>
    <col min="10753" max="10753" width="41.7109375" style="229" customWidth="1"/>
    <col min="10754" max="10754" width="12.42578125" style="229" customWidth="1"/>
    <col min="10755" max="10759" width="13.42578125" style="229" bestFit="1" customWidth="1"/>
    <col min="10760" max="10760" width="35.7109375" style="229" customWidth="1"/>
    <col min="10761" max="10765" width="13.42578125" style="229" bestFit="1" customWidth="1"/>
    <col min="10766" max="10766" width="4" style="229" customWidth="1"/>
    <col min="10767" max="11008" width="11.42578125" style="229"/>
    <col min="11009" max="11009" width="41.7109375" style="229" customWidth="1"/>
    <col min="11010" max="11010" width="12.42578125" style="229" customWidth="1"/>
    <col min="11011" max="11015" width="13.42578125" style="229" bestFit="1" customWidth="1"/>
    <col min="11016" max="11016" width="35.7109375" style="229" customWidth="1"/>
    <col min="11017" max="11021" width="13.42578125" style="229" bestFit="1" customWidth="1"/>
    <col min="11022" max="11022" width="4" style="229" customWidth="1"/>
    <col min="11023" max="11264" width="11.42578125" style="229"/>
    <col min="11265" max="11265" width="41.7109375" style="229" customWidth="1"/>
    <col min="11266" max="11266" width="12.42578125" style="229" customWidth="1"/>
    <col min="11267" max="11271" width="13.42578125" style="229" bestFit="1" customWidth="1"/>
    <col min="11272" max="11272" width="35.7109375" style="229" customWidth="1"/>
    <col min="11273" max="11277" width="13.42578125" style="229" bestFit="1" customWidth="1"/>
    <col min="11278" max="11278" width="4" style="229" customWidth="1"/>
    <col min="11279" max="11520" width="11.42578125" style="229"/>
    <col min="11521" max="11521" width="41.7109375" style="229" customWidth="1"/>
    <col min="11522" max="11522" width="12.42578125" style="229" customWidth="1"/>
    <col min="11523" max="11527" width="13.42578125" style="229" bestFit="1" customWidth="1"/>
    <col min="11528" max="11528" width="35.7109375" style="229" customWidth="1"/>
    <col min="11529" max="11533" width="13.42578125" style="229" bestFit="1" customWidth="1"/>
    <col min="11534" max="11534" width="4" style="229" customWidth="1"/>
    <col min="11535" max="11776" width="11.42578125" style="229"/>
    <col min="11777" max="11777" width="41.7109375" style="229" customWidth="1"/>
    <col min="11778" max="11778" width="12.42578125" style="229" customWidth="1"/>
    <col min="11779" max="11783" width="13.42578125" style="229" bestFit="1" customWidth="1"/>
    <col min="11784" max="11784" width="35.7109375" style="229" customWidth="1"/>
    <col min="11785" max="11789" width="13.42578125" style="229" bestFit="1" customWidth="1"/>
    <col min="11790" max="11790" width="4" style="229" customWidth="1"/>
    <col min="11791" max="12032" width="11.42578125" style="229"/>
    <col min="12033" max="12033" width="41.7109375" style="229" customWidth="1"/>
    <col min="12034" max="12034" width="12.42578125" style="229" customWidth="1"/>
    <col min="12035" max="12039" width="13.42578125" style="229" bestFit="1" customWidth="1"/>
    <col min="12040" max="12040" width="35.7109375" style="229" customWidth="1"/>
    <col min="12041" max="12045" width="13.42578125" style="229" bestFit="1" customWidth="1"/>
    <col min="12046" max="12046" width="4" style="229" customWidth="1"/>
    <col min="12047" max="12288" width="11.42578125" style="229"/>
    <col min="12289" max="12289" width="41.7109375" style="229" customWidth="1"/>
    <col min="12290" max="12290" width="12.42578125" style="229" customWidth="1"/>
    <col min="12291" max="12295" width="13.42578125" style="229" bestFit="1" customWidth="1"/>
    <col min="12296" max="12296" width="35.7109375" style="229" customWidth="1"/>
    <col min="12297" max="12301" width="13.42578125" style="229" bestFit="1" customWidth="1"/>
    <col min="12302" max="12302" width="4" style="229" customWidth="1"/>
    <col min="12303" max="12544" width="11.42578125" style="229"/>
    <col min="12545" max="12545" width="41.7109375" style="229" customWidth="1"/>
    <col min="12546" max="12546" width="12.42578125" style="229" customWidth="1"/>
    <col min="12547" max="12551" width="13.42578125" style="229" bestFit="1" customWidth="1"/>
    <col min="12552" max="12552" width="35.7109375" style="229" customWidth="1"/>
    <col min="12553" max="12557" width="13.42578125" style="229" bestFit="1" customWidth="1"/>
    <col min="12558" max="12558" width="4" style="229" customWidth="1"/>
    <col min="12559" max="12800" width="11.42578125" style="229"/>
    <col min="12801" max="12801" width="41.7109375" style="229" customWidth="1"/>
    <col min="12802" max="12802" width="12.42578125" style="229" customWidth="1"/>
    <col min="12803" max="12807" width="13.42578125" style="229" bestFit="1" customWidth="1"/>
    <col min="12808" max="12808" width="35.7109375" style="229" customWidth="1"/>
    <col min="12809" max="12813" width="13.42578125" style="229" bestFit="1" customWidth="1"/>
    <col min="12814" max="12814" width="4" style="229" customWidth="1"/>
    <col min="12815" max="13056" width="11.42578125" style="229"/>
    <col min="13057" max="13057" width="41.7109375" style="229" customWidth="1"/>
    <col min="13058" max="13058" width="12.42578125" style="229" customWidth="1"/>
    <col min="13059" max="13063" width="13.42578125" style="229" bestFit="1" customWidth="1"/>
    <col min="13064" max="13064" width="35.7109375" style="229" customWidth="1"/>
    <col min="13065" max="13069" width="13.42578125" style="229" bestFit="1" customWidth="1"/>
    <col min="13070" max="13070" width="4" style="229" customWidth="1"/>
    <col min="13071" max="13312" width="11.42578125" style="229"/>
    <col min="13313" max="13313" width="41.7109375" style="229" customWidth="1"/>
    <col min="13314" max="13314" width="12.42578125" style="229" customWidth="1"/>
    <col min="13315" max="13319" width="13.42578125" style="229" bestFit="1" customWidth="1"/>
    <col min="13320" max="13320" width="35.7109375" style="229" customWidth="1"/>
    <col min="13321" max="13325" width="13.42578125" style="229" bestFit="1" customWidth="1"/>
    <col min="13326" max="13326" width="4" style="229" customWidth="1"/>
    <col min="13327" max="13568" width="11.42578125" style="229"/>
    <col min="13569" max="13569" width="41.7109375" style="229" customWidth="1"/>
    <col min="13570" max="13570" width="12.42578125" style="229" customWidth="1"/>
    <col min="13571" max="13575" width="13.42578125" style="229" bestFit="1" customWidth="1"/>
    <col min="13576" max="13576" width="35.7109375" style="229" customWidth="1"/>
    <col min="13577" max="13581" width="13.42578125" style="229" bestFit="1" customWidth="1"/>
    <col min="13582" max="13582" width="4" style="229" customWidth="1"/>
    <col min="13583" max="13824" width="11.42578125" style="229"/>
    <col min="13825" max="13825" width="41.7109375" style="229" customWidth="1"/>
    <col min="13826" max="13826" width="12.42578125" style="229" customWidth="1"/>
    <col min="13827" max="13831" width="13.42578125" style="229" bestFit="1" customWidth="1"/>
    <col min="13832" max="13832" width="35.7109375" style="229" customWidth="1"/>
    <col min="13833" max="13837" width="13.42578125" style="229" bestFit="1" customWidth="1"/>
    <col min="13838" max="13838" width="4" style="229" customWidth="1"/>
    <col min="13839" max="14080" width="11.42578125" style="229"/>
    <col min="14081" max="14081" width="41.7109375" style="229" customWidth="1"/>
    <col min="14082" max="14082" width="12.42578125" style="229" customWidth="1"/>
    <col min="14083" max="14087" width="13.42578125" style="229" bestFit="1" customWidth="1"/>
    <col min="14088" max="14088" width="35.7109375" style="229" customWidth="1"/>
    <col min="14089" max="14093" width="13.42578125" style="229" bestFit="1" customWidth="1"/>
    <col min="14094" max="14094" width="4" style="229" customWidth="1"/>
    <col min="14095" max="14336" width="11.42578125" style="229"/>
    <col min="14337" max="14337" width="41.7109375" style="229" customWidth="1"/>
    <col min="14338" max="14338" width="12.42578125" style="229" customWidth="1"/>
    <col min="14339" max="14343" width="13.42578125" style="229" bestFit="1" customWidth="1"/>
    <col min="14344" max="14344" width="35.7109375" style="229" customWidth="1"/>
    <col min="14345" max="14349" width="13.42578125" style="229" bestFit="1" customWidth="1"/>
    <col min="14350" max="14350" width="4" style="229" customWidth="1"/>
    <col min="14351" max="14592" width="11.42578125" style="229"/>
    <col min="14593" max="14593" width="41.7109375" style="229" customWidth="1"/>
    <col min="14594" max="14594" width="12.42578125" style="229" customWidth="1"/>
    <col min="14595" max="14599" width="13.42578125" style="229" bestFit="1" customWidth="1"/>
    <col min="14600" max="14600" width="35.7109375" style="229" customWidth="1"/>
    <col min="14601" max="14605" width="13.42578125" style="229" bestFit="1" customWidth="1"/>
    <col min="14606" max="14606" width="4" style="229" customWidth="1"/>
    <col min="14607" max="14848" width="11.42578125" style="229"/>
    <col min="14849" max="14849" width="41.7109375" style="229" customWidth="1"/>
    <col min="14850" max="14850" width="12.42578125" style="229" customWidth="1"/>
    <col min="14851" max="14855" width="13.42578125" style="229" bestFit="1" customWidth="1"/>
    <col min="14856" max="14856" width="35.7109375" style="229" customWidth="1"/>
    <col min="14857" max="14861" width="13.42578125" style="229" bestFit="1" customWidth="1"/>
    <col min="14862" max="14862" width="4" style="229" customWidth="1"/>
    <col min="14863" max="15104" width="11.42578125" style="229"/>
    <col min="15105" max="15105" width="41.7109375" style="229" customWidth="1"/>
    <col min="15106" max="15106" width="12.42578125" style="229" customWidth="1"/>
    <col min="15107" max="15111" width="13.42578125" style="229" bestFit="1" customWidth="1"/>
    <col min="15112" max="15112" width="35.7109375" style="229" customWidth="1"/>
    <col min="15113" max="15117" width="13.42578125" style="229" bestFit="1" customWidth="1"/>
    <col min="15118" max="15118" width="4" style="229" customWidth="1"/>
    <col min="15119" max="15360" width="11.42578125" style="229"/>
    <col min="15361" max="15361" width="41.7109375" style="229" customWidth="1"/>
    <col min="15362" max="15362" width="12.42578125" style="229" customWidth="1"/>
    <col min="15363" max="15367" width="13.42578125" style="229" bestFit="1" customWidth="1"/>
    <col min="15368" max="15368" width="35.7109375" style="229" customWidth="1"/>
    <col min="15369" max="15373" width="13.42578125" style="229" bestFit="1" customWidth="1"/>
    <col min="15374" max="15374" width="4" style="229" customWidth="1"/>
    <col min="15375" max="15616" width="11.42578125" style="229"/>
    <col min="15617" max="15617" width="41.7109375" style="229" customWidth="1"/>
    <col min="15618" max="15618" width="12.42578125" style="229" customWidth="1"/>
    <col min="15619" max="15623" width="13.42578125" style="229" bestFit="1" customWidth="1"/>
    <col min="15624" max="15624" width="35.7109375" style="229" customWidth="1"/>
    <col min="15625" max="15629" width="13.42578125" style="229" bestFit="1" customWidth="1"/>
    <col min="15630" max="15630" width="4" style="229" customWidth="1"/>
    <col min="15631" max="15872" width="11.42578125" style="229"/>
    <col min="15873" max="15873" width="41.7109375" style="229" customWidth="1"/>
    <col min="15874" max="15874" width="12.42578125" style="229" customWidth="1"/>
    <col min="15875" max="15879" width="13.42578125" style="229" bestFit="1" customWidth="1"/>
    <col min="15880" max="15880" width="35.7109375" style="229" customWidth="1"/>
    <col min="15881" max="15885" width="13.42578125" style="229" bestFit="1" customWidth="1"/>
    <col min="15886" max="15886" width="4" style="229" customWidth="1"/>
    <col min="15887" max="16128" width="11.42578125" style="229"/>
    <col min="16129" max="16129" width="41.7109375" style="229" customWidth="1"/>
    <col min="16130" max="16130" width="12.42578125" style="229" customWidth="1"/>
    <col min="16131" max="16135" width="13.42578125" style="229" bestFit="1" customWidth="1"/>
    <col min="16136" max="16136" width="35.7109375" style="229" customWidth="1"/>
    <col min="16137" max="16141" width="13.42578125" style="229" bestFit="1" customWidth="1"/>
    <col min="16142" max="16142" width="4" style="229" customWidth="1"/>
    <col min="16143" max="16384" width="11.42578125" style="229"/>
  </cols>
  <sheetData>
    <row r="2" spans="1:13" x14ac:dyDescent="0.2">
      <c r="A2" s="363" t="s">
        <v>227</v>
      </c>
      <c r="B2" s="363"/>
      <c r="C2" s="363"/>
      <c r="D2" s="363"/>
      <c r="E2" s="363"/>
      <c r="F2" s="363"/>
      <c r="H2" s="364" t="s">
        <v>228</v>
      </c>
      <c r="I2" s="364"/>
      <c r="J2" s="364"/>
      <c r="K2" s="364"/>
      <c r="L2" s="364"/>
      <c r="M2" s="364"/>
    </row>
    <row r="3" spans="1:13" ht="12.75" customHeight="1" x14ac:dyDescent="0.2">
      <c r="A3" s="359" t="s">
        <v>43</v>
      </c>
      <c r="B3" s="360" t="s">
        <v>44</v>
      </c>
      <c r="C3" s="361"/>
      <c r="D3" s="361"/>
      <c r="E3" s="361"/>
      <c r="F3" s="362"/>
      <c r="G3" s="230"/>
      <c r="H3" s="359" t="s">
        <v>43</v>
      </c>
      <c r="I3" s="360" t="s">
        <v>44</v>
      </c>
      <c r="J3" s="361"/>
      <c r="K3" s="361"/>
      <c r="L3" s="361"/>
      <c r="M3" s="362"/>
    </row>
    <row r="4" spans="1:13" x14ac:dyDescent="0.2">
      <c r="A4" s="359"/>
      <c r="B4" s="231">
        <v>1</v>
      </c>
      <c r="C4" s="231">
        <v>2</v>
      </c>
      <c r="D4" s="231">
        <v>3</v>
      </c>
      <c r="E4" s="231">
        <v>4</v>
      </c>
      <c r="F4" s="231">
        <v>5</v>
      </c>
      <c r="H4" s="359"/>
      <c r="I4" s="231">
        <v>1</v>
      </c>
      <c r="J4" s="231">
        <v>2</v>
      </c>
      <c r="K4" s="231">
        <v>3</v>
      </c>
      <c r="L4" s="231">
        <v>4</v>
      </c>
      <c r="M4" s="231">
        <v>5</v>
      </c>
    </row>
    <row r="5" spans="1:13" x14ac:dyDescent="0.2">
      <c r="A5" s="232" t="s">
        <v>229</v>
      </c>
      <c r="B5" s="233">
        <f>+SUM(B6:B7)</f>
        <v>80677.363199999993</v>
      </c>
      <c r="C5" s="233">
        <f>+SUM(C6:C7)</f>
        <v>95324.146399999998</v>
      </c>
      <c r="D5" s="233">
        <f>+SUM(D6:D7)</f>
        <v>108410.20679999999</v>
      </c>
      <c r="E5" s="233">
        <f>+SUM(E6:E7)</f>
        <v>125338.04639999999</v>
      </c>
      <c r="F5" s="233">
        <f>+SUM(F6:F7)</f>
        <v>140266.66460000002</v>
      </c>
      <c r="H5" s="232" t="s">
        <v>229</v>
      </c>
      <c r="I5" s="233">
        <f>+SUM(I6:I7)</f>
        <v>80677.363199999993</v>
      </c>
      <c r="J5" s="233">
        <f>+SUM(J6:J7)</f>
        <v>95324.146399999998</v>
      </c>
      <c r="K5" s="233">
        <f>+SUM(K6:K7)</f>
        <v>108410.20679999999</v>
      </c>
      <c r="L5" s="233">
        <f>+SUM(L6:L7)</f>
        <v>125338.04639999999</v>
      </c>
      <c r="M5" s="233">
        <f>+SUM(M6:M7)</f>
        <v>140266.66460000002</v>
      </c>
    </row>
    <row r="6" spans="1:13" x14ac:dyDescent="0.2">
      <c r="A6" s="234" t="s">
        <v>26</v>
      </c>
      <c r="B6" s="235">
        <f>INGRESOS!T6</f>
        <v>80677.363199999993</v>
      </c>
      <c r="C6" s="235">
        <f>INGRESOS!T7</f>
        <v>95324.146399999998</v>
      </c>
      <c r="D6" s="235">
        <f>INGRESOS!T8</f>
        <v>108410.20679999999</v>
      </c>
      <c r="E6" s="235">
        <f>INGRESOS!T9</f>
        <v>125338.04639999999</v>
      </c>
      <c r="F6" s="235">
        <f>INGRESOS!T10</f>
        <v>144486.91460000002</v>
      </c>
      <c r="H6" s="234" t="s">
        <v>26</v>
      </c>
      <c r="I6" s="235">
        <f>B6</f>
        <v>80677.363199999993</v>
      </c>
      <c r="J6" s="235">
        <f>C6</f>
        <v>95324.146399999998</v>
      </c>
      <c r="K6" s="235">
        <f>D6</f>
        <v>108410.20679999999</v>
      </c>
      <c r="L6" s="235">
        <f>E6</f>
        <v>125338.04639999999</v>
      </c>
      <c r="M6" s="235">
        <f>F6</f>
        <v>144486.91460000002</v>
      </c>
    </row>
    <row r="7" spans="1:13" x14ac:dyDescent="0.2">
      <c r="A7" s="234" t="s">
        <v>230</v>
      </c>
      <c r="B7" s="235"/>
      <c r="C7" s="235"/>
      <c r="D7" s="235"/>
      <c r="E7" s="235"/>
      <c r="F7" s="235">
        <f>+DEPRECIAC!H13</f>
        <v>-4220.25</v>
      </c>
      <c r="H7" s="234" t="s">
        <v>230</v>
      </c>
      <c r="I7" s="235"/>
      <c r="J7" s="235"/>
      <c r="K7" s="235"/>
      <c r="L7" s="235"/>
      <c r="M7" s="235">
        <f>+F7</f>
        <v>-4220.25</v>
      </c>
    </row>
    <row r="8" spans="1:13" x14ac:dyDescent="0.2">
      <c r="A8" s="232" t="s">
        <v>231</v>
      </c>
      <c r="B8" s="236">
        <f>'PPTO DE EGRES'!C5</f>
        <v>43640.4</v>
      </c>
      <c r="C8" s="236">
        <f>'PPTO DE EGRES'!D5</f>
        <v>48233.46</v>
      </c>
      <c r="D8" s="236">
        <f>'PPTO DE EGRES'!E5</f>
        <v>53515.478999999999</v>
      </c>
      <c r="E8" s="236">
        <f>'PPTO DE EGRES'!F5</f>
        <v>59589.80085</v>
      </c>
      <c r="F8" s="236">
        <f>'PPTO DE EGRES'!G5</f>
        <v>66575.270977499997</v>
      </c>
      <c r="H8" s="232" t="s">
        <v>231</v>
      </c>
      <c r="I8" s="236">
        <f>B8</f>
        <v>43640.4</v>
      </c>
      <c r="J8" s="236">
        <f>C8</f>
        <v>48233.46</v>
      </c>
      <c r="K8" s="236">
        <f>D8</f>
        <v>53515.478999999999</v>
      </c>
      <c r="L8" s="236">
        <f>E8</f>
        <v>59589.80085</v>
      </c>
      <c r="M8" s="236">
        <f>F8</f>
        <v>66575.270977499997</v>
      </c>
    </row>
    <row r="9" spans="1:13" s="237" customFormat="1" x14ac:dyDescent="0.2">
      <c r="A9" s="232" t="s">
        <v>232</v>
      </c>
      <c r="B9" s="236">
        <f>B5-B8</f>
        <v>37036.963199999991</v>
      </c>
      <c r="C9" s="236">
        <f>C5-C8</f>
        <v>47090.686399999999</v>
      </c>
      <c r="D9" s="236">
        <f>D5-D8</f>
        <v>54894.727799999986</v>
      </c>
      <c r="E9" s="236">
        <f>E5-E8</f>
        <v>65748.245549999992</v>
      </c>
      <c r="F9" s="236">
        <f>F5-F8</f>
        <v>73691.393622500022</v>
      </c>
      <c r="H9" s="232" t="s">
        <v>232</v>
      </c>
      <c r="I9" s="236">
        <f>I6-I8</f>
        <v>37036.963199999991</v>
      </c>
      <c r="J9" s="236">
        <f>J6-J8</f>
        <v>47090.686399999999</v>
      </c>
      <c r="K9" s="236">
        <f>K6-K8</f>
        <v>54894.727799999986</v>
      </c>
      <c r="L9" s="236">
        <f>L6-L8</f>
        <v>65748.245549999992</v>
      </c>
      <c r="M9" s="236">
        <f>M6-M8</f>
        <v>77911.643622500022</v>
      </c>
    </row>
    <row r="10" spans="1:13" x14ac:dyDescent="0.2">
      <c r="A10" s="232" t="s">
        <v>233</v>
      </c>
      <c r="B10" s="236">
        <f>SUM(B11:B12)</f>
        <v>27840</v>
      </c>
      <c r="C10" s="236">
        <f>SUM(C11:C12)</f>
        <v>27840</v>
      </c>
      <c r="D10" s="236">
        <f>SUM(D11:D12)</f>
        <v>27840</v>
      </c>
      <c r="E10" s="236">
        <f>SUM(E11:E12)</f>
        <v>27840</v>
      </c>
      <c r="F10" s="236">
        <f>SUM(F11:F12)</f>
        <v>27840</v>
      </c>
      <c r="H10" s="232" t="s">
        <v>233</v>
      </c>
      <c r="I10" s="236">
        <f>I11+I12</f>
        <v>27840</v>
      </c>
      <c r="J10" s="236">
        <f>J11+J12</f>
        <v>27840</v>
      </c>
      <c r="K10" s="236">
        <f>K11+K12</f>
        <v>27840</v>
      </c>
      <c r="L10" s="236">
        <f>L11+L12</f>
        <v>27840</v>
      </c>
      <c r="M10" s="236">
        <f>M11+M12</f>
        <v>27840</v>
      </c>
    </row>
    <row r="11" spans="1:13" x14ac:dyDescent="0.2">
      <c r="A11" s="238" t="s">
        <v>234</v>
      </c>
      <c r="B11" s="235">
        <f>'PPTO DE EGRES'!C13</f>
        <v>14700</v>
      </c>
      <c r="C11" s="235">
        <f>'PPTO DE EGRES'!D13</f>
        <v>14700</v>
      </c>
      <c r="D11" s="235">
        <f>'PPTO DE EGRES'!E13</f>
        <v>14700</v>
      </c>
      <c r="E11" s="235">
        <f>'PPTO DE EGRES'!F13</f>
        <v>14700</v>
      </c>
      <c r="F11" s="235">
        <f>'PPTO DE EGRES'!G13</f>
        <v>14700</v>
      </c>
      <c r="H11" s="238" t="s">
        <v>234</v>
      </c>
      <c r="I11" s="235">
        <f>B11</f>
        <v>14700</v>
      </c>
      <c r="J11" s="235">
        <f t="shared" ref="J11:M13" si="0">C11</f>
        <v>14700</v>
      </c>
      <c r="K11" s="235">
        <f t="shared" si="0"/>
        <v>14700</v>
      </c>
      <c r="L11" s="235">
        <f t="shared" si="0"/>
        <v>14700</v>
      </c>
      <c r="M11" s="235">
        <f t="shared" si="0"/>
        <v>14700</v>
      </c>
    </row>
    <row r="12" spans="1:13" x14ac:dyDescent="0.2">
      <c r="A12" s="238" t="s">
        <v>235</v>
      </c>
      <c r="B12" s="235">
        <f>'PPTO DE EGRES'!C14</f>
        <v>13140</v>
      </c>
      <c r="C12" s="235">
        <f>'PPTO DE EGRES'!D14</f>
        <v>13140</v>
      </c>
      <c r="D12" s="235">
        <f>'PPTO DE EGRES'!E14</f>
        <v>13140</v>
      </c>
      <c r="E12" s="235">
        <f>'PPTO DE EGRES'!F14</f>
        <v>13140</v>
      </c>
      <c r="F12" s="235">
        <f>'PPTO DE EGRES'!G14</f>
        <v>13140</v>
      </c>
      <c r="H12" s="238" t="s">
        <v>235</v>
      </c>
      <c r="I12" s="235">
        <f>B12</f>
        <v>13140</v>
      </c>
      <c r="J12" s="235">
        <f t="shared" si="0"/>
        <v>13140</v>
      </c>
      <c r="K12" s="235">
        <f t="shared" si="0"/>
        <v>13140</v>
      </c>
      <c r="L12" s="235">
        <f t="shared" si="0"/>
        <v>13140</v>
      </c>
      <c r="M12" s="235">
        <f t="shared" si="0"/>
        <v>13140</v>
      </c>
    </row>
    <row r="13" spans="1:13" x14ac:dyDescent="0.2">
      <c r="A13" s="232" t="s">
        <v>236</v>
      </c>
      <c r="B13" s="236">
        <f>'PPTO DE EGRES'!C15</f>
        <v>3021.05</v>
      </c>
      <c r="C13" s="236">
        <f>'PPTO DE EGRES'!D15</f>
        <v>3021.05</v>
      </c>
      <c r="D13" s="236">
        <f>'PPTO DE EGRES'!E15</f>
        <v>3021.05</v>
      </c>
      <c r="E13" s="236">
        <f>'PPTO DE EGRES'!F15</f>
        <v>3021.05</v>
      </c>
      <c r="F13" s="236">
        <f>'PPTO DE EGRES'!G15</f>
        <v>3021.05</v>
      </c>
      <c r="H13" s="232" t="s">
        <v>236</v>
      </c>
      <c r="I13" s="236">
        <f>B13</f>
        <v>3021.05</v>
      </c>
      <c r="J13" s="236">
        <f t="shared" si="0"/>
        <v>3021.05</v>
      </c>
      <c r="K13" s="236">
        <f t="shared" si="0"/>
        <v>3021.05</v>
      </c>
      <c r="L13" s="236">
        <f t="shared" si="0"/>
        <v>3021.05</v>
      </c>
      <c r="M13" s="236">
        <f t="shared" si="0"/>
        <v>3021.05</v>
      </c>
    </row>
    <row r="14" spans="1:13" s="237" customFormat="1" x14ac:dyDescent="0.2">
      <c r="A14" s="232" t="s">
        <v>237</v>
      </c>
      <c r="B14" s="236">
        <f>B9-B10-B13</f>
        <v>6175.9131999999909</v>
      </c>
      <c r="C14" s="236">
        <f>C9-C10-C13</f>
        <v>16229.636399999999</v>
      </c>
      <c r="D14" s="236">
        <f>D9-D10-D13</f>
        <v>24033.677799999987</v>
      </c>
      <c r="E14" s="236">
        <f>E9-E10-E13</f>
        <v>34887.195549999989</v>
      </c>
      <c r="F14" s="236">
        <f>F9-F10-F13</f>
        <v>42830.343622500019</v>
      </c>
      <c r="H14" s="232" t="s">
        <v>237</v>
      </c>
      <c r="I14" s="236">
        <f>I9-I10-I13</f>
        <v>6175.9131999999909</v>
      </c>
      <c r="J14" s="236">
        <f>J9-J10-J13</f>
        <v>16229.636399999999</v>
      </c>
      <c r="K14" s="236">
        <f>K9-K10-K13</f>
        <v>24033.677799999987</v>
      </c>
      <c r="L14" s="236">
        <f>L9-L10-L13</f>
        <v>34887.195549999989</v>
      </c>
      <c r="M14" s="236">
        <f>M9-M10-M13</f>
        <v>47050.593622500019</v>
      </c>
    </row>
    <row r="15" spans="1:13" x14ac:dyDescent="0.2">
      <c r="A15" s="232" t="s">
        <v>238</v>
      </c>
      <c r="B15" s="236">
        <f>+'SERV. DEUD'!M14</f>
        <v>2534.7201674506091</v>
      </c>
      <c r="C15" s="236">
        <f>+'SERV. DEUD'!M15</f>
        <v>2534.7201674506091</v>
      </c>
      <c r="D15" s="236">
        <f>+'SERV. DEUD'!M16</f>
        <v>2534.7201674506091</v>
      </c>
      <c r="E15" s="236">
        <f>+'SERV. DEUD'!M17</f>
        <v>2534.7201674506091</v>
      </c>
      <c r="F15" s="236">
        <f>+'SERV. DEUD'!M18</f>
        <v>2534.7201674506091</v>
      </c>
      <c r="H15" s="238" t="s">
        <v>239</v>
      </c>
      <c r="I15" s="235">
        <f>I14*0.3</f>
        <v>1852.7739599999973</v>
      </c>
      <c r="J15" s="235">
        <f>J14*0.3</f>
        <v>4868.8909199999998</v>
      </c>
      <c r="K15" s="235">
        <f>K14*0.3</f>
        <v>7210.103339999996</v>
      </c>
      <c r="L15" s="235">
        <f>L14*0.3</f>
        <v>10466.158664999997</v>
      </c>
      <c r="M15" s="235">
        <f>M14*0.3</f>
        <v>14115.178086750006</v>
      </c>
    </row>
    <row r="16" spans="1:13" s="237" customFormat="1" x14ac:dyDescent="0.2">
      <c r="A16" s="232" t="s">
        <v>240</v>
      </c>
      <c r="B16" s="236">
        <f>B14-B15</f>
        <v>3641.1930325493818</v>
      </c>
      <c r="C16" s="236">
        <f>C14-C15</f>
        <v>13694.916232549391</v>
      </c>
      <c r="D16" s="236">
        <f>D14-D15</f>
        <v>21498.957632549376</v>
      </c>
      <c r="E16" s="236">
        <f>E14-E15</f>
        <v>32352.475382549379</v>
      </c>
      <c r="F16" s="236">
        <f>F14-F15</f>
        <v>40295.623455049412</v>
      </c>
      <c r="H16" s="232" t="s">
        <v>241</v>
      </c>
      <c r="I16" s="236">
        <f>I14-I15</f>
        <v>4323.1392399999932</v>
      </c>
      <c r="J16" s="236">
        <f t="shared" ref="J16:M16" si="1">J14-J15</f>
        <v>11360.74548</v>
      </c>
      <c r="K16" s="236">
        <f t="shared" si="1"/>
        <v>16823.574459999989</v>
      </c>
      <c r="L16" s="236">
        <f t="shared" si="1"/>
        <v>24421.036884999994</v>
      </c>
      <c r="M16" s="236">
        <f t="shared" si="1"/>
        <v>32935.415535750013</v>
      </c>
    </row>
    <row r="17" spans="1:13" x14ac:dyDescent="0.2">
      <c r="A17" s="238" t="s">
        <v>242</v>
      </c>
      <c r="B17" s="235">
        <f>B16*0.3</f>
        <v>1092.3579097648144</v>
      </c>
      <c r="C17" s="235">
        <f>C16*0.3</f>
        <v>4108.4748697648174</v>
      </c>
      <c r="D17" s="235">
        <f>D16*0.3</f>
        <v>6449.6872897648127</v>
      </c>
      <c r="E17" s="235">
        <f>E16*0.3</f>
        <v>9705.742614764813</v>
      </c>
      <c r="F17" s="235">
        <f>F16*0.3</f>
        <v>12088.687036514822</v>
      </c>
      <c r="H17" s="239"/>
    </row>
    <row r="18" spans="1:13" s="237" customFormat="1" x14ac:dyDescent="0.2">
      <c r="A18" s="232" t="s">
        <v>241</v>
      </c>
      <c r="B18" s="236">
        <f>B16-B17</f>
        <v>2548.8351227845674</v>
      </c>
      <c r="C18" s="236">
        <f>C16-C17</f>
        <v>9586.4413627845734</v>
      </c>
      <c r="D18" s="236">
        <f>D16-D17</f>
        <v>15049.270342784563</v>
      </c>
      <c r="E18" s="236">
        <f>E16-E17</f>
        <v>22646.732767784568</v>
      </c>
      <c r="F18" s="236">
        <f>F16-F17</f>
        <v>28206.936418534591</v>
      </c>
      <c r="H18" s="232" t="s">
        <v>243</v>
      </c>
      <c r="I18" s="240">
        <f>B23</f>
        <v>17437.37</v>
      </c>
      <c r="J18" s="229"/>
      <c r="K18" s="229"/>
      <c r="L18" s="229"/>
      <c r="M18" s="229"/>
    </row>
    <row r="19" spans="1:13" x14ac:dyDescent="0.2">
      <c r="A19" s="179" t="s">
        <v>145</v>
      </c>
      <c r="B19" s="239"/>
      <c r="C19" s="239"/>
      <c r="D19" s="239"/>
      <c r="E19" s="239"/>
      <c r="F19" s="239"/>
      <c r="G19" s="239"/>
    </row>
    <row r="20" spans="1:13" x14ac:dyDescent="0.2">
      <c r="A20" s="239"/>
      <c r="B20" s="239"/>
      <c r="C20" s="239"/>
      <c r="D20" s="239"/>
      <c r="E20" s="239"/>
      <c r="F20" s="239"/>
      <c r="G20" s="239"/>
    </row>
    <row r="21" spans="1:13" x14ac:dyDescent="0.2">
      <c r="A21" s="241" t="s">
        <v>264</v>
      </c>
      <c r="B21" s="239"/>
      <c r="C21" s="239"/>
      <c r="D21" s="239"/>
      <c r="E21" s="239"/>
      <c r="F21" s="239"/>
      <c r="G21" s="239"/>
    </row>
    <row r="22" spans="1:13" x14ac:dyDescent="0.2">
      <c r="A22" s="239"/>
      <c r="B22" s="239"/>
      <c r="C22" s="239"/>
      <c r="D22" s="239"/>
      <c r="E22" s="239"/>
      <c r="F22" s="239"/>
      <c r="G22" s="239"/>
    </row>
    <row r="23" spans="1:13" x14ac:dyDescent="0.2">
      <c r="A23" s="232" t="s">
        <v>243</v>
      </c>
      <c r="B23" s="236">
        <f>INVERSION!C13</f>
        <v>17437.37</v>
      </c>
      <c r="C23" s="239"/>
      <c r="D23" s="239"/>
      <c r="E23" s="239"/>
      <c r="F23" s="239"/>
      <c r="G23" s="239"/>
    </row>
    <row r="24" spans="1:13" x14ac:dyDescent="0.2">
      <c r="A24" s="239"/>
      <c r="B24" s="239"/>
      <c r="C24" s="239"/>
      <c r="D24" s="242" t="s">
        <v>244</v>
      </c>
      <c r="E24" s="239"/>
      <c r="F24" s="239"/>
      <c r="G24" s="239"/>
    </row>
    <row r="25" spans="1:13" ht="12.75" customHeight="1" x14ac:dyDescent="0.2">
      <c r="A25" s="354" t="s">
        <v>245</v>
      </c>
      <c r="B25" s="356" t="s">
        <v>44</v>
      </c>
      <c r="C25" s="357"/>
      <c r="D25" s="357"/>
      <c r="E25" s="357"/>
      <c r="F25" s="358"/>
      <c r="H25" s="243"/>
      <c r="I25" s="243"/>
      <c r="J25" s="243"/>
      <c r="K25" s="243"/>
      <c r="L25" s="243"/>
      <c r="M25" s="239"/>
    </row>
    <row r="26" spans="1:13" x14ac:dyDescent="0.2">
      <c r="A26" s="355"/>
      <c r="B26" s="244">
        <v>1</v>
      </c>
      <c r="C26" s="244">
        <v>2</v>
      </c>
      <c r="D26" s="244">
        <v>3</v>
      </c>
      <c r="E26" s="244">
        <v>4</v>
      </c>
      <c r="F26" s="244">
        <v>5</v>
      </c>
      <c r="H26" s="239"/>
      <c r="I26" s="239"/>
      <c r="J26" s="239"/>
      <c r="K26" s="239"/>
      <c r="L26" s="239"/>
      <c r="M26" s="239"/>
    </row>
    <row r="27" spans="1:13" s="237" customFormat="1" x14ac:dyDescent="0.2">
      <c r="A27" s="232" t="s">
        <v>246</v>
      </c>
      <c r="B27" s="236">
        <f>SUM(B28:B30)</f>
        <v>18695.77016745061</v>
      </c>
      <c r="C27" s="236">
        <f>SUM(C28:C30)</f>
        <v>18695.77016745061</v>
      </c>
      <c r="D27" s="236">
        <f>SUM(D28:D30)</f>
        <v>18695.77016745061</v>
      </c>
      <c r="E27" s="236">
        <f>SUM(E28:E30)</f>
        <v>18695.77016745061</v>
      </c>
      <c r="F27" s="236">
        <f>SUM(F28:F30)</f>
        <v>18695.77016745061</v>
      </c>
      <c r="G27" s="237" t="s">
        <v>247</v>
      </c>
      <c r="H27" s="245"/>
      <c r="I27" s="245"/>
      <c r="J27" s="245"/>
      <c r="K27" s="245"/>
      <c r="L27" s="245"/>
      <c r="M27" s="245"/>
    </row>
    <row r="28" spans="1:13" x14ac:dyDescent="0.2">
      <c r="A28" s="238" t="s">
        <v>248</v>
      </c>
      <c r="B28" s="235">
        <f>B13</f>
        <v>3021.05</v>
      </c>
      <c r="C28" s="235">
        <f>C13</f>
        <v>3021.05</v>
      </c>
      <c r="D28" s="235">
        <f>D13</f>
        <v>3021.05</v>
      </c>
      <c r="E28" s="235">
        <f>E13</f>
        <v>3021.05</v>
      </c>
      <c r="F28" s="235">
        <f>F13</f>
        <v>3021.05</v>
      </c>
      <c r="H28" s="245"/>
      <c r="I28" s="245"/>
      <c r="J28" s="245"/>
      <c r="K28" s="245"/>
      <c r="L28" s="245"/>
      <c r="M28" s="245"/>
    </row>
    <row r="29" spans="1:13" x14ac:dyDescent="0.2">
      <c r="A29" s="238" t="s">
        <v>249</v>
      </c>
      <c r="B29" s="235">
        <f>B15</f>
        <v>2534.7201674506091</v>
      </c>
      <c r="C29" s="235">
        <f>C15</f>
        <v>2534.7201674506091</v>
      </c>
      <c r="D29" s="235">
        <f>D15</f>
        <v>2534.7201674506091</v>
      </c>
      <c r="E29" s="235">
        <f>E15</f>
        <v>2534.7201674506091</v>
      </c>
      <c r="F29" s="235">
        <f>F15</f>
        <v>2534.7201674506091</v>
      </c>
      <c r="H29" s="239"/>
      <c r="I29" s="239"/>
      <c r="J29" s="239"/>
      <c r="K29" s="239"/>
      <c r="L29" s="239"/>
      <c r="M29" s="239"/>
    </row>
    <row r="30" spans="1:13" x14ac:dyDescent="0.2">
      <c r="A30" s="238" t="s">
        <v>250</v>
      </c>
      <c r="B30" s="235">
        <f>B12</f>
        <v>13140</v>
      </c>
      <c r="C30" s="235">
        <f>C12</f>
        <v>13140</v>
      </c>
      <c r="D30" s="235">
        <f>D12</f>
        <v>13140</v>
      </c>
      <c r="E30" s="235">
        <f>E12</f>
        <v>13140</v>
      </c>
      <c r="F30" s="235">
        <f>F12</f>
        <v>13140</v>
      </c>
    </row>
    <row r="31" spans="1:13" s="237" customFormat="1" x14ac:dyDescent="0.2">
      <c r="A31" s="232" t="s">
        <v>251</v>
      </c>
      <c r="B31" s="236">
        <f>B32+B33</f>
        <v>58340.4</v>
      </c>
      <c r="C31" s="236">
        <f>C32+C33</f>
        <v>62933.46</v>
      </c>
      <c r="D31" s="236">
        <f>D32+D33</f>
        <v>68215.478999999992</v>
      </c>
      <c r="E31" s="236">
        <f>E32+E33</f>
        <v>74289.80085</v>
      </c>
      <c r="F31" s="236">
        <f>F32+F33</f>
        <v>81275.270977499997</v>
      </c>
    </row>
    <row r="32" spans="1:13" x14ac:dyDescent="0.2">
      <c r="A32" s="238" t="s">
        <v>252</v>
      </c>
      <c r="B32" s="235">
        <f>B8</f>
        <v>43640.4</v>
      </c>
      <c r="C32" s="235">
        <f>C8</f>
        <v>48233.46</v>
      </c>
      <c r="D32" s="235">
        <f>D8</f>
        <v>53515.478999999999</v>
      </c>
      <c r="E32" s="235">
        <f>E8</f>
        <v>59589.80085</v>
      </c>
      <c r="F32" s="235">
        <f>F8</f>
        <v>66575.270977499997</v>
      </c>
    </row>
    <row r="33" spans="1:10" x14ac:dyDescent="0.2">
      <c r="A33" s="238" t="s">
        <v>253</v>
      </c>
      <c r="B33" s="235">
        <f>B11</f>
        <v>14700</v>
      </c>
      <c r="C33" s="235">
        <f>C11</f>
        <v>14700</v>
      </c>
      <c r="D33" s="235">
        <f>D11</f>
        <v>14700</v>
      </c>
      <c r="E33" s="235">
        <f>E11</f>
        <v>14700</v>
      </c>
      <c r="F33" s="235">
        <f>F11</f>
        <v>14700</v>
      </c>
    </row>
    <row r="34" spans="1:10" s="237" customFormat="1" x14ac:dyDescent="0.2">
      <c r="A34" s="232" t="s">
        <v>254</v>
      </c>
      <c r="B34" s="236">
        <f>B27+B31</f>
        <v>77036.170167450618</v>
      </c>
      <c r="C34" s="236">
        <f>C27+C31</f>
        <v>81629.230167450616</v>
      </c>
      <c r="D34" s="236">
        <f>D27+D31</f>
        <v>86911.249167450602</v>
      </c>
      <c r="E34" s="236">
        <f>E27+E31</f>
        <v>92985.571017450609</v>
      </c>
      <c r="F34" s="236">
        <f>F27+F31</f>
        <v>99971.041144950606</v>
      </c>
    </row>
    <row r="35" spans="1:10" x14ac:dyDescent="0.2">
      <c r="A35" s="238" t="s">
        <v>255</v>
      </c>
      <c r="B35" s="235">
        <f>INGRESOS!Q6</f>
        <v>1344</v>
      </c>
      <c r="C35" s="235">
        <f>INGRESOS!Q7</f>
        <v>1588</v>
      </c>
      <c r="D35" s="235">
        <f>INGRESOS!Q8</f>
        <v>1806</v>
      </c>
      <c r="E35" s="235">
        <f>INGRESOS!Q9</f>
        <v>2088</v>
      </c>
      <c r="F35" s="235">
        <f>INGRESOS!Q10</f>
        <v>2407</v>
      </c>
      <c r="G35" s="237" t="s">
        <v>256</v>
      </c>
    </row>
    <row r="36" spans="1:10" x14ac:dyDescent="0.2">
      <c r="A36" s="238" t="s">
        <v>257</v>
      </c>
      <c r="B36" s="235">
        <f>B31/B35</f>
        <v>43.408035714285717</v>
      </c>
      <c r="C36" s="235">
        <f>C31/C35</f>
        <v>39.630642317380349</v>
      </c>
      <c r="D36" s="235">
        <f>D31/D35</f>
        <v>37.771583056478399</v>
      </c>
      <c r="E36" s="235">
        <f>E31/E35</f>
        <v>35.57940653735632</v>
      </c>
      <c r="F36" s="235">
        <f>F31/F35</f>
        <v>33.766211457208144</v>
      </c>
      <c r="I36" s="246"/>
    </row>
    <row r="37" spans="1:10" x14ac:dyDescent="0.2">
      <c r="A37" s="238" t="s">
        <v>258</v>
      </c>
      <c r="B37" s="235">
        <f>+INGRESOS!R6*INGRESOS!$S$12</f>
        <v>60.027799999999999</v>
      </c>
      <c r="C37" s="235">
        <f>+INGRESOS!R7*INGRESOS!$S$12</f>
        <v>60.027799999999999</v>
      </c>
      <c r="D37" s="235">
        <f>+INGRESOS!R8*INGRESOS!$S$12</f>
        <v>60.027799999999999</v>
      </c>
      <c r="E37" s="235">
        <f>+INGRESOS!R9*INGRESOS!$S$12</f>
        <v>60.027799999999999</v>
      </c>
      <c r="F37" s="235">
        <f>+INGRESOS!R10*INGRESOS!$S$12</f>
        <v>60.027799999999999</v>
      </c>
      <c r="I37" s="246"/>
      <c r="J37" s="246"/>
    </row>
    <row r="38" spans="1:10" s="237" customFormat="1" x14ac:dyDescent="0.2">
      <c r="A38" s="232" t="s">
        <v>259</v>
      </c>
      <c r="B38" s="247">
        <f>B27/(B37-B36)</f>
        <v>1124.9118727586758</v>
      </c>
      <c r="C38" s="247">
        <f>C27/(C37-C36)</f>
        <v>916.5870293477808</v>
      </c>
      <c r="D38" s="247">
        <f>D27/(D37-D36)</f>
        <v>840.02461940831438</v>
      </c>
      <c r="E38" s="247">
        <f>E27/(E37-E36)</f>
        <v>764.70342298839046</v>
      </c>
      <c r="F38" s="247">
        <f>F27/(F37-F36)</f>
        <v>711.90553218008313</v>
      </c>
    </row>
    <row r="39" spans="1:10" s="237" customFormat="1" x14ac:dyDescent="0.2">
      <c r="A39" s="232" t="s">
        <v>260</v>
      </c>
      <c r="B39" s="236">
        <f>B38*B37</f>
        <v>67525.984915583234</v>
      </c>
      <c r="C39" s="236">
        <f>C38*C37</f>
        <v>55020.702880282719</v>
      </c>
      <c r="D39" s="236">
        <f>D38*D37</f>
        <v>50424.829848918416</v>
      </c>
      <c r="E39" s="236">
        <f>E38*E37</f>
        <v>45903.464134462505</v>
      </c>
      <c r="F39" s="236">
        <f>F38*F37</f>
        <v>42734.122904599593</v>
      </c>
    </row>
    <row r="40" spans="1:10" x14ac:dyDescent="0.2">
      <c r="A40" s="237" t="s">
        <v>145</v>
      </c>
    </row>
    <row r="41" spans="1:10" x14ac:dyDescent="0.2">
      <c r="H41" s="246"/>
    </row>
    <row r="42" spans="1:10" x14ac:dyDescent="0.2">
      <c r="B42" s="239" t="s">
        <v>261</v>
      </c>
    </row>
    <row r="43" spans="1:10" x14ac:dyDescent="0.2">
      <c r="B43" s="237"/>
      <c r="C43" s="237"/>
      <c r="D43" s="248"/>
    </row>
    <row r="45" spans="1:10" x14ac:dyDescent="0.2">
      <c r="B45" s="229" t="s">
        <v>262</v>
      </c>
      <c r="D45" s="246"/>
    </row>
    <row r="46" spans="1:10" x14ac:dyDescent="0.2">
      <c r="B46" s="237"/>
      <c r="C46" s="237"/>
      <c r="D46" s="246"/>
    </row>
    <row r="47" spans="1:10" x14ac:dyDescent="0.2">
      <c r="D47" s="246"/>
    </row>
    <row r="48" spans="1:10" ht="12.75" customHeight="1" x14ac:dyDescent="0.2">
      <c r="B48" s="359" t="s">
        <v>245</v>
      </c>
      <c r="C48" s="360" t="s">
        <v>44</v>
      </c>
      <c r="D48" s="361"/>
      <c r="E48" s="361"/>
      <c r="F48" s="361"/>
      <c r="G48" s="362"/>
    </row>
    <row r="49" spans="2:7" x14ac:dyDescent="0.2">
      <c r="B49" s="359"/>
      <c r="C49" s="231">
        <v>1</v>
      </c>
      <c r="D49" s="231">
        <v>2</v>
      </c>
      <c r="E49" s="231">
        <v>3</v>
      </c>
      <c r="F49" s="231">
        <v>4</v>
      </c>
      <c r="G49" s="231">
        <v>5</v>
      </c>
    </row>
    <row r="50" spans="2:7" x14ac:dyDescent="0.2">
      <c r="B50" s="238" t="s">
        <v>26</v>
      </c>
      <c r="C50" s="249">
        <f>B6</f>
        <v>80677.363199999993</v>
      </c>
      <c r="D50" s="249">
        <f>C50+C6</f>
        <v>176001.50959999999</v>
      </c>
      <c r="E50" s="249">
        <f>D50+D6</f>
        <v>284411.71639999998</v>
      </c>
      <c r="F50" s="249">
        <f>E50+E6</f>
        <v>409749.76279999997</v>
      </c>
      <c r="G50" s="249">
        <f>F50+F6</f>
        <v>554236.67739999993</v>
      </c>
    </row>
    <row r="51" spans="2:7" ht="24" x14ac:dyDescent="0.2">
      <c r="B51" s="250" t="s">
        <v>254</v>
      </c>
      <c r="C51" s="251">
        <f>B23+B34</f>
        <v>94473.540167450614</v>
      </c>
      <c r="D51" s="252">
        <f>C51+C34</f>
        <v>176102.77033490123</v>
      </c>
      <c r="E51" s="252">
        <f>D51+D34</f>
        <v>263014.01950235182</v>
      </c>
      <c r="F51" s="252">
        <f>E51+E34</f>
        <v>355999.59051980241</v>
      </c>
      <c r="G51" s="252">
        <f>F51+F34</f>
        <v>455970.63166475302</v>
      </c>
    </row>
    <row r="52" spans="2:7" x14ac:dyDescent="0.2">
      <c r="B52" s="238" t="s">
        <v>263</v>
      </c>
      <c r="C52" s="249">
        <f>+B27</f>
        <v>18695.77016745061</v>
      </c>
      <c r="D52" s="249">
        <f>+C27</f>
        <v>18695.77016745061</v>
      </c>
      <c r="E52" s="249">
        <f>+D27</f>
        <v>18695.77016745061</v>
      </c>
      <c r="F52" s="249">
        <f>+E27</f>
        <v>18695.77016745061</v>
      </c>
      <c r="G52" s="249">
        <f>+F27</f>
        <v>18695.77016745061</v>
      </c>
    </row>
  </sheetData>
  <mergeCells count="10">
    <mergeCell ref="H2:M2"/>
    <mergeCell ref="A3:A4"/>
    <mergeCell ref="B3:F3"/>
    <mergeCell ref="H3:H4"/>
    <mergeCell ref="I3:M3"/>
    <mergeCell ref="A25:A26"/>
    <mergeCell ref="B25:F25"/>
    <mergeCell ref="B48:B49"/>
    <mergeCell ref="C48:G48"/>
    <mergeCell ref="A2:F2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5"/>
  <sheetViews>
    <sheetView workbookViewId="0">
      <selection activeCell="C18" sqref="C18"/>
    </sheetView>
  </sheetViews>
  <sheetFormatPr baseColWidth="10" defaultRowHeight="15" x14ac:dyDescent="0.25"/>
  <cols>
    <col min="1" max="1" width="41.140625" customWidth="1"/>
    <col min="2" max="2" width="15.140625" customWidth="1"/>
    <col min="3" max="3" width="14.42578125" customWidth="1"/>
    <col min="4" max="4" width="14.85546875" bestFit="1" customWidth="1"/>
    <col min="5" max="5" width="14.7109375" bestFit="1" customWidth="1"/>
    <col min="6" max="6" width="14.28515625" customWidth="1"/>
    <col min="7" max="7" width="15.140625" customWidth="1"/>
    <col min="8" max="8" width="13.42578125" bestFit="1" customWidth="1"/>
    <col min="9" max="9" width="14.7109375" bestFit="1" customWidth="1"/>
    <col min="10" max="10" width="12.7109375" customWidth="1"/>
    <col min="12" max="12" width="14.42578125" customWidth="1"/>
    <col min="15" max="15" width="17" bestFit="1" customWidth="1"/>
    <col min="18" max="18" width="12" customWidth="1"/>
    <col min="20" max="20" width="14.42578125" customWidth="1"/>
    <col min="257" max="257" width="41.140625" customWidth="1"/>
    <col min="258" max="258" width="15.140625" customWidth="1"/>
    <col min="259" max="259" width="14.42578125" customWidth="1"/>
    <col min="260" max="260" width="14.85546875" bestFit="1" customWidth="1"/>
    <col min="261" max="261" width="14.7109375" bestFit="1" customWidth="1"/>
    <col min="262" max="262" width="14.28515625" customWidth="1"/>
    <col min="263" max="263" width="15.140625" customWidth="1"/>
    <col min="264" max="264" width="13.42578125" bestFit="1" customWidth="1"/>
    <col min="265" max="265" width="14.7109375" bestFit="1" customWidth="1"/>
    <col min="266" max="266" width="12.7109375" customWidth="1"/>
    <col min="268" max="268" width="14.42578125" customWidth="1"/>
    <col min="271" max="271" width="12.85546875" customWidth="1"/>
    <col min="274" max="274" width="12" customWidth="1"/>
    <col min="276" max="276" width="14.42578125" customWidth="1"/>
    <col min="513" max="513" width="41.140625" customWidth="1"/>
    <col min="514" max="514" width="15.140625" customWidth="1"/>
    <col min="515" max="515" width="14.42578125" customWidth="1"/>
    <col min="516" max="516" width="14.85546875" bestFit="1" customWidth="1"/>
    <col min="517" max="517" width="14.7109375" bestFit="1" customWidth="1"/>
    <col min="518" max="518" width="14.28515625" customWidth="1"/>
    <col min="519" max="519" width="15.140625" customWidth="1"/>
    <col min="520" max="520" width="13.42578125" bestFit="1" customWidth="1"/>
    <col min="521" max="521" width="14.7109375" bestFit="1" customWidth="1"/>
    <col min="522" max="522" width="12.7109375" customWidth="1"/>
    <col min="524" max="524" width="14.42578125" customWidth="1"/>
    <col min="527" max="527" width="12.85546875" customWidth="1"/>
    <col min="530" max="530" width="12" customWidth="1"/>
    <col min="532" max="532" width="14.42578125" customWidth="1"/>
    <col min="769" max="769" width="41.140625" customWidth="1"/>
    <col min="770" max="770" width="15.140625" customWidth="1"/>
    <col min="771" max="771" width="14.42578125" customWidth="1"/>
    <col min="772" max="772" width="14.85546875" bestFit="1" customWidth="1"/>
    <col min="773" max="773" width="14.7109375" bestFit="1" customWidth="1"/>
    <col min="774" max="774" width="14.28515625" customWidth="1"/>
    <col min="775" max="775" width="15.140625" customWidth="1"/>
    <col min="776" max="776" width="13.42578125" bestFit="1" customWidth="1"/>
    <col min="777" max="777" width="14.7109375" bestFit="1" customWidth="1"/>
    <col min="778" max="778" width="12.7109375" customWidth="1"/>
    <col min="780" max="780" width="14.42578125" customWidth="1"/>
    <col min="783" max="783" width="12.85546875" customWidth="1"/>
    <col min="786" max="786" width="12" customWidth="1"/>
    <col min="788" max="788" width="14.42578125" customWidth="1"/>
    <col min="1025" max="1025" width="41.140625" customWidth="1"/>
    <col min="1026" max="1026" width="15.140625" customWidth="1"/>
    <col min="1027" max="1027" width="14.42578125" customWidth="1"/>
    <col min="1028" max="1028" width="14.85546875" bestFit="1" customWidth="1"/>
    <col min="1029" max="1029" width="14.7109375" bestFit="1" customWidth="1"/>
    <col min="1030" max="1030" width="14.28515625" customWidth="1"/>
    <col min="1031" max="1031" width="15.140625" customWidth="1"/>
    <col min="1032" max="1032" width="13.42578125" bestFit="1" customWidth="1"/>
    <col min="1033" max="1033" width="14.7109375" bestFit="1" customWidth="1"/>
    <col min="1034" max="1034" width="12.7109375" customWidth="1"/>
    <col min="1036" max="1036" width="14.42578125" customWidth="1"/>
    <col min="1039" max="1039" width="12.85546875" customWidth="1"/>
    <col min="1042" max="1042" width="12" customWidth="1"/>
    <col min="1044" max="1044" width="14.42578125" customWidth="1"/>
    <col min="1281" max="1281" width="41.140625" customWidth="1"/>
    <col min="1282" max="1282" width="15.140625" customWidth="1"/>
    <col min="1283" max="1283" width="14.42578125" customWidth="1"/>
    <col min="1284" max="1284" width="14.85546875" bestFit="1" customWidth="1"/>
    <col min="1285" max="1285" width="14.7109375" bestFit="1" customWidth="1"/>
    <col min="1286" max="1286" width="14.28515625" customWidth="1"/>
    <col min="1287" max="1287" width="15.140625" customWidth="1"/>
    <col min="1288" max="1288" width="13.42578125" bestFit="1" customWidth="1"/>
    <col min="1289" max="1289" width="14.7109375" bestFit="1" customWidth="1"/>
    <col min="1290" max="1290" width="12.7109375" customWidth="1"/>
    <col min="1292" max="1292" width="14.42578125" customWidth="1"/>
    <col min="1295" max="1295" width="12.85546875" customWidth="1"/>
    <col min="1298" max="1298" width="12" customWidth="1"/>
    <col min="1300" max="1300" width="14.42578125" customWidth="1"/>
    <col min="1537" max="1537" width="41.140625" customWidth="1"/>
    <col min="1538" max="1538" width="15.140625" customWidth="1"/>
    <col min="1539" max="1539" width="14.42578125" customWidth="1"/>
    <col min="1540" max="1540" width="14.85546875" bestFit="1" customWidth="1"/>
    <col min="1541" max="1541" width="14.7109375" bestFit="1" customWidth="1"/>
    <col min="1542" max="1542" width="14.28515625" customWidth="1"/>
    <col min="1543" max="1543" width="15.140625" customWidth="1"/>
    <col min="1544" max="1544" width="13.42578125" bestFit="1" customWidth="1"/>
    <col min="1545" max="1545" width="14.7109375" bestFit="1" customWidth="1"/>
    <col min="1546" max="1546" width="12.7109375" customWidth="1"/>
    <col min="1548" max="1548" width="14.42578125" customWidth="1"/>
    <col min="1551" max="1551" width="12.85546875" customWidth="1"/>
    <col min="1554" max="1554" width="12" customWidth="1"/>
    <col min="1556" max="1556" width="14.42578125" customWidth="1"/>
    <col min="1793" max="1793" width="41.140625" customWidth="1"/>
    <col min="1794" max="1794" width="15.140625" customWidth="1"/>
    <col min="1795" max="1795" width="14.42578125" customWidth="1"/>
    <col min="1796" max="1796" width="14.85546875" bestFit="1" customWidth="1"/>
    <col min="1797" max="1797" width="14.7109375" bestFit="1" customWidth="1"/>
    <col min="1798" max="1798" width="14.28515625" customWidth="1"/>
    <col min="1799" max="1799" width="15.140625" customWidth="1"/>
    <col min="1800" max="1800" width="13.42578125" bestFit="1" customWidth="1"/>
    <col min="1801" max="1801" width="14.7109375" bestFit="1" customWidth="1"/>
    <col min="1802" max="1802" width="12.7109375" customWidth="1"/>
    <col min="1804" max="1804" width="14.42578125" customWidth="1"/>
    <col min="1807" max="1807" width="12.85546875" customWidth="1"/>
    <col min="1810" max="1810" width="12" customWidth="1"/>
    <col min="1812" max="1812" width="14.42578125" customWidth="1"/>
    <col min="2049" max="2049" width="41.140625" customWidth="1"/>
    <col min="2050" max="2050" width="15.140625" customWidth="1"/>
    <col min="2051" max="2051" width="14.42578125" customWidth="1"/>
    <col min="2052" max="2052" width="14.85546875" bestFit="1" customWidth="1"/>
    <col min="2053" max="2053" width="14.7109375" bestFit="1" customWidth="1"/>
    <col min="2054" max="2054" width="14.28515625" customWidth="1"/>
    <col min="2055" max="2055" width="15.140625" customWidth="1"/>
    <col min="2056" max="2056" width="13.42578125" bestFit="1" customWidth="1"/>
    <col min="2057" max="2057" width="14.7109375" bestFit="1" customWidth="1"/>
    <col min="2058" max="2058" width="12.7109375" customWidth="1"/>
    <col min="2060" max="2060" width="14.42578125" customWidth="1"/>
    <col min="2063" max="2063" width="12.85546875" customWidth="1"/>
    <col min="2066" max="2066" width="12" customWidth="1"/>
    <col min="2068" max="2068" width="14.42578125" customWidth="1"/>
    <col min="2305" max="2305" width="41.140625" customWidth="1"/>
    <col min="2306" max="2306" width="15.140625" customWidth="1"/>
    <col min="2307" max="2307" width="14.42578125" customWidth="1"/>
    <col min="2308" max="2308" width="14.85546875" bestFit="1" customWidth="1"/>
    <col min="2309" max="2309" width="14.7109375" bestFit="1" customWidth="1"/>
    <col min="2310" max="2310" width="14.28515625" customWidth="1"/>
    <col min="2311" max="2311" width="15.140625" customWidth="1"/>
    <col min="2312" max="2312" width="13.42578125" bestFit="1" customWidth="1"/>
    <col min="2313" max="2313" width="14.7109375" bestFit="1" customWidth="1"/>
    <col min="2314" max="2314" width="12.7109375" customWidth="1"/>
    <col min="2316" max="2316" width="14.42578125" customWidth="1"/>
    <col min="2319" max="2319" width="12.85546875" customWidth="1"/>
    <col min="2322" max="2322" width="12" customWidth="1"/>
    <col min="2324" max="2324" width="14.42578125" customWidth="1"/>
    <col min="2561" max="2561" width="41.140625" customWidth="1"/>
    <col min="2562" max="2562" width="15.140625" customWidth="1"/>
    <col min="2563" max="2563" width="14.42578125" customWidth="1"/>
    <col min="2564" max="2564" width="14.85546875" bestFit="1" customWidth="1"/>
    <col min="2565" max="2565" width="14.7109375" bestFit="1" customWidth="1"/>
    <col min="2566" max="2566" width="14.28515625" customWidth="1"/>
    <col min="2567" max="2567" width="15.140625" customWidth="1"/>
    <col min="2568" max="2568" width="13.42578125" bestFit="1" customWidth="1"/>
    <col min="2569" max="2569" width="14.7109375" bestFit="1" customWidth="1"/>
    <col min="2570" max="2570" width="12.7109375" customWidth="1"/>
    <col min="2572" max="2572" width="14.42578125" customWidth="1"/>
    <col min="2575" max="2575" width="12.85546875" customWidth="1"/>
    <col min="2578" max="2578" width="12" customWidth="1"/>
    <col min="2580" max="2580" width="14.42578125" customWidth="1"/>
    <col min="2817" max="2817" width="41.140625" customWidth="1"/>
    <col min="2818" max="2818" width="15.140625" customWidth="1"/>
    <col min="2819" max="2819" width="14.42578125" customWidth="1"/>
    <col min="2820" max="2820" width="14.85546875" bestFit="1" customWidth="1"/>
    <col min="2821" max="2821" width="14.7109375" bestFit="1" customWidth="1"/>
    <col min="2822" max="2822" width="14.28515625" customWidth="1"/>
    <col min="2823" max="2823" width="15.140625" customWidth="1"/>
    <col min="2824" max="2824" width="13.42578125" bestFit="1" customWidth="1"/>
    <col min="2825" max="2825" width="14.7109375" bestFit="1" customWidth="1"/>
    <col min="2826" max="2826" width="12.7109375" customWidth="1"/>
    <col min="2828" max="2828" width="14.42578125" customWidth="1"/>
    <col min="2831" max="2831" width="12.85546875" customWidth="1"/>
    <col min="2834" max="2834" width="12" customWidth="1"/>
    <col min="2836" max="2836" width="14.42578125" customWidth="1"/>
    <col min="3073" max="3073" width="41.140625" customWidth="1"/>
    <col min="3074" max="3074" width="15.140625" customWidth="1"/>
    <col min="3075" max="3075" width="14.42578125" customWidth="1"/>
    <col min="3076" max="3076" width="14.85546875" bestFit="1" customWidth="1"/>
    <col min="3077" max="3077" width="14.7109375" bestFit="1" customWidth="1"/>
    <col min="3078" max="3078" width="14.28515625" customWidth="1"/>
    <col min="3079" max="3079" width="15.140625" customWidth="1"/>
    <col min="3080" max="3080" width="13.42578125" bestFit="1" customWidth="1"/>
    <col min="3081" max="3081" width="14.7109375" bestFit="1" customWidth="1"/>
    <col min="3082" max="3082" width="12.7109375" customWidth="1"/>
    <col min="3084" max="3084" width="14.42578125" customWidth="1"/>
    <col min="3087" max="3087" width="12.85546875" customWidth="1"/>
    <col min="3090" max="3090" width="12" customWidth="1"/>
    <col min="3092" max="3092" width="14.42578125" customWidth="1"/>
    <col min="3329" max="3329" width="41.140625" customWidth="1"/>
    <col min="3330" max="3330" width="15.140625" customWidth="1"/>
    <col min="3331" max="3331" width="14.42578125" customWidth="1"/>
    <col min="3332" max="3332" width="14.85546875" bestFit="1" customWidth="1"/>
    <col min="3333" max="3333" width="14.7109375" bestFit="1" customWidth="1"/>
    <col min="3334" max="3334" width="14.28515625" customWidth="1"/>
    <col min="3335" max="3335" width="15.140625" customWidth="1"/>
    <col min="3336" max="3336" width="13.42578125" bestFit="1" customWidth="1"/>
    <col min="3337" max="3337" width="14.7109375" bestFit="1" customWidth="1"/>
    <col min="3338" max="3338" width="12.7109375" customWidth="1"/>
    <col min="3340" max="3340" width="14.42578125" customWidth="1"/>
    <col min="3343" max="3343" width="12.85546875" customWidth="1"/>
    <col min="3346" max="3346" width="12" customWidth="1"/>
    <col min="3348" max="3348" width="14.42578125" customWidth="1"/>
    <col min="3585" max="3585" width="41.140625" customWidth="1"/>
    <col min="3586" max="3586" width="15.140625" customWidth="1"/>
    <col min="3587" max="3587" width="14.42578125" customWidth="1"/>
    <col min="3588" max="3588" width="14.85546875" bestFit="1" customWidth="1"/>
    <col min="3589" max="3589" width="14.7109375" bestFit="1" customWidth="1"/>
    <col min="3590" max="3590" width="14.28515625" customWidth="1"/>
    <col min="3591" max="3591" width="15.140625" customWidth="1"/>
    <col min="3592" max="3592" width="13.42578125" bestFit="1" customWidth="1"/>
    <col min="3593" max="3593" width="14.7109375" bestFit="1" customWidth="1"/>
    <col min="3594" max="3594" width="12.7109375" customWidth="1"/>
    <col min="3596" max="3596" width="14.42578125" customWidth="1"/>
    <col min="3599" max="3599" width="12.85546875" customWidth="1"/>
    <col min="3602" max="3602" width="12" customWidth="1"/>
    <col min="3604" max="3604" width="14.42578125" customWidth="1"/>
    <col min="3841" max="3841" width="41.140625" customWidth="1"/>
    <col min="3842" max="3842" width="15.140625" customWidth="1"/>
    <col min="3843" max="3843" width="14.42578125" customWidth="1"/>
    <col min="3844" max="3844" width="14.85546875" bestFit="1" customWidth="1"/>
    <col min="3845" max="3845" width="14.7109375" bestFit="1" customWidth="1"/>
    <col min="3846" max="3846" width="14.28515625" customWidth="1"/>
    <col min="3847" max="3847" width="15.140625" customWidth="1"/>
    <col min="3848" max="3848" width="13.42578125" bestFit="1" customWidth="1"/>
    <col min="3849" max="3849" width="14.7109375" bestFit="1" customWidth="1"/>
    <col min="3850" max="3850" width="12.7109375" customWidth="1"/>
    <col min="3852" max="3852" width="14.42578125" customWidth="1"/>
    <col min="3855" max="3855" width="12.85546875" customWidth="1"/>
    <col min="3858" max="3858" width="12" customWidth="1"/>
    <col min="3860" max="3860" width="14.42578125" customWidth="1"/>
    <col min="4097" max="4097" width="41.140625" customWidth="1"/>
    <col min="4098" max="4098" width="15.140625" customWidth="1"/>
    <col min="4099" max="4099" width="14.42578125" customWidth="1"/>
    <col min="4100" max="4100" width="14.85546875" bestFit="1" customWidth="1"/>
    <col min="4101" max="4101" width="14.7109375" bestFit="1" customWidth="1"/>
    <col min="4102" max="4102" width="14.28515625" customWidth="1"/>
    <col min="4103" max="4103" width="15.140625" customWidth="1"/>
    <col min="4104" max="4104" width="13.42578125" bestFit="1" customWidth="1"/>
    <col min="4105" max="4105" width="14.7109375" bestFit="1" customWidth="1"/>
    <col min="4106" max="4106" width="12.7109375" customWidth="1"/>
    <col min="4108" max="4108" width="14.42578125" customWidth="1"/>
    <col min="4111" max="4111" width="12.85546875" customWidth="1"/>
    <col min="4114" max="4114" width="12" customWidth="1"/>
    <col min="4116" max="4116" width="14.42578125" customWidth="1"/>
    <col min="4353" max="4353" width="41.140625" customWidth="1"/>
    <col min="4354" max="4354" width="15.140625" customWidth="1"/>
    <col min="4355" max="4355" width="14.42578125" customWidth="1"/>
    <col min="4356" max="4356" width="14.85546875" bestFit="1" customWidth="1"/>
    <col min="4357" max="4357" width="14.7109375" bestFit="1" customWidth="1"/>
    <col min="4358" max="4358" width="14.28515625" customWidth="1"/>
    <col min="4359" max="4359" width="15.140625" customWidth="1"/>
    <col min="4360" max="4360" width="13.42578125" bestFit="1" customWidth="1"/>
    <col min="4361" max="4361" width="14.7109375" bestFit="1" customWidth="1"/>
    <col min="4362" max="4362" width="12.7109375" customWidth="1"/>
    <col min="4364" max="4364" width="14.42578125" customWidth="1"/>
    <col min="4367" max="4367" width="12.85546875" customWidth="1"/>
    <col min="4370" max="4370" width="12" customWidth="1"/>
    <col min="4372" max="4372" width="14.42578125" customWidth="1"/>
    <col min="4609" max="4609" width="41.140625" customWidth="1"/>
    <col min="4610" max="4610" width="15.140625" customWidth="1"/>
    <col min="4611" max="4611" width="14.42578125" customWidth="1"/>
    <col min="4612" max="4612" width="14.85546875" bestFit="1" customWidth="1"/>
    <col min="4613" max="4613" width="14.7109375" bestFit="1" customWidth="1"/>
    <col min="4614" max="4614" width="14.28515625" customWidth="1"/>
    <col min="4615" max="4615" width="15.140625" customWidth="1"/>
    <col min="4616" max="4616" width="13.42578125" bestFit="1" customWidth="1"/>
    <col min="4617" max="4617" width="14.7109375" bestFit="1" customWidth="1"/>
    <col min="4618" max="4618" width="12.7109375" customWidth="1"/>
    <col min="4620" max="4620" width="14.42578125" customWidth="1"/>
    <col min="4623" max="4623" width="12.85546875" customWidth="1"/>
    <col min="4626" max="4626" width="12" customWidth="1"/>
    <col min="4628" max="4628" width="14.42578125" customWidth="1"/>
    <col min="4865" max="4865" width="41.140625" customWidth="1"/>
    <col min="4866" max="4866" width="15.140625" customWidth="1"/>
    <col min="4867" max="4867" width="14.42578125" customWidth="1"/>
    <col min="4868" max="4868" width="14.85546875" bestFit="1" customWidth="1"/>
    <col min="4869" max="4869" width="14.7109375" bestFit="1" customWidth="1"/>
    <col min="4870" max="4870" width="14.28515625" customWidth="1"/>
    <col min="4871" max="4871" width="15.140625" customWidth="1"/>
    <col min="4872" max="4872" width="13.42578125" bestFit="1" customWidth="1"/>
    <col min="4873" max="4873" width="14.7109375" bestFit="1" customWidth="1"/>
    <col min="4874" max="4874" width="12.7109375" customWidth="1"/>
    <col min="4876" max="4876" width="14.42578125" customWidth="1"/>
    <col min="4879" max="4879" width="12.85546875" customWidth="1"/>
    <col min="4882" max="4882" width="12" customWidth="1"/>
    <col min="4884" max="4884" width="14.42578125" customWidth="1"/>
    <col min="5121" max="5121" width="41.140625" customWidth="1"/>
    <col min="5122" max="5122" width="15.140625" customWidth="1"/>
    <col min="5123" max="5123" width="14.42578125" customWidth="1"/>
    <col min="5124" max="5124" width="14.85546875" bestFit="1" customWidth="1"/>
    <col min="5125" max="5125" width="14.7109375" bestFit="1" customWidth="1"/>
    <col min="5126" max="5126" width="14.28515625" customWidth="1"/>
    <col min="5127" max="5127" width="15.140625" customWidth="1"/>
    <col min="5128" max="5128" width="13.42578125" bestFit="1" customWidth="1"/>
    <col min="5129" max="5129" width="14.7109375" bestFit="1" customWidth="1"/>
    <col min="5130" max="5130" width="12.7109375" customWidth="1"/>
    <col min="5132" max="5132" width="14.42578125" customWidth="1"/>
    <col min="5135" max="5135" width="12.85546875" customWidth="1"/>
    <col min="5138" max="5138" width="12" customWidth="1"/>
    <col min="5140" max="5140" width="14.42578125" customWidth="1"/>
    <col min="5377" max="5377" width="41.140625" customWidth="1"/>
    <col min="5378" max="5378" width="15.140625" customWidth="1"/>
    <col min="5379" max="5379" width="14.42578125" customWidth="1"/>
    <col min="5380" max="5380" width="14.85546875" bestFit="1" customWidth="1"/>
    <col min="5381" max="5381" width="14.7109375" bestFit="1" customWidth="1"/>
    <col min="5382" max="5382" width="14.28515625" customWidth="1"/>
    <col min="5383" max="5383" width="15.140625" customWidth="1"/>
    <col min="5384" max="5384" width="13.42578125" bestFit="1" customWidth="1"/>
    <col min="5385" max="5385" width="14.7109375" bestFit="1" customWidth="1"/>
    <col min="5386" max="5386" width="12.7109375" customWidth="1"/>
    <col min="5388" max="5388" width="14.42578125" customWidth="1"/>
    <col min="5391" max="5391" width="12.85546875" customWidth="1"/>
    <col min="5394" max="5394" width="12" customWidth="1"/>
    <col min="5396" max="5396" width="14.42578125" customWidth="1"/>
    <col min="5633" max="5633" width="41.140625" customWidth="1"/>
    <col min="5634" max="5634" width="15.140625" customWidth="1"/>
    <col min="5635" max="5635" width="14.42578125" customWidth="1"/>
    <col min="5636" max="5636" width="14.85546875" bestFit="1" customWidth="1"/>
    <col min="5637" max="5637" width="14.7109375" bestFit="1" customWidth="1"/>
    <col min="5638" max="5638" width="14.28515625" customWidth="1"/>
    <col min="5639" max="5639" width="15.140625" customWidth="1"/>
    <col min="5640" max="5640" width="13.42578125" bestFit="1" customWidth="1"/>
    <col min="5641" max="5641" width="14.7109375" bestFit="1" customWidth="1"/>
    <col min="5642" max="5642" width="12.7109375" customWidth="1"/>
    <col min="5644" max="5644" width="14.42578125" customWidth="1"/>
    <col min="5647" max="5647" width="12.85546875" customWidth="1"/>
    <col min="5650" max="5650" width="12" customWidth="1"/>
    <col min="5652" max="5652" width="14.42578125" customWidth="1"/>
    <col min="5889" max="5889" width="41.140625" customWidth="1"/>
    <col min="5890" max="5890" width="15.140625" customWidth="1"/>
    <col min="5891" max="5891" width="14.42578125" customWidth="1"/>
    <col min="5892" max="5892" width="14.85546875" bestFit="1" customWidth="1"/>
    <col min="5893" max="5893" width="14.7109375" bestFit="1" customWidth="1"/>
    <col min="5894" max="5894" width="14.28515625" customWidth="1"/>
    <col min="5895" max="5895" width="15.140625" customWidth="1"/>
    <col min="5896" max="5896" width="13.42578125" bestFit="1" customWidth="1"/>
    <col min="5897" max="5897" width="14.7109375" bestFit="1" customWidth="1"/>
    <col min="5898" max="5898" width="12.7109375" customWidth="1"/>
    <col min="5900" max="5900" width="14.42578125" customWidth="1"/>
    <col min="5903" max="5903" width="12.85546875" customWidth="1"/>
    <col min="5906" max="5906" width="12" customWidth="1"/>
    <col min="5908" max="5908" width="14.42578125" customWidth="1"/>
    <col min="6145" max="6145" width="41.140625" customWidth="1"/>
    <col min="6146" max="6146" width="15.140625" customWidth="1"/>
    <col min="6147" max="6147" width="14.42578125" customWidth="1"/>
    <col min="6148" max="6148" width="14.85546875" bestFit="1" customWidth="1"/>
    <col min="6149" max="6149" width="14.7109375" bestFit="1" customWidth="1"/>
    <col min="6150" max="6150" width="14.28515625" customWidth="1"/>
    <col min="6151" max="6151" width="15.140625" customWidth="1"/>
    <col min="6152" max="6152" width="13.42578125" bestFit="1" customWidth="1"/>
    <col min="6153" max="6153" width="14.7109375" bestFit="1" customWidth="1"/>
    <col min="6154" max="6154" width="12.7109375" customWidth="1"/>
    <col min="6156" max="6156" width="14.42578125" customWidth="1"/>
    <col min="6159" max="6159" width="12.85546875" customWidth="1"/>
    <col min="6162" max="6162" width="12" customWidth="1"/>
    <col min="6164" max="6164" width="14.42578125" customWidth="1"/>
    <col min="6401" max="6401" width="41.140625" customWidth="1"/>
    <col min="6402" max="6402" width="15.140625" customWidth="1"/>
    <col min="6403" max="6403" width="14.42578125" customWidth="1"/>
    <col min="6404" max="6404" width="14.85546875" bestFit="1" customWidth="1"/>
    <col min="6405" max="6405" width="14.7109375" bestFit="1" customWidth="1"/>
    <col min="6406" max="6406" width="14.28515625" customWidth="1"/>
    <col min="6407" max="6407" width="15.140625" customWidth="1"/>
    <col min="6408" max="6408" width="13.42578125" bestFit="1" customWidth="1"/>
    <col min="6409" max="6409" width="14.7109375" bestFit="1" customWidth="1"/>
    <col min="6410" max="6410" width="12.7109375" customWidth="1"/>
    <col min="6412" max="6412" width="14.42578125" customWidth="1"/>
    <col min="6415" max="6415" width="12.85546875" customWidth="1"/>
    <col min="6418" max="6418" width="12" customWidth="1"/>
    <col min="6420" max="6420" width="14.42578125" customWidth="1"/>
    <col min="6657" max="6657" width="41.140625" customWidth="1"/>
    <col min="6658" max="6658" width="15.140625" customWidth="1"/>
    <col min="6659" max="6659" width="14.42578125" customWidth="1"/>
    <col min="6660" max="6660" width="14.85546875" bestFit="1" customWidth="1"/>
    <col min="6661" max="6661" width="14.7109375" bestFit="1" customWidth="1"/>
    <col min="6662" max="6662" width="14.28515625" customWidth="1"/>
    <col min="6663" max="6663" width="15.140625" customWidth="1"/>
    <col min="6664" max="6664" width="13.42578125" bestFit="1" customWidth="1"/>
    <col min="6665" max="6665" width="14.7109375" bestFit="1" customWidth="1"/>
    <col min="6666" max="6666" width="12.7109375" customWidth="1"/>
    <col min="6668" max="6668" width="14.42578125" customWidth="1"/>
    <col min="6671" max="6671" width="12.85546875" customWidth="1"/>
    <col min="6674" max="6674" width="12" customWidth="1"/>
    <col min="6676" max="6676" width="14.42578125" customWidth="1"/>
    <col min="6913" max="6913" width="41.140625" customWidth="1"/>
    <col min="6914" max="6914" width="15.140625" customWidth="1"/>
    <col min="6915" max="6915" width="14.42578125" customWidth="1"/>
    <col min="6916" max="6916" width="14.85546875" bestFit="1" customWidth="1"/>
    <col min="6917" max="6917" width="14.7109375" bestFit="1" customWidth="1"/>
    <col min="6918" max="6918" width="14.28515625" customWidth="1"/>
    <col min="6919" max="6919" width="15.140625" customWidth="1"/>
    <col min="6920" max="6920" width="13.42578125" bestFit="1" customWidth="1"/>
    <col min="6921" max="6921" width="14.7109375" bestFit="1" customWidth="1"/>
    <col min="6922" max="6922" width="12.7109375" customWidth="1"/>
    <col min="6924" max="6924" width="14.42578125" customWidth="1"/>
    <col min="6927" max="6927" width="12.85546875" customWidth="1"/>
    <col min="6930" max="6930" width="12" customWidth="1"/>
    <col min="6932" max="6932" width="14.42578125" customWidth="1"/>
    <col min="7169" max="7169" width="41.140625" customWidth="1"/>
    <col min="7170" max="7170" width="15.140625" customWidth="1"/>
    <col min="7171" max="7171" width="14.42578125" customWidth="1"/>
    <col min="7172" max="7172" width="14.85546875" bestFit="1" customWidth="1"/>
    <col min="7173" max="7173" width="14.7109375" bestFit="1" customWidth="1"/>
    <col min="7174" max="7174" width="14.28515625" customWidth="1"/>
    <col min="7175" max="7175" width="15.140625" customWidth="1"/>
    <col min="7176" max="7176" width="13.42578125" bestFit="1" customWidth="1"/>
    <col min="7177" max="7177" width="14.7109375" bestFit="1" customWidth="1"/>
    <col min="7178" max="7178" width="12.7109375" customWidth="1"/>
    <col min="7180" max="7180" width="14.42578125" customWidth="1"/>
    <col min="7183" max="7183" width="12.85546875" customWidth="1"/>
    <col min="7186" max="7186" width="12" customWidth="1"/>
    <col min="7188" max="7188" width="14.42578125" customWidth="1"/>
    <col min="7425" max="7425" width="41.140625" customWidth="1"/>
    <col min="7426" max="7426" width="15.140625" customWidth="1"/>
    <col min="7427" max="7427" width="14.42578125" customWidth="1"/>
    <col min="7428" max="7428" width="14.85546875" bestFit="1" customWidth="1"/>
    <col min="7429" max="7429" width="14.7109375" bestFit="1" customWidth="1"/>
    <col min="7430" max="7430" width="14.28515625" customWidth="1"/>
    <col min="7431" max="7431" width="15.140625" customWidth="1"/>
    <col min="7432" max="7432" width="13.42578125" bestFit="1" customWidth="1"/>
    <col min="7433" max="7433" width="14.7109375" bestFit="1" customWidth="1"/>
    <col min="7434" max="7434" width="12.7109375" customWidth="1"/>
    <col min="7436" max="7436" width="14.42578125" customWidth="1"/>
    <col min="7439" max="7439" width="12.85546875" customWidth="1"/>
    <col min="7442" max="7442" width="12" customWidth="1"/>
    <col min="7444" max="7444" width="14.42578125" customWidth="1"/>
    <col min="7681" max="7681" width="41.140625" customWidth="1"/>
    <col min="7682" max="7682" width="15.140625" customWidth="1"/>
    <col min="7683" max="7683" width="14.42578125" customWidth="1"/>
    <col min="7684" max="7684" width="14.85546875" bestFit="1" customWidth="1"/>
    <col min="7685" max="7685" width="14.7109375" bestFit="1" customWidth="1"/>
    <col min="7686" max="7686" width="14.28515625" customWidth="1"/>
    <col min="7687" max="7687" width="15.140625" customWidth="1"/>
    <col min="7688" max="7688" width="13.42578125" bestFit="1" customWidth="1"/>
    <col min="7689" max="7689" width="14.7109375" bestFit="1" customWidth="1"/>
    <col min="7690" max="7690" width="12.7109375" customWidth="1"/>
    <col min="7692" max="7692" width="14.42578125" customWidth="1"/>
    <col min="7695" max="7695" width="12.85546875" customWidth="1"/>
    <col min="7698" max="7698" width="12" customWidth="1"/>
    <col min="7700" max="7700" width="14.42578125" customWidth="1"/>
    <col min="7937" max="7937" width="41.140625" customWidth="1"/>
    <col min="7938" max="7938" width="15.140625" customWidth="1"/>
    <col min="7939" max="7939" width="14.42578125" customWidth="1"/>
    <col min="7940" max="7940" width="14.85546875" bestFit="1" customWidth="1"/>
    <col min="7941" max="7941" width="14.7109375" bestFit="1" customWidth="1"/>
    <col min="7942" max="7942" width="14.28515625" customWidth="1"/>
    <col min="7943" max="7943" width="15.140625" customWidth="1"/>
    <col min="7944" max="7944" width="13.42578125" bestFit="1" customWidth="1"/>
    <col min="7945" max="7945" width="14.7109375" bestFit="1" customWidth="1"/>
    <col min="7946" max="7946" width="12.7109375" customWidth="1"/>
    <col min="7948" max="7948" width="14.42578125" customWidth="1"/>
    <col min="7951" max="7951" width="12.85546875" customWidth="1"/>
    <col min="7954" max="7954" width="12" customWidth="1"/>
    <col min="7956" max="7956" width="14.42578125" customWidth="1"/>
    <col min="8193" max="8193" width="41.140625" customWidth="1"/>
    <col min="8194" max="8194" width="15.140625" customWidth="1"/>
    <col min="8195" max="8195" width="14.42578125" customWidth="1"/>
    <col min="8196" max="8196" width="14.85546875" bestFit="1" customWidth="1"/>
    <col min="8197" max="8197" width="14.7109375" bestFit="1" customWidth="1"/>
    <col min="8198" max="8198" width="14.28515625" customWidth="1"/>
    <col min="8199" max="8199" width="15.140625" customWidth="1"/>
    <col min="8200" max="8200" width="13.42578125" bestFit="1" customWidth="1"/>
    <col min="8201" max="8201" width="14.7109375" bestFit="1" customWidth="1"/>
    <col min="8202" max="8202" width="12.7109375" customWidth="1"/>
    <col min="8204" max="8204" width="14.42578125" customWidth="1"/>
    <col min="8207" max="8207" width="12.85546875" customWidth="1"/>
    <col min="8210" max="8210" width="12" customWidth="1"/>
    <col min="8212" max="8212" width="14.42578125" customWidth="1"/>
    <col min="8449" max="8449" width="41.140625" customWidth="1"/>
    <col min="8450" max="8450" width="15.140625" customWidth="1"/>
    <col min="8451" max="8451" width="14.42578125" customWidth="1"/>
    <col min="8452" max="8452" width="14.85546875" bestFit="1" customWidth="1"/>
    <col min="8453" max="8453" width="14.7109375" bestFit="1" customWidth="1"/>
    <col min="8454" max="8454" width="14.28515625" customWidth="1"/>
    <col min="8455" max="8455" width="15.140625" customWidth="1"/>
    <col min="8456" max="8456" width="13.42578125" bestFit="1" customWidth="1"/>
    <col min="8457" max="8457" width="14.7109375" bestFit="1" customWidth="1"/>
    <col min="8458" max="8458" width="12.7109375" customWidth="1"/>
    <col min="8460" max="8460" width="14.42578125" customWidth="1"/>
    <col min="8463" max="8463" width="12.85546875" customWidth="1"/>
    <col min="8466" max="8466" width="12" customWidth="1"/>
    <col min="8468" max="8468" width="14.42578125" customWidth="1"/>
    <col min="8705" max="8705" width="41.140625" customWidth="1"/>
    <col min="8706" max="8706" width="15.140625" customWidth="1"/>
    <col min="8707" max="8707" width="14.42578125" customWidth="1"/>
    <col min="8708" max="8708" width="14.85546875" bestFit="1" customWidth="1"/>
    <col min="8709" max="8709" width="14.7109375" bestFit="1" customWidth="1"/>
    <col min="8710" max="8710" width="14.28515625" customWidth="1"/>
    <col min="8711" max="8711" width="15.140625" customWidth="1"/>
    <col min="8712" max="8712" width="13.42578125" bestFit="1" customWidth="1"/>
    <col min="8713" max="8713" width="14.7109375" bestFit="1" customWidth="1"/>
    <col min="8714" max="8714" width="12.7109375" customWidth="1"/>
    <col min="8716" max="8716" width="14.42578125" customWidth="1"/>
    <col min="8719" max="8719" width="12.85546875" customWidth="1"/>
    <col min="8722" max="8722" width="12" customWidth="1"/>
    <col min="8724" max="8724" width="14.42578125" customWidth="1"/>
    <col min="8961" max="8961" width="41.140625" customWidth="1"/>
    <col min="8962" max="8962" width="15.140625" customWidth="1"/>
    <col min="8963" max="8963" width="14.42578125" customWidth="1"/>
    <col min="8964" max="8964" width="14.85546875" bestFit="1" customWidth="1"/>
    <col min="8965" max="8965" width="14.7109375" bestFit="1" customWidth="1"/>
    <col min="8966" max="8966" width="14.28515625" customWidth="1"/>
    <col min="8967" max="8967" width="15.140625" customWidth="1"/>
    <col min="8968" max="8968" width="13.42578125" bestFit="1" customWidth="1"/>
    <col min="8969" max="8969" width="14.7109375" bestFit="1" customWidth="1"/>
    <col min="8970" max="8970" width="12.7109375" customWidth="1"/>
    <col min="8972" max="8972" width="14.42578125" customWidth="1"/>
    <col min="8975" max="8975" width="12.85546875" customWidth="1"/>
    <col min="8978" max="8978" width="12" customWidth="1"/>
    <col min="8980" max="8980" width="14.42578125" customWidth="1"/>
    <col min="9217" max="9217" width="41.140625" customWidth="1"/>
    <col min="9218" max="9218" width="15.140625" customWidth="1"/>
    <col min="9219" max="9219" width="14.42578125" customWidth="1"/>
    <col min="9220" max="9220" width="14.85546875" bestFit="1" customWidth="1"/>
    <col min="9221" max="9221" width="14.7109375" bestFit="1" customWidth="1"/>
    <col min="9222" max="9222" width="14.28515625" customWidth="1"/>
    <col min="9223" max="9223" width="15.140625" customWidth="1"/>
    <col min="9224" max="9224" width="13.42578125" bestFit="1" customWidth="1"/>
    <col min="9225" max="9225" width="14.7109375" bestFit="1" customWidth="1"/>
    <col min="9226" max="9226" width="12.7109375" customWidth="1"/>
    <col min="9228" max="9228" width="14.42578125" customWidth="1"/>
    <col min="9231" max="9231" width="12.85546875" customWidth="1"/>
    <col min="9234" max="9234" width="12" customWidth="1"/>
    <col min="9236" max="9236" width="14.42578125" customWidth="1"/>
    <col min="9473" max="9473" width="41.140625" customWidth="1"/>
    <col min="9474" max="9474" width="15.140625" customWidth="1"/>
    <col min="9475" max="9475" width="14.42578125" customWidth="1"/>
    <col min="9476" max="9476" width="14.85546875" bestFit="1" customWidth="1"/>
    <col min="9477" max="9477" width="14.7109375" bestFit="1" customWidth="1"/>
    <col min="9478" max="9478" width="14.28515625" customWidth="1"/>
    <col min="9479" max="9479" width="15.140625" customWidth="1"/>
    <col min="9480" max="9480" width="13.42578125" bestFit="1" customWidth="1"/>
    <col min="9481" max="9481" width="14.7109375" bestFit="1" customWidth="1"/>
    <col min="9482" max="9482" width="12.7109375" customWidth="1"/>
    <col min="9484" max="9484" width="14.42578125" customWidth="1"/>
    <col min="9487" max="9487" width="12.85546875" customWidth="1"/>
    <col min="9490" max="9490" width="12" customWidth="1"/>
    <col min="9492" max="9492" width="14.42578125" customWidth="1"/>
    <col min="9729" max="9729" width="41.140625" customWidth="1"/>
    <col min="9730" max="9730" width="15.140625" customWidth="1"/>
    <col min="9731" max="9731" width="14.42578125" customWidth="1"/>
    <col min="9732" max="9732" width="14.85546875" bestFit="1" customWidth="1"/>
    <col min="9733" max="9733" width="14.7109375" bestFit="1" customWidth="1"/>
    <col min="9734" max="9734" width="14.28515625" customWidth="1"/>
    <col min="9735" max="9735" width="15.140625" customWidth="1"/>
    <col min="9736" max="9736" width="13.42578125" bestFit="1" customWidth="1"/>
    <col min="9737" max="9737" width="14.7109375" bestFit="1" customWidth="1"/>
    <col min="9738" max="9738" width="12.7109375" customWidth="1"/>
    <col min="9740" max="9740" width="14.42578125" customWidth="1"/>
    <col min="9743" max="9743" width="12.85546875" customWidth="1"/>
    <col min="9746" max="9746" width="12" customWidth="1"/>
    <col min="9748" max="9748" width="14.42578125" customWidth="1"/>
    <col min="9985" max="9985" width="41.140625" customWidth="1"/>
    <col min="9986" max="9986" width="15.140625" customWidth="1"/>
    <col min="9987" max="9987" width="14.42578125" customWidth="1"/>
    <col min="9988" max="9988" width="14.85546875" bestFit="1" customWidth="1"/>
    <col min="9989" max="9989" width="14.7109375" bestFit="1" customWidth="1"/>
    <col min="9990" max="9990" width="14.28515625" customWidth="1"/>
    <col min="9991" max="9991" width="15.140625" customWidth="1"/>
    <col min="9992" max="9992" width="13.42578125" bestFit="1" customWidth="1"/>
    <col min="9993" max="9993" width="14.7109375" bestFit="1" customWidth="1"/>
    <col min="9994" max="9994" width="12.7109375" customWidth="1"/>
    <col min="9996" max="9996" width="14.42578125" customWidth="1"/>
    <col min="9999" max="9999" width="12.85546875" customWidth="1"/>
    <col min="10002" max="10002" width="12" customWidth="1"/>
    <col min="10004" max="10004" width="14.42578125" customWidth="1"/>
    <col min="10241" max="10241" width="41.140625" customWidth="1"/>
    <col min="10242" max="10242" width="15.140625" customWidth="1"/>
    <col min="10243" max="10243" width="14.42578125" customWidth="1"/>
    <col min="10244" max="10244" width="14.85546875" bestFit="1" customWidth="1"/>
    <col min="10245" max="10245" width="14.7109375" bestFit="1" customWidth="1"/>
    <col min="10246" max="10246" width="14.28515625" customWidth="1"/>
    <col min="10247" max="10247" width="15.140625" customWidth="1"/>
    <col min="10248" max="10248" width="13.42578125" bestFit="1" customWidth="1"/>
    <col min="10249" max="10249" width="14.7109375" bestFit="1" customWidth="1"/>
    <col min="10250" max="10250" width="12.7109375" customWidth="1"/>
    <col min="10252" max="10252" width="14.42578125" customWidth="1"/>
    <col min="10255" max="10255" width="12.85546875" customWidth="1"/>
    <col min="10258" max="10258" width="12" customWidth="1"/>
    <col min="10260" max="10260" width="14.42578125" customWidth="1"/>
    <col min="10497" max="10497" width="41.140625" customWidth="1"/>
    <col min="10498" max="10498" width="15.140625" customWidth="1"/>
    <col min="10499" max="10499" width="14.42578125" customWidth="1"/>
    <col min="10500" max="10500" width="14.85546875" bestFit="1" customWidth="1"/>
    <col min="10501" max="10501" width="14.7109375" bestFit="1" customWidth="1"/>
    <col min="10502" max="10502" width="14.28515625" customWidth="1"/>
    <col min="10503" max="10503" width="15.140625" customWidth="1"/>
    <col min="10504" max="10504" width="13.42578125" bestFit="1" customWidth="1"/>
    <col min="10505" max="10505" width="14.7109375" bestFit="1" customWidth="1"/>
    <col min="10506" max="10506" width="12.7109375" customWidth="1"/>
    <col min="10508" max="10508" width="14.42578125" customWidth="1"/>
    <col min="10511" max="10511" width="12.85546875" customWidth="1"/>
    <col min="10514" max="10514" width="12" customWidth="1"/>
    <col min="10516" max="10516" width="14.42578125" customWidth="1"/>
    <col min="10753" max="10753" width="41.140625" customWidth="1"/>
    <col min="10754" max="10754" width="15.140625" customWidth="1"/>
    <col min="10755" max="10755" width="14.42578125" customWidth="1"/>
    <col min="10756" max="10756" width="14.85546875" bestFit="1" customWidth="1"/>
    <col min="10757" max="10757" width="14.7109375" bestFit="1" customWidth="1"/>
    <col min="10758" max="10758" width="14.28515625" customWidth="1"/>
    <col min="10759" max="10759" width="15.140625" customWidth="1"/>
    <col min="10760" max="10760" width="13.42578125" bestFit="1" customWidth="1"/>
    <col min="10761" max="10761" width="14.7109375" bestFit="1" customWidth="1"/>
    <col min="10762" max="10762" width="12.7109375" customWidth="1"/>
    <col min="10764" max="10764" width="14.42578125" customWidth="1"/>
    <col min="10767" max="10767" width="12.85546875" customWidth="1"/>
    <col min="10770" max="10770" width="12" customWidth="1"/>
    <col min="10772" max="10772" width="14.42578125" customWidth="1"/>
    <col min="11009" max="11009" width="41.140625" customWidth="1"/>
    <col min="11010" max="11010" width="15.140625" customWidth="1"/>
    <col min="11011" max="11011" width="14.42578125" customWidth="1"/>
    <col min="11012" max="11012" width="14.85546875" bestFit="1" customWidth="1"/>
    <col min="11013" max="11013" width="14.7109375" bestFit="1" customWidth="1"/>
    <col min="11014" max="11014" width="14.28515625" customWidth="1"/>
    <col min="11015" max="11015" width="15.140625" customWidth="1"/>
    <col min="11016" max="11016" width="13.42578125" bestFit="1" customWidth="1"/>
    <col min="11017" max="11017" width="14.7109375" bestFit="1" customWidth="1"/>
    <col min="11018" max="11018" width="12.7109375" customWidth="1"/>
    <col min="11020" max="11020" width="14.42578125" customWidth="1"/>
    <col min="11023" max="11023" width="12.85546875" customWidth="1"/>
    <col min="11026" max="11026" width="12" customWidth="1"/>
    <col min="11028" max="11028" width="14.42578125" customWidth="1"/>
    <col min="11265" max="11265" width="41.140625" customWidth="1"/>
    <col min="11266" max="11266" width="15.140625" customWidth="1"/>
    <col min="11267" max="11267" width="14.42578125" customWidth="1"/>
    <col min="11268" max="11268" width="14.85546875" bestFit="1" customWidth="1"/>
    <col min="11269" max="11269" width="14.7109375" bestFit="1" customWidth="1"/>
    <col min="11270" max="11270" width="14.28515625" customWidth="1"/>
    <col min="11271" max="11271" width="15.140625" customWidth="1"/>
    <col min="11272" max="11272" width="13.42578125" bestFit="1" customWidth="1"/>
    <col min="11273" max="11273" width="14.7109375" bestFit="1" customWidth="1"/>
    <col min="11274" max="11274" width="12.7109375" customWidth="1"/>
    <col min="11276" max="11276" width="14.42578125" customWidth="1"/>
    <col min="11279" max="11279" width="12.85546875" customWidth="1"/>
    <col min="11282" max="11282" width="12" customWidth="1"/>
    <col min="11284" max="11284" width="14.42578125" customWidth="1"/>
    <col min="11521" max="11521" width="41.140625" customWidth="1"/>
    <col min="11522" max="11522" width="15.140625" customWidth="1"/>
    <col min="11523" max="11523" width="14.42578125" customWidth="1"/>
    <col min="11524" max="11524" width="14.85546875" bestFit="1" customWidth="1"/>
    <col min="11525" max="11525" width="14.7109375" bestFit="1" customWidth="1"/>
    <col min="11526" max="11526" width="14.28515625" customWidth="1"/>
    <col min="11527" max="11527" width="15.140625" customWidth="1"/>
    <col min="11528" max="11528" width="13.42578125" bestFit="1" customWidth="1"/>
    <col min="11529" max="11529" width="14.7109375" bestFit="1" customWidth="1"/>
    <col min="11530" max="11530" width="12.7109375" customWidth="1"/>
    <col min="11532" max="11532" width="14.42578125" customWidth="1"/>
    <col min="11535" max="11535" width="12.85546875" customWidth="1"/>
    <col min="11538" max="11538" width="12" customWidth="1"/>
    <col min="11540" max="11540" width="14.42578125" customWidth="1"/>
    <col min="11777" max="11777" width="41.140625" customWidth="1"/>
    <col min="11778" max="11778" width="15.140625" customWidth="1"/>
    <col min="11779" max="11779" width="14.42578125" customWidth="1"/>
    <col min="11780" max="11780" width="14.85546875" bestFit="1" customWidth="1"/>
    <col min="11781" max="11781" width="14.7109375" bestFit="1" customWidth="1"/>
    <col min="11782" max="11782" width="14.28515625" customWidth="1"/>
    <col min="11783" max="11783" width="15.140625" customWidth="1"/>
    <col min="11784" max="11784" width="13.42578125" bestFit="1" customWidth="1"/>
    <col min="11785" max="11785" width="14.7109375" bestFit="1" customWidth="1"/>
    <col min="11786" max="11786" width="12.7109375" customWidth="1"/>
    <col min="11788" max="11788" width="14.42578125" customWidth="1"/>
    <col min="11791" max="11791" width="12.85546875" customWidth="1"/>
    <col min="11794" max="11794" width="12" customWidth="1"/>
    <col min="11796" max="11796" width="14.42578125" customWidth="1"/>
    <col min="12033" max="12033" width="41.140625" customWidth="1"/>
    <col min="12034" max="12034" width="15.140625" customWidth="1"/>
    <col min="12035" max="12035" width="14.42578125" customWidth="1"/>
    <col min="12036" max="12036" width="14.85546875" bestFit="1" customWidth="1"/>
    <col min="12037" max="12037" width="14.7109375" bestFit="1" customWidth="1"/>
    <col min="12038" max="12038" width="14.28515625" customWidth="1"/>
    <col min="12039" max="12039" width="15.140625" customWidth="1"/>
    <col min="12040" max="12040" width="13.42578125" bestFit="1" customWidth="1"/>
    <col min="12041" max="12041" width="14.7109375" bestFit="1" customWidth="1"/>
    <col min="12042" max="12042" width="12.7109375" customWidth="1"/>
    <col min="12044" max="12044" width="14.42578125" customWidth="1"/>
    <col min="12047" max="12047" width="12.85546875" customWidth="1"/>
    <col min="12050" max="12050" width="12" customWidth="1"/>
    <col min="12052" max="12052" width="14.42578125" customWidth="1"/>
    <col min="12289" max="12289" width="41.140625" customWidth="1"/>
    <col min="12290" max="12290" width="15.140625" customWidth="1"/>
    <col min="12291" max="12291" width="14.42578125" customWidth="1"/>
    <col min="12292" max="12292" width="14.85546875" bestFit="1" customWidth="1"/>
    <col min="12293" max="12293" width="14.7109375" bestFit="1" customWidth="1"/>
    <col min="12294" max="12294" width="14.28515625" customWidth="1"/>
    <col min="12295" max="12295" width="15.140625" customWidth="1"/>
    <col min="12296" max="12296" width="13.42578125" bestFit="1" customWidth="1"/>
    <col min="12297" max="12297" width="14.7109375" bestFit="1" customWidth="1"/>
    <col min="12298" max="12298" width="12.7109375" customWidth="1"/>
    <col min="12300" max="12300" width="14.42578125" customWidth="1"/>
    <col min="12303" max="12303" width="12.85546875" customWidth="1"/>
    <col min="12306" max="12306" width="12" customWidth="1"/>
    <col min="12308" max="12308" width="14.42578125" customWidth="1"/>
    <col min="12545" max="12545" width="41.140625" customWidth="1"/>
    <col min="12546" max="12546" width="15.140625" customWidth="1"/>
    <col min="12547" max="12547" width="14.42578125" customWidth="1"/>
    <col min="12548" max="12548" width="14.85546875" bestFit="1" customWidth="1"/>
    <col min="12549" max="12549" width="14.7109375" bestFit="1" customWidth="1"/>
    <col min="12550" max="12550" width="14.28515625" customWidth="1"/>
    <col min="12551" max="12551" width="15.140625" customWidth="1"/>
    <col min="12552" max="12552" width="13.42578125" bestFit="1" customWidth="1"/>
    <col min="12553" max="12553" width="14.7109375" bestFit="1" customWidth="1"/>
    <col min="12554" max="12554" width="12.7109375" customWidth="1"/>
    <col min="12556" max="12556" width="14.42578125" customWidth="1"/>
    <col min="12559" max="12559" width="12.85546875" customWidth="1"/>
    <col min="12562" max="12562" width="12" customWidth="1"/>
    <col min="12564" max="12564" width="14.42578125" customWidth="1"/>
    <col min="12801" max="12801" width="41.140625" customWidth="1"/>
    <col min="12802" max="12802" width="15.140625" customWidth="1"/>
    <col min="12803" max="12803" width="14.42578125" customWidth="1"/>
    <col min="12804" max="12804" width="14.85546875" bestFit="1" customWidth="1"/>
    <col min="12805" max="12805" width="14.7109375" bestFit="1" customWidth="1"/>
    <col min="12806" max="12806" width="14.28515625" customWidth="1"/>
    <col min="12807" max="12807" width="15.140625" customWidth="1"/>
    <col min="12808" max="12808" width="13.42578125" bestFit="1" customWidth="1"/>
    <col min="12809" max="12809" width="14.7109375" bestFit="1" customWidth="1"/>
    <col min="12810" max="12810" width="12.7109375" customWidth="1"/>
    <col min="12812" max="12812" width="14.42578125" customWidth="1"/>
    <col min="12815" max="12815" width="12.85546875" customWidth="1"/>
    <col min="12818" max="12818" width="12" customWidth="1"/>
    <col min="12820" max="12820" width="14.42578125" customWidth="1"/>
    <col min="13057" max="13057" width="41.140625" customWidth="1"/>
    <col min="13058" max="13058" width="15.140625" customWidth="1"/>
    <col min="13059" max="13059" width="14.42578125" customWidth="1"/>
    <col min="13060" max="13060" width="14.85546875" bestFit="1" customWidth="1"/>
    <col min="13061" max="13061" width="14.7109375" bestFit="1" customWidth="1"/>
    <col min="13062" max="13062" width="14.28515625" customWidth="1"/>
    <col min="13063" max="13063" width="15.140625" customWidth="1"/>
    <col min="13064" max="13064" width="13.42578125" bestFit="1" customWidth="1"/>
    <col min="13065" max="13065" width="14.7109375" bestFit="1" customWidth="1"/>
    <col min="13066" max="13066" width="12.7109375" customWidth="1"/>
    <col min="13068" max="13068" width="14.42578125" customWidth="1"/>
    <col min="13071" max="13071" width="12.85546875" customWidth="1"/>
    <col min="13074" max="13074" width="12" customWidth="1"/>
    <col min="13076" max="13076" width="14.42578125" customWidth="1"/>
    <col min="13313" max="13313" width="41.140625" customWidth="1"/>
    <col min="13314" max="13314" width="15.140625" customWidth="1"/>
    <col min="13315" max="13315" width="14.42578125" customWidth="1"/>
    <col min="13316" max="13316" width="14.85546875" bestFit="1" customWidth="1"/>
    <col min="13317" max="13317" width="14.7109375" bestFit="1" customWidth="1"/>
    <col min="13318" max="13318" width="14.28515625" customWidth="1"/>
    <col min="13319" max="13319" width="15.140625" customWidth="1"/>
    <col min="13320" max="13320" width="13.42578125" bestFit="1" customWidth="1"/>
    <col min="13321" max="13321" width="14.7109375" bestFit="1" customWidth="1"/>
    <col min="13322" max="13322" width="12.7109375" customWidth="1"/>
    <col min="13324" max="13324" width="14.42578125" customWidth="1"/>
    <col min="13327" max="13327" width="12.85546875" customWidth="1"/>
    <col min="13330" max="13330" width="12" customWidth="1"/>
    <col min="13332" max="13332" width="14.42578125" customWidth="1"/>
    <col min="13569" max="13569" width="41.140625" customWidth="1"/>
    <col min="13570" max="13570" width="15.140625" customWidth="1"/>
    <col min="13571" max="13571" width="14.42578125" customWidth="1"/>
    <col min="13572" max="13572" width="14.85546875" bestFit="1" customWidth="1"/>
    <col min="13573" max="13573" width="14.7109375" bestFit="1" customWidth="1"/>
    <col min="13574" max="13574" width="14.28515625" customWidth="1"/>
    <col min="13575" max="13575" width="15.140625" customWidth="1"/>
    <col min="13576" max="13576" width="13.42578125" bestFit="1" customWidth="1"/>
    <col min="13577" max="13577" width="14.7109375" bestFit="1" customWidth="1"/>
    <col min="13578" max="13578" width="12.7109375" customWidth="1"/>
    <col min="13580" max="13580" width="14.42578125" customWidth="1"/>
    <col min="13583" max="13583" width="12.85546875" customWidth="1"/>
    <col min="13586" max="13586" width="12" customWidth="1"/>
    <col min="13588" max="13588" width="14.42578125" customWidth="1"/>
    <col min="13825" max="13825" width="41.140625" customWidth="1"/>
    <col min="13826" max="13826" width="15.140625" customWidth="1"/>
    <col min="13827" max="13827" width="14.42578125" customWidth="1"/>
    <col min="13828" max="13828" width="14.85546875" bestFit="1" customWidth="1"/>
    <col min="13829" max="13829" width="14.7109375" bestFit="1" customWidth="1"/>
    <col min="13830" max="13830" width="14.28515625" customWidth="1"/>
    <col min="13831" max="13831" width="15.140625" customWidth="1"/>
    <col min="13832" max="13832" width="13.42578125" bestFit="1" customWidth="1"/>
    <col min="13833" max="13833" width="14.7109375" bestFit="1" customWidth="1"/>
    <col min="13834" max="13834" width="12.7109375" customWidth="1"/>
    <col min="13836" max="13836" width="14.42578125" customWidth="1"/>
    <col min="13839" max="13839" width="12.85546875" customWidth="1"/>
    <col min="13842" max="13842" width="12" customWidth="1"/>
    <col min="13844" max="13844" width="14.42578125" customWidth="1"/>
    <col min="14081" max="14081" width="41.140625" customWidth="1"/>
    <col min="14082" max="14082" width="15.140625" customWidth="1"/>
    <col min="14083" max="14083" width="14.42578125" customWidth="1"/>
    <col min="14084" max="14084" width="14.85546875" bestFit="1" customWidth="1"/>
    <col min="14085" max="14085" width="14.7109375" bestFit="1" customWidth="1"/>
    <col min="14086" max="14086" width="14.28515625" customWidth="1"/>
    <col min="14087" max="14087" width="15.140625" customWidth="1"/>
    <col min="14088" max="14088" width="13.42578125" bestFit="1" customWidth="1"/>
    <col min="14089" max="14089" width="14.7109375" bestFit="1" customWidth="1"/>
    <col min="14090" max="14090" width="12.7109375" customWidth="1"/>
    <col min="14092" max="14092" width="14.42578125" customWidth="1"/>
    <col min="14095" max="14095" width="12.85546875" customWidth="1"/>
    <col min="14098" max="14098" width="12" customWidth="1"/>
    <col min="14100" max="14100" width="14.42578125" customWidth="1"/>
    <col min="14337" max="14337" width="41.140625" customWidth="1"/>
    <col min="14338" max="14338" width="15.140625" customWidth="1"/>
    <col min="14339" max="14339" width="14.42578125" customWidth="1"/>
    <col min="14340" max="14340" width="14.85546875" bestFit="1" customWidth="1"/>
    <col min="14341" max="14341" width="14.7109375" bestFit="1" customWidth="1"/>
    <col min="14342" max="14342" width="14.28515625" customWidth="1"/>
    <col min="14343" max="14343" width="15.140625" customWidth="1"/>
    <col min="14344" max="14344" width="13.42578125" bestFit="1" customWidth="1"/>
    <col min="14345" max="14345" width="14.7109375" bestFit="1" customWidth="1"/>
    <col min="14346" max="14346" width="12.7109375" customWidth="1"/>
    <col min="14348" max="14348" width="14.42578125" customWidth="1"/>
    <col min="14351" max="14351" width="12.85546875" customWidth="1"/>
    <col min="14354" max="14354" width="12" customWidth="1"/>
    <col min="14356" max="14356" width="14.42578125" customWidth="1"/>
    <col min="14593" max="14593" width="41.140625" customWidth="1"/>
    <col min="14594" max="14594" width="15.140625" customWidth="1"/>
    <col min="14595" max="14595" width="14.42578125" customWidth="1"/>
    <col min="14596" max="14596" width="14.85546875" bestFit="1" customWidth="1"/>
    <col min="14597" max="14597" width="14.7109375" bestFit="1" customWidth="1"/>
    <col min="14598" max="14598" width="14.28515625" customWidth="1"/>
    <col min="14599" max="14599" width="15.140625" customWidth="1"/>
    <col min="14600" max="14600" width="13.42578125" bestFit="1" customWidth="1"/>
    <col min="14601" max="14601" width="14.7109375" bestFit="1" customWidth="1"/>
    <col min="14602" max="14602" width="12.7109375" customWidth="1"/>
    <col min="14604" max="14604" width="14.42578125" customWidth="1"/>
    <col min="14607" max="14607" width="12.85546875" customWidth="1"/>
    <col min="14610" max="14610" width="12" customWidth="1"/>
    <col min="14612" max="14612" width="14.42578125" customWidth="1"/>
    <col min="14849" max="14849" width="41.140625" customWidth="1"/>
    <col min="14850" max="14850" width="15.140625" customWidth="1"/>
    <col min="14851" max="14851" width="14.42578125" customWidth="1"/>
    <col min="14852" max="14852" width="14.85546875" bestFit="1" customWidth="1"/>
    <col min="14853" max="14853" width="14.7109375" bestFit="1" customWidth="1"/>
    <col min="14854" max="14854" width="14.28515625" customWidth="1"/>
    <col min="14855" max="14855" width="15.140625" customWidth="1"/>
    <col min="14856" max="14856" width="13.42578125" bestFit="1" customWidth="1"/>
    <col min="14857" max="14857" width="14.7109375" bestFit="1" customWidth="1"/>
    <col min="14858" max="14858" width="12.7109375" customWidth="1"/>
    <col min="14860" max="14860" width="14.42578125" customWidth="1"/>
    <col min="14863" max="14863" width="12.85546875" customWidth="1"/>
    <col min="14866" max="14866" width="12" customWidth="1"/>
    <col min="14868" max="14868" width="14.42578125" customWidth="1"/>
    <col min="15105" max="15105" width="41.140625" customWidth="1"/>
    <col min="15106" max="15106" width="15.140625" customWidth="1"/>
    <col min="15107" max="15107" width="14.42578125" customWidth="1"/>
    <col min="15108" max="15108" width="14.85546875" bestFit="1" customWidth="1"/>
    <col min="15109" max="15109" width="14.7109375" bestFit="1" customWidth="1"/>
    <col min="15110" max="15110" width="14.28515625" customWidth="1"/>
    <col min="15111" max="15111" width="15.140625" customWidth="1"/>
    <col min="15112" max="15112" width="13.42578125" bestFit="1" customWidth="1"/>
    <col min="15113" max="15113" width="14.7109375" bestFit="1" customWidth="1"/>
    <col min="15114" max="15114" width="12.7109375" customWidth="1"/>
    <col min="15116" max="15116" width="14.42578125" customWidth="1"/>
    <col min="15119" max="15119" width="12.85546875" customWidth="1"/>
    <col min="15122" max="15122" width="12" customWidth="1"/>
    <col min="15124" max="15124" width="14.42578125" customWidth="1"/>
    <col min="15361" max="15361" width="41.140625" customWidth="1"/>
    <col min="15362" max="15362" width="15.140625" customWidth="1"/>
    <col min="15363" max="15363" width="14.42578125" customWidth="1"/>
    <col min="15364" max="15364" width="14.85546875" bestFit="1" customWidth="1"/>
    <col min="15365" max="15365" width="14.7109375" bestFit="1" customWidth="1"/>
    <col min="15366" max="15366" width="14.28515625" customWidth="1"/>
    <col min="15367" max="15367" width="15.140625" customWidth="1"/>
    <col min="15368" max="15368" width="13.42578125" bestFit="1" customWidth="1"/>
    <col min="15369" max="15369" width="14.7109375" bestFit="1" customWidth="1"/>
    <col min="15370" max="15370" width="12.7109375" customWidth="1"/>
    <col min="15372" max="15372" width="14.42578125" customWidth="1"/>
    <col min="15375" max="15375" width="12.85546875" customWidth="1"/>
    <col min="15378" max="15378" width="12" customWidth="1"/>
    <col min="15380" max="15380" width="14.42578125" customWidth="1"/>
    <col min="15617" max="15617" width="41.140625" customWidth="1"/>
    <col min="15618" max="15618" width="15.140625" customWidth="1"/>
    <col min="15619" max="15619" width="14.42578125" customWidth="1"/>
    <col min="15620" max="15620" width="14.85546875" bestFit="1" customWidth="1"/>
    <col min="15621" max="15621" width="14.7109375" bestFit="1" customWidth="1"/>
    <col min="15622" max="15622" width="14.28515625" customWidth="1"/>
    <col min="15623" max="15623" width="15.140625" customWidth="1"/>
    <col min="15624" max="15624" width="13.42578125" bestFit="1" customWidth="1"/>
    <col min="15625" max="15625" width="14.7109375" bestFit="1" customWidth="1"/>
    <col min="15626" max="15626" width="12.7109375" customWidth="1"/>
    <col min="15628" max="15628" width="14.42578125" customWidth="1"/>
    <col min="15631" max="15631" width="12.85546875" customWidth="1"/>
    <col min="15634" max="15634" width="12" customWidth="1"/>
    <col min="15636" max="15636" width="14.42578125" customWidth="1"/>
    <col min="15873" max="15873" width="41.140625" customWidth="1"/>
    <col min="15874" max="15874" width="15.140625" customWidth="1"/>
    <col min="15875" max="15875" width="14.42578125" customWidth="1"/>
    <col min="15876" max="15876" width="14.85546875" bestFit="1" customWidth="1"/>
    <col min="15877" max="15877" width="14.7109375" bestFit="1" customWidth="1"/>
    <col min="15878" max="15878" width="14.28515625" customWidth="1"/>
    <col min="15879" max="15879" width="15.140625" customWidth="1"/>
    <col min="15880" max="15880" width="13.42578125" bestFit="1" customWidth="1"/>
    <col min="15881" max="15881" width="14.7109375" bestFit="1" customWidth="1"/>
    <col min="15882" max="15882" width="12.7109375" customWidth="1"/>
    <col min="15884" max="15884" width="14.42578125" customWidth="1"/>
    <col min="15887" max="15887" width="12.85546875" customWidth="1"/>
    <col min="15890" max="15890" width="12" customWidth="1"/>
    <col min="15892" max="15892" width="14.42578125" customWidth="1"/>
    <col min="16129" max="16129" width="41.140625" customWidth="1"/>
    <col min="16130" max="16130" width="15.140625" customWidth="1"/>
    <col min="16131" max="16131" width="14.42578125" customWidth="1"/>
    <col min="16132" max="16132" width="14.85546875" bestFit="1" customWidth="1"/>
    <col min="16133" max="16133" width="14.7109375" bestFit="1" customWidth="1"/>
    <col min="16134" max="16134" width="14.28515625" customWidth="1"/>
    <col min="16135" max="16135" width="15.140625" customWidth="1"/>
    <col min="16136" max="16136" width="13.42578125" bestFit="1" customWidth="1"/>
    <col min="16137" max="16137" width="14.7109375" bestFit="1" customWidth="1"/>
    <col min="16138" max="16138" width="12.7109375" customWidth="1"/>
    <col min="16140" max="16140" width="14.42578125" customWidth="1"/>
    <col min="16143" max="16143" width="12.85546875" customWidth="1"/>
    <col min="16146" max="16146" width="12" customWidth="1"/>
    <col min="16148" max="16148" width="14.42578125" customWidth="1"/>
  </cols>
  <sheetData>
    <row r="1" spans="1:27" ht="18" customHeight="1" x14ac:dyDescent="0.25">
      <c r="A1" s="325" t="s">
        <v>265</v>
      </c>
      <c r="B1" s="325"/>
      <c r="C1" s="325"/>
      <c r="D1" s="325"/>
      <c r="E1" s="325"/>
      <c r="F1" s="325"/>
      <c r="G1" s="325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</row>
    <row r="2" spans="1:27" x14ac:dyDescent="0.25">
      <c r="A2" s="49" t="s">
        <v>43</v>
      </c>
      <c r="B2" s="49">
        <v>0</v>
      </c>
      <c r="C2" s="49">
        <v>1</v>
      </c>
      <c r="D2" s="49">
        <v>2</v>
      </c>
      <c r="E2" s="49">
        <v>3</v>
      </c>
      <c r="F2" s="49">
        <v>4</v>
      </c>
      <c r="G2" s="49">
        <v>5</v>
      </c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</row>
    <row r="3" spans="1:27" x14ac:dyDescent="0.25">
      <c r="A3" s="8" t="s">
        <v>266</v>
      </c>
      <c r="B3" s="12">
        <f>SUM(B4:B6)</f>
        <v>0</v>
      </c>
      <c r="C3" s="12">
        <f t="shared" ref="C3:G3" si="0">SUM(C4:C6)</f>
        <v>80677.363199999993</v>
      </c>
      <c r="D3" s="12">
        <f t="shared" si="0"/>
        <v>95324.146399999998</v>
      </c>
      <c r="E3" s="12">
        <f t="shared" si="0"/>
        <v>108410.20679999999</v>
      </c>
      <c r="F3" s="12">
        <f t="shared" si="0"/>
        <v>125338.04639999999</v>
      </c>
      <c r="G3" s="12">
        <f t="shared" si="0"/>
        <v>175073.92308431564</v>
      </c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253"/>
      <c r="Z3" s="253"/>
      <c r="AA3" s="253"/>
    </row>
    <row r="4" spans="1:27" x14ac:dyDescent="0.25">
      <c r="A4" s="29" t="s">
        <v>267</v>
      </c>
      <c r="B4" s="40"/>
      <c r="C4" s="40">
        <f>'ESTADO GyP'!B6</f>
        <v>80677.363199999993</v>
      </c>
      <c r="D4" s="40">
        <f>'ESTADO GyP'!C6</f>
        <v>95324.146399999998</v>
      </c>
      <c r="E4" s="40">
        <f>'ESTADO GyP'!D6</f>
        <v>108410.20679999999</v>
      </c>
      <c r="F4" s="40">
        <f>'ESTADO GyP'!E6</f>
        <v>125338.04639999999</v>
      </c>
      <c r="G4" s="40">
        <f>'ESTADO GyP'!F6</f>
        <v>144486.91460000002</v>
      </c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253"/>
      <c r="Z4" s="253"/>
      <c r="AA4" s="253"/>
    </row>
    <row r="5" spans="1:27" x14ac:dyDescent="0.25">
      <c r="A5" s="29" t="s">
        <v>268</v>
      </c>
      <c r="B5" s="40"/>
      <c r="C5" s="40"/>
      <c r="D5" s="40"/>
      <c r="E5" s="40"/>
      <c r="F5" s="40"/>
      <c r="G5" s="40">
        <f>DEPRECIAC!H13</f>
        <v>-4220.25</v>
      </c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253"/>
      <c r="Z5" s="253"/>
      <c r="AA5" s="253"/>
    </row>
    <row r="6" spans="1:27" x14ac:dyDescent="0.25">
      <c r="A6" s="29" t="s">
        <v>269</v>
      </c>
      <c r="B6" s="40"/>
      <c r="C6" s="40"/>
      <c r="D6" s="40"/>
      <c r="E6" s="40"/>
      <c r="F6" s="40"/>
      <c r="G6" s="40">
        <f>+B11-SUM(C11:G11)</f>
        <v>34807.258484315622</v>
      </c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253"/>
      <c r="Z6" s="253"/>
      <c r="AA6" s="253"/>
    </row>
    <row r="7" spans="1:27" x14ac:dyDescent="0.25">
      <c r="A7" s="8" t="s">
        <v>270</v>
      </c>
      <c r="B7" s="12">
        <f>-SUM(B8:B16)</f>
        <v>-9.0949470177292824E-13</v>
      </c>
      <c r="C7" s="12">
        <f>SUM(C8:C16)</f>
        <v>-78012.41446</v>
      </c>
      <c r="D7" s="12">
        <f>SUM(D8:D16)</f>
        <v>-86101.981495</v>
      </c>
      <c r="E7" s="12">
        <f>SUM(E8:E16)</f>
        <v>-94277.661501249997</v>
      </c>
      <c r="F7" s="12">
        <f>SUM(F8:F16)</f>
        <v>-104243.35455043749</v>
      </c>
      <c r="G7" s="12">
        <f>SUM(G8:G16)</f>
        <v>-114886.99227687813</v>
      </c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253"/>
      <c r="Z7" s="253"/>
      <c r="AA7" s="253"/>
    </row>
    <row r="8" spans="1:27" x14ac:dyDescent="0.25">
      <c r="A8" s="29" t="s">
        <v>271</v>
      </c>
      <c r="B8" s="254">
        <f>-INVERSION!C13</f>
        <v>-17437.37</v>
      </c>
      <c r="C8" s="40"/>
      <c r="D8" s="40"/>
      <c r="E8" s="40"/>
      <c r="F8" s="40"/>
      <c r="G8" s="40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253"/>
      <c r="Z8" s="253"/>
      <c r="AA8" s="253"/>
    </row>
    <row r="9" spans="1:27" x14ac:dyDescent="0.25">
      <c r="A9" s="29" t="s">
        <v>272</v>
      </c>
      <c r="B9" s="40">
        <f>INVERSION!C4</f>
        <v>10385</v>
      </c>
      <c r="C9" s="40"/>
      <c r="D9" s="40"/>
      <c r="E9" s="40"/>
      <c r="F9" s="40"/>
      <c r="G9" s="40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253"/>
      <c r="Z9" s="253"/>
      <c r="AA9" s="253"/>
    </row>
    <row r="10" spans="1:27" x14ac:dyDescent="0.25">
      <c r="A10" s="29" t="s">
        <v>273</v>
      </c>
      <c r="B10" s="40">
        <f>INVERSION!C9</f>
        <v>500</v>
      </c>
      <c r="C10" s="40"/>
      <c r="D10" s="40"/>
      <c r="E10" s="40"/>
      <c r="F10" s="40"/>
      <c r="G10" s="40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253"/>
      <c r="Z10" s="253"/>
      <c r="AA10" s="253"/>
    </row>
    <row r="11" spans="1:27" x14ac:dyDescent="0.25">
      <c r="A11" s="29" t="s">
        <v>274</v>
      </c>
      <c r="B11" s="40">
        <f>INVERSION!C10</f>
        <v>6552.37</v>
      </c>
      <c r="C11" s="40">
        <f>-'CAP TRABAJ'!H31</f>
        <v>-4679.2404999999999</v>
      </c>
      <c r="D11" s="40">
        <f>-'CAP TRABAJ'!I31</f>
        <v>-5159.6305749999992</v>
      </c>
      <c r="E11" s="40">
        <f>-'CAP TRABAJ'!J31</f>
        <v>-5712.0791612499979</v>
      </c>
      <c r="F11" s="40">
        <f>-'CAP TRABAJ'!K31</f>
        <v>-6347.3950354374974</v>
      </c>
      <c r="G11" s="40">
        <f>-'CAP TRABAJ'!L31</f>
        <v>-6356.543212628123</v>
      </c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253"/>
      <c r="Z11" s="253"/>
      <c r="AA11" s="253"/>
    </row>
    <row r="12" spans="1:27" x14ac:dyDescent="0.25">
      <c r="A12" s="29" t="s">
        <v>342</v>
      </c>
      <c r="B12" s="40">
        <f>INVERSION!C11</f>
        <v>0</v>
      </c>
      <c r="C12" s="40"/>
      <c r="D12" s="40"/>
      <c r="E12" s="40"/>
      <c r="F12" s="40"/>
      <c r="G12" s="40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253"/>
      <c r="Z12" s="253"/>
      <c r="AA12" s="253"/>
    </row>
    <row r="13" spans="1:27" x14ac:dyDescent="0.25">
      <c r="A13" s="29" t="s">
        <v>343</v>
      </c>
      <c r="B13" s="40">
        <f>INVERSION!C12</f>
        <v>0</v>
      </c>
      <c r="C13" s="40"/>
      <c r="D13" s="40"/>
      <c r="E13" s="40"/>
      <c r="F13" s="40"/>
      <c r="G13" s="40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253"/>
      <c r="Z13" s="253"/>
      <c r="AA13" s="253"/>
    </row>
    <row r="14" spans="1:27" x14ac:dyDescent="0.25">
      <c r="A14" s="29" t="s">
        <v>275</v>
      </c>
      <c r="B14" s="40"/>
      <c r="C14" s="40">
        <f>-'ESTADO GyP'!B8</f>
        <v>-43640.4</v>
      </c>
      <c r="D14" s="40">
        <f>-'ESTADO GyP'!C8</f>
        <v>-48233.46</v>
      </c>
      <c r="E14" s="40">
        <f>-'ESTADO GyP'!D8</f>
        <v>-53515.478999999999</v>
      </c>
      <c r="F14" s="40">
        <f>-'ESTADO GyP'!E8</f>
        <v>-59589.80085</v>
      </c>
      <c r="G14" s="40">
        <f>-'ESTADO GyP'!F8</f>
        <v>-66575.270977499997</v>
      </c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253"/>
      <c r="Z14" s="253"/>
      <c r="AA14" s="253"/>
    </row>
    <row r="15" spans="1:27" x14ac:dyDescent="0.25">
      <c r="A15" s="29" t="s">
        <v>276</v>
      </c>
      <c r="B15" s="40"/>
      <c r="C15" s="40">
        <f>-'ESTADO GyP'!B10</f>
        <v>-27840</v>
      </c>
      <c r="D15" s="40">
        <f>-'ESTADO GyP'!C10</f>
        <v>-27840</v>
      </c>
      <c r="E15" s="40">
        <f>-'ESTADO GyP'!D10</f>
        <v>-27840</v>
      </c>
      <c r="F15" s="40">
        <f>-'ESTADO GyP'!E10</f>
        <v>-27840</v>
      </c>
      <c r="G15" s="40">
        <f>-'ESTADO GyP'!F10</f>
        <v>-27840</v>
      </c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253"/>
      <c r="Z15" s="253"/>
      <c r="AA15" s="253"/>
    </row>
    <row r="16" spans="1:27" x14ac:dyDescent="0.25">
      <c r="A16" s="29" t="s">
        <v>277</v>
      </c>
      <c r="B16" s="40"/>
      <c r="C16" s="40">
        <f>-'ESTADO GyP'!I15</f>
        <v>-1852.7739599999973</v>
      </c>
      <c r="D16" s="40">
        <f>-'ESTADO GyP'!J15</f>
        <v>-4868.8909199999998</v>
      </c>
      <c r="E16" s="40">
        <f>-'ESTADO GyP'!K15</f>
        <v>-7210.103339999996</v>
      </c>
      <c r="F16" s="40">
        <f>-'ESTADO GyP'!L15</f>
        <v>-10466.158664999997</v>
      </c>
      <c r="G16" s="40">
        <f>-'ESTADO GyP'!M15</f>
        <v>-14115.178086750006</v>
      </c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253"/>
      <c r="Z16" s="253"/>
      <c r="AA16" s="253"/>
    </row>
    <row r="17" spans="1:27" x14ac:dyDescent="0.25">
      <c r="A17" s="8" t="s">
        <v>278</v>
      </c>
      <c r="B17" s="255">
        <f>B8</f>
        <v>-17437.37</v>
      </c>
      <c r="C17" s="12">
        <f>C3+C7</f>
        <v>2664.9487399999925</v>
      </c>
      <c r="D17" s="12">
        <f t="shared" ref="D17:G17" si="1">D3+D7</f>
        <v>9222.1649049999978</v>
      </c>
      <c r="E17" s="12">
        <f t="shared" si="1"/>
        <v>14132.545298749988</v>
      </c>
      <c r="F17" s="12">
        <f t="shared" si="1"/>
        <v>21094.6918495625</v>
      </c>
      <c r="G17" s="12">
        <f t="shared" si="1"/>
        <v>60186.930807437515</v>
      </c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253"/>
      <c r="Z17" s="253"/>
      <c r="AA17" s="253"/>
    </row>
    <row r="18" spans="1:27" x14ac:dyDescent="0.25">
      <c r="A18" s="29" t="s">
        <v>279</v>
      </c>
      <c r="B18" s="40">
        <f>'SERV. DEUD'!B2</f>
        <v>8252.369999999999</v>
      </c>
      <c r="C18" s="40"/>
      <c r="D18" s="40"/>
      <c r="E18" s="40"/>
      <c r="F18" s="40"/>
      <c r="G18" s="40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253"/>
      <c r="Z18" s="253"/>
      <c r="AA18" s="253"/>
    </row>
    <row r="19" spans="1:27" x14ac:dyDescent="0.25">
      <c r="A19" s="29" t="s">
        <v>280</v>
      </c>
      <c r="B19" s="40"/>
      <c r="C19" s="40">
        <f>-'SERV. DEUD'!$M$14</f>
        <v>-2534.7201674506091</v>
      </c>
      <c r="D19" s="40">
        <f>-'SERV. DEUD'!$M$14</f>
        <v>-2534.7201674506091</v>
      </c>
      <c r="E19" s="40">
        <f>-'SERV. DEUD'!$M$14</f>
        <v>-2534.7201674506091</v>
      </c>
      <c r="F19" s="40">
        <f>-'SERV. DEUD'!$M$14</f>
        <v>-2534.7201674506091</v>
      </c>
      <c r="G19" s="40">
        <f>-'SERV. DEUD'!$M$14</f>
        <v>-2534.7201674506091</v>
      </c>
      <c r="H19" s="256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253"/>
      <c r="Z19" s="253"/>
      <c r="AA19" s="253"/>
    </row>
    <row r="20" spans="1:27" x14ac:dyDescent="0.25">
      <c r="A20" s="29" t="s">
        <v>159</v>
      </c>
      <c r="B20" s="40"/>
      <c r="C20" s="40">
        <f>'SERV. DEUD'!O14</f>
        <v>427.73074062434642</v>
      </c>
      <c r="D20" s="40">
        <f>'SERV. DEUD'!O15</f>
        <v>361.19367870217934</v>
      </c>
      <c r="E20" s="40">
        <f>'SERV. DEUD'!O16</f>
        <v>281.34920439557874</v>
      </c>
      <c r="F20" s="40">
        <f>'SERV. DEUD'!O17</f>
        <v>185.53583522765817</v>
      </c>
      <c r="G20" s="40">
        <f>'SERV. DEUD'!O18</f>
        <v>70.559792226153476</v>
      </c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253"/>
      <c r="Z20" s="253"/>
      <c r="AA20" s="253"/>
    </row>
    <row r="21" spans="1:27" x14ac:dyDescent="0.25">
      <c r="A21" s="8" t="s">
        <v>281</v>
      </c>
      <c r="B21" s="12">
        <f>SUM(B17:B20)</f>
        <v>-9185</v>
      </c>
      <c r="C21" s="12">
        <f>SUM(C17:C20)</f>
        <v>557.95931317372992</v>
      </c>
      <c r="D21" s="12">
        <f t="shared" ref="D21:G21" si="2">SUM(D17:D20)</f>
        <v>7048.6384162515687</v>
      </c>
      <c r="E21" s="12">
        <f t="shared" si="2"/>
        <v>11879.174335694959</v>
      </c>
      <c r="F21" s="12">
        <f t="shared" si="2"/>
        <v>18745.507517339549</v>
      </c>
      <c r="G21" s="12">
        <f t="shared" si="2"/>
        <v>57722.770432213059</v>
      </c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253"/>
      <c r="Z21" s="253"/>
      <c r="AA21" s="253"/>
    </row>
    <row r="22" spans="1:27" x14ac:dyDescent="0.25">
      <c r="A22" s="257" t="s">
        <v>282</v>
      </c>
      <c r="B22" s="59"/>
      <c r="C22" s="59"/>
      <c r="D22" s="59"/>
      <c r="E22" s="59"/>
      <c r="F22" s="59"/>
      <c r="G22" s="5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253"/>
      <c r="Z22" s="253"/>
      <c r="AA22" s="253"/>
    </row>
    <row r="23" spans="1:27" ht="15" customHeight="1" x14ac:dyDescent="0.25">
      <c r="A23" s="47"/>
      <c r="B23" s="59"/>
      <c r="C23" s="59"/>
      <c r="D23" s="59"/>
      <c r="E23" s="59"/>
      <c r="F23" s="59"/>
      <c r="G23" s="59"/>
      <c r="H23" s="19"/>
      <c r="I23" s="373" t="s">
        <v>283</v>
      </c>
      <c r="J23" s="373"/>
      <c r="K23" s="258" t="s">
        <v>284</v>
      </c>
      <c r="L23" s="19"/>
      <c r="M23" s="19"/>
      <c r="N23" s="19"/>
      <c r="O23" s="19"/>
      <c r="P23" s="19"/>
      <c r="Q23" s="373" t="s">
        <v>283</v>
      </c>
      <c r="R23" s="373"/>
      <c r="S23" s="258" t="s">
        <v>284</v>
      </c>
      <c r="T23" s="19"/>
      <c r="U23" s="19"/>
      <c r="V23" s="19"/>
      <c r="W23" s="19"/>
      <c r="X23" s="19"/>
      <c r="Y23" s="253"/>
      <c r="Z23" s="253"/>
      <c r="AA23" s="253"/>
    </row>
    <row r="24" spans="1:27" x14ac:dyDescent="0.25">
      <c r="A24" s="29" t="s">
        <v>285</v>
      </c>
      <c r="B24" s="259">
        <v>0.2</v>
      </c>
      <c r="C24" s="211"/>
      <c r="D24" s="29" t="s">
        <v>286</v>
      </c>
      <c r="E24" s="260">
        <f>NPV(B25,C17:G17)+B17</f>
        <v>40084.984871041612</v>
      </c>
      <c r="F24" s="211"/>
      <c r="G24" s="211"/>
      <c r="H24" s="19"/>
      <c r="I24" s="370" t="s">
        <v>287</v>
      </c>
      <c r="J24" s="370"/>
      <c r="K24" s="37">
        <v>5</v>
      </c>
      <c r="L24" s="19"/>
      <c r="M24" s="19"/>
      <c r="N24" s="19"/>
      <c r="O24" s="19"/>
      <c r="P24" s="19"/>
      <c r="Q24" s="370" t="s">
        <v>287</v>
      </c>
      <c r="R24" s="370"/>
      <c r="S24" s="37">
        <v>5</v>
      </c>
      <c r="T24" s="19"/>
      <c r="U24" s="19"/>
      <c r="V24" s="19"/>
      <c r="W24" s="19"/>
      <c r="X24" s="19"/>
      <c r="Y24" s="253"/>
      <c r="Z24" s="253"/>
      <c r="AA24" s="253"/>
    </row>
    <row r="25" spans="1:27" x14ac:dyDescent="0.25">
      <c r="A25" s="29" t="s">
        <v>288</v>
      </c>
      <c r="B25" s="259">
        <f>(FINANCIAMIENT!C19/FINANCIAMIENT!C21)*B26*(1-0.3)+(FINANCIAMIENT!C20/FINANCIAMIENT!C21)*'FLUJO DE CAJA'!B24</f>
        <v>0.16497892858842822</v>
      </c>
      <c r="C25" s="261"/>
      <c r="D25" s="29" t="s">
        <v>289</v>
      </c>
      <c r="E25" s="260">
        <f>NPV(B24,C21:G21)+B21</f>
        <v>35286.941756486718</v>
      </c>
      <c r="F25" s="261"/>
      <c r="G25" s="261"/>
      <c r="H25" s="19"/>
      <c r="I25" s="370" t="s">
        <v>290</v>
      </c>
      <c r="J25" s="370"/>
      <c r="K25" s="37" t="s">
        <v>291</v>
      </c>
      <c r="L25" s="19"/>
      <c r="M25" s="19"/>
      <c r="N25" s="19"/>
      <c r="O25" s="19"/>
      <c r="P25" s="19"/>
      <c r="Q25" s="370" t="s">
        <v>290</v>
      </c>
      <c r="R25" s="370"/>
      <c r="S25" s="37" t="s">
        <v>291</v>
      </c>
      <c r="T25" s="19"/>
      <c r="U25" s="19"/>
      <c r="V25" s="19"/>
      <c r="W25" s="19"/>
      <c r="X25" s="19"/>
      <c r="Y25" s="253"/>
      <c r="Z25" s="253"/>
      <c r="AA25" s="253"/>
    </row>
    <row r="26" spans="1:27" x14ac:dyDescent="0.25">
      <c r="A26" s="29" t="s">
        <v>156</v>
      </c>
      <c r="B26" s="259">
        <v>0.18</v>
      </c>
      <c r="C26" s="262"/>
      <c r="D26" s="29" t="s">
        <v>292</v>
      </c>
      <c r="E26" s="263">
        <f>IRR(B17:G17)</f>
        <v>0.60636903920628948</v>
      </c>
      <c r="F26" s="262"/>
      <c r="G26" s="262"/>
      <c r="H26" s="47"/>
      <c r="I26" s="370" t="s">
        <v>293</v>
      </c>
      <c r="J26" s="370"/>
      <c r="K26" s="264">
        <f>+B25</f>
        <v>0.16497892858842822</v>
      </c>
      <c r="L26" s="19"/>
      <c r="M26" s="19"/>
      <c r="N26" s="19"/>
      <c r="O26" s="19"/>
      <c r="P26" s="19"/>
      <c r="Q26" s="370" t="str">
        <f>+A24</f>
        <v>COK</v>
      </c>
      <c r="R26" s="370"/>
      <c r="S26" s="265">
        <f>+B24</f>
        <v>0.2</v>
      </c>
      <c r="T26" s="19"/>
      <c r="U26" s="19"/>
      <c r="V26" s="19"/>
      <c r="W26" s="19"/>
      <c r="X26" s="19"/>
      <c r="Y26" s="253"/>
      <c r="Z26" s="253"/>
      <c r="AA26" s="253"/>
    </row>
    <row r="27" spans="1:27" ht="14.25" customHeight="1" x14ac:dyDescent="0.25">
      <c r="A27" s="18"/>
      <c r="B27" s="18"/>
      <c r="C27" s="59"/>
      <c r="D27" s="29" t="s">
        <v>294</v>
      </c>
      <c r="E27" s="263">
        <f>IRR(B21:G21)</f>
        <v>0.80977872393554273</v>
      </c>
      <c r="F27" s="59"/>
      <c r="G27" s="59"/>
      <c r="H27" s="47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253"/>
      <c r="Z27" s="253"/>
      <c r="AA27" s="253"/>
    </row>
    <row r="28" spans="1:27" ht="24.75" customHeight="1" x14ac:dyDescent="0.25">
      <c r="A28" s="18"/>
      <c r="B28" s="18"/>
      <c r="C28" s="47"/>
      <c r="D28" s="266"/>
      <c r="E28" s="47"/>
      <c r="F28" s="267"/>
      <c r="G28" s="47"/>
      <c r="H28" s="47"/>
      <c r="I28" s="371" t="s">
        <v>295</v>
      </c>
      <c r="J28" s="371"/>
      <c r="K28" s="371"/>
      <c r="L28" s="371"/>
      <c r="M28" s="19"/>
      <c r="N28" s="372" t="s">
        <v>296</v>
      </c>
      <c r="O28" s="372"/>
      <c r="P28" s="19"/>
      <c r="Q28" s="371" t="s">
        <v>297</v>
      </c>
      <c r="R28" s="371"/>
      <c r="S28" s="371"/>
      <c r="T28" s="371"/>
      <c r="U28" s="19"/>
      <c r="V28" s="372" t="s">
        <v>298</v>
      </c>
      <c r="W28" s="372"/>
      <c r="X28" s="19"/>
      <c r="Y28" s="253"/>
      <c r="Z28" s="253"/>
      <c r="AA28" s="253"/>
    </row>
    <row r="29" spans="1:27" ht="38.25" x14ac:dyDescent="0.25">
      <c r="A29" s="47"/>
      <c r="B29" s="268" t="s">
        <v>299</v>
      </c>
      <c r="C29" s="47"/>
      <c r="D29" s="47"/>
      <c r="E29" s="47"/>
      <c r="F29" s="47"/>
      <c r="G29" s="47"/>
      <c r="H29" s="47"/>
      <c r="I29" s="269" t="s">
        <v>300</v>
      </c>
      <c r="J29" s="270" t="s">
        <v>301</v>
      </c>
      <c r="K29" s="269" t="s">
        <v>302</v>
      </c>
      <c r="L29" s="269" t="s">
        <v>303</v>
      </c>
      <c r="M29" s="19"/>
      <c r="N29" s="271" t="s">
        <v>304</v>
      </c>
      <c r="O29" s="272" t="s">
        <v>286</v>
      </c>
      <c r="P29" s="19"/>
      <c r="Q29" s="269" t="s">
        <v>300</v>
      </c>
      <c r="R29" s="270" t="s">
        <v>305</v>
      </c>
      <c r="S29" s="269" t="s">
        <v>302</v>
      </c>
      <c r="T29" s="269" t="s">
        <v>303</v>
      </c>
      <c r="U29" s="19"/>
      <c r="V29" s="271" t="s">
        <v>304</v>
      </c>
      <c r="W29" s="272" t="s">
        <v>289</v>
      </c>
      <c r="X29" s="19"/>
      <c r="Y29" s="253"/>
      <c r="Z29" s="253"/>
      <c r="AA29" s="253"/>
    </row>
    <row r="30" spans="1:27" x14ac:dyDescent="0.25">
      <c r="A30" s="365" t="s">
        <v>306</v>
      </c>
      <c r="B30" s="367" t="s">
        <v>44</v>
      </c>
      <c r="C30" s="368"/>
      <c r="D30" s="368"/>
      <c r="E30" s="368"/>
      <c r="F30" s="368"/>
      <c r="G30" s="369"/>
      <c r="H30" s="47"/>
      <c r="I30" s="273">
        <v>0</v>
      </c>
      <c r="J30" s="274">
        <f>B17</f>
        <v>-17437.37</v>
      </c>
      <c r="K30" s="275">
        <f>(1+$K$26)^I30</f>
        <v>1</v>
      </c>
      <c r="L30" s="274">
        <f>J30/K30</f>
        <v>-17437.37</v>
      </c>
      <c r="M30" s="19"/>
      <c r="N30" s="276">
        <v>0</v>
      </c>
      <c r="O30" s="297">
        <f>NPV(N30,$J$31:$J$35)+$J$30</f>
        <v>89863.911600749998</v>
      </c>
      <c r="P30" s="19"/>
      <c r="Q30" s="273">
        <v>0</v>
      </c>
      <c r="R30" s="274">
        <f>B21</f>
        <v>-9185</v>
      </c>
      <c r="S30" s="275">
        <f t="shared" ref="S30:S35" si="3">(1+$S$26)^Q30</f>
        <v>1</v>
      </c>
      <c r="T30" s="274">
        <f t="shared" ref="T30:T35" si="4">R30/S30</f>
        <v>-9185</v>
      </c>
      <c r="U30" s="19"/>
      <c r="V30" s="276">
        <v>0</v>
      </c>
      <c r="W30" s="277">
        <f>NPV(V30,$R$31:$R$35)+$R$30</f>
        <v>86769.050014672859</v>
      </c>
      <c r="X30" s="19"/>
      <c r="Y30" s="253"/>
      <c r="Z30" s="253"/>
      <c r="AA30" s="253"/>
    </row>
    <row r="31" spans="1:27" x14ac:dyDescent="0.25">
      <c r="A31" s="366"/>
      <c r="B31" s="278">
        <v>0</v>
      </c>
      <c r="C31" s="278">
        <v>1</v>
      </c>
      <c r="D31" s="278">
        <v>2</v>
      </c>
      <c r="E31" s="278">
        <v>3</v>
      </c>
      <c r="F31" s="278">
        <v>4</v>
      </c>
      <c r="G31" s="278">
        <v>5</v>
      </c>
      <c r="H31" s="47"/>
      <c r="I31" s="273">
        <v>1</v>
      </c>
      <c r="J31" s="274">
        <f>C17</f>
        <v>2664.9487399999925</v>
      </c>
      <c r="K31" s="275">
        <f t="shared" ref="K31:K35" si="5">(1+$K$26)^I31</f>
        <v>1.1649789285884282</v>
      </c>
      <c r="L31" s="274">
        <f t="shared" ref="L31:L35" si="6">J31/K31</f>
        <v>2287.5510231151006</v>
      </c>
      <c r="M31" s="19"/>
      <c r="N31" s="276">
        <v>0.05</v>
      </c>
      <c r="O31" s="298">
        <f>NPV(N31,$J$31:$J$35)+$J$30</f>
        <v>70186.366191754496</v>
      </c>
      <c r="P31" s="19"/>
      <c r="Q31" s="273">
        <v>1</v>
      </c>
      <c r="R31" s="274">
        <f>C21</f>
        <v>557.95931317372992</v>
      </c>
      <c r="S31" s="275">
        <f t="shared" si="3"/>
        <v>1.2</v>
      </c>
      <c r="T31" s="274">
        <f t="shared" si="4"/>
        <v>464.96609431144162</v>
      </c>
      <c r="U31" s="19"/>
      <c r="V31" s="276">
        <v>0.05</v>
      </c>
      <c r="W31" s="277">
        <f t="shared" ref="W31:W44" si="7">NPV(V31,$R$31:$R$35)+$R$30</f>
        <v>68650.666539721598</v>
      </c>
      <c r="X31" s="19"/>
      <c r="Y31" s="253"/>
      <c r="Z31" s="253"/>
      <c r="AA31" s="253"/>
    </row>
    <row r="32" spans="1:27" x14ac:dyDescent="0.25">
      <c r="A32" s="29" t="s">
        <v>307</v>
      </c>
      <c r="B32" s="279">
        <f>B3</f>
        <v>0</v>
      </c>
      <c r="C32" s="279">
        <f t="shared" ref="C32:G32" si="8">C3</f>
        <v>80677.363199999993</v>
      </c>
      <c r="D32" s="279">
        <f t="shared" si="8"/>
        <v>95324.146399999998</v>
      </c>
      <c r="E32" s="279">
        <f t="shared" si="8"/>
        <v>108410.20679999999</v>
      </c>
      <c r="F32" s="279">
        <f t="shared" si="8"/>
        <v>125338.04639999999</v>
      </c>
      <c r="G32" s="279">
        <f t="shared" si="8"/>
        <v>175073.92308431564</v>
      </c>
      <c r="H32" s="47"/>
      <c r="I32" s="273">
        <v>2</v>
      </c>
      <c r="J32" s="274">
        <f>D17</f>
        <v>9222.1649049999978</v>
      </c>
      <c r="K32" s="275">
        <f t="shared" si="5"/>
        <v>1.3571759040550422</v>
      </c>
      <c r="L32" s="274">
        <f t="shared" si="6"/>
        <v>6795.1139402383469</v>
      </c>
      <c r="M32" s="19"/>
      <c r="N32" s="276">
        <v>0.1</v>
      </c>
      <c r="O32" s="277">
        <f t="shared" ref="O32:O44" si="9">NPV(N32,$J$31:$J$35)+$J$30</f>
        <v>55004.232096374864</v>
      </c>
      <c r="P32" s="19"/>
      <c r="Q32" s="273">
        <v>2</v>
      </c>
      <c r="R32" s="274">
        <f>D21</f>
        <v>7048.6384162515687</v>
      </c>
      <c r="S32" s="275">
        <f t="shared" si="3"/>
        <v>1.44</v>
      </c>
      <c r="T32" s="274">
        <f t="shared" si="4"/>
        <v>4894.8877890635895</v>
      </c>
      <c r="U32" s="19"/>
      <c r="V32" s="276">
        <v>0.1</v>
      </c>
      <c r="W32" s="277">
        <f t="shared" si="7"/>
        <v>54717.289094712811</v>
      </c>
      <c r="X32" s="19"/>
      <c r="Y32" s="253"/>
      <c r="Z32" s="253"/>
      <c r="AA32" s="253"/>
    </row>
    <row r="33" spans="1:27" x14ac:dyDescent="0.25">
      <c r="A33" s="29" t="s">
        <v>308</v>
      </c>
      <c r="B33" s="280">
        <f>B8</f>
        <v>-17437.37</v>
      </c>
      <c r="C33" s="40">
        <f>C7</f>
        <v>-78012.41446</v>
      </c>
      <c r="D33" s="40">
        <f>D7</f>
        <v>-86101.981495</v>
      </c>
      <c r="E33" s="40">
        <f>E7</f>
        <v>-94277.661501249997</v>
      </c>
      <c r="F33" s="40">
        <f>F7</f>
        <v>-104243.35455043749</v>
      </c>
      <c r="G33" s="40">
        <f>G7</f>
        <v>-114886.99227687813</v>
      </c>
      <c r="H33" s="47"/>
      <c r="I33" s="273">
        <v>3</v>
      </c>
      <c r="J33" s="274">
        <f>E17</f>
        <v>14132.545298749988</v>
      </c>
      <c r="K33" s="275">
        <f t="shared" si="5"/>
        <v>1.5810813306120746</v>
      </c>
      <c r="L33" s="274">
        <f t="shared" si="6"/>
        <v>8938.5315132896685</v>
      </c>
      <c r="M33" s="19"/>
      <c r="N33" s="276">
        <v>0.15</v>
      </c>
      <c r="O33" s="277">
        <f t="shared" si="9"/>
        <v>43130.136557863822</v>
      </c>
      <c r="P33" s="19"/>
      <c r="Q33" s="273">
        <v>3</v>
      </c>
      <c r="R33" s="274">
        <f>E21</f>
        <v>11879.174335694959</v>
      </c>
      <c r="S33" s="275">
        <f t="shared" si="3"/>
        <v>1.728</v>
      </c>
      <c r="T33" s="274">
        <f t="shared" si="4"/>
        <v>6874.5221850086573</v>
      </c>
      <c r="U33" s="19"/>
      <c r="V33" s="276">
        <v>0.15</v>
      </c>
      <c r="W33" s="277">
        <f t="shared" si="7"/>
        <v>43856.938585765653</v>
      </c>
      <c r="X33" s="19"/>
      <c r="Y33" s="253"/>
      <c r="Z33" s="253"/>
      <c r="AA33" s="253"/>
    </row>
    <row r="34" spans="1:27" x14ac:dyDescent="0.25">
      <c r="A34" s="29" t="s">
        <v>309</v>
      </c>
      <c r="B34" s="281">
        <f>1/(1+$B$25)^B31</f>
        <v>1</v>
      </c>
      <c r="C34" s="281">
        <f>1/(1+$B$25)^C31</f>
        <v>0.85838462435682983</v>
      </c>
      <c r="D34" s="281">
        <f>1/(1+$B$25)^D31</f>
        <v>0.73682416333221579</v>
      </c>
      <c r="E34" s="281">
        <f t="shared" ref="E34:G34" si="10">1/(1+$B$25)^E31</f>
        <v>0.63247853265895937</v>
      </c>
      <c r="F34" s="281">
        <f t="shared" si="10"/>
        <v>0.54290984767021977</v>
      </c>
      <c r="G34" s="281">
        <f t="shared" si="10"/>
        <v>0.46602546565202529</v>
      </c>
      <c r="H34" s="47"/>
      <c r="I34" s="273">
        <v>4</v>
      </c>
      <c r="J34" s="274">
        <f>F17</f>
        <v>21094.6918495625</v>
      </c>
      <c r="K34" s="275">
        <f t="shared" si="5"/>
        <v>1.8419264345476212</v>
      </c>
      <c r="L34" s="274">
        <f t="shared" si="6"/>
        <v>11452.515938696202</v>
      </c>
      <c r="M34" s="19"/>
      <c r="N34" s="276">
        <v>0.2</v>
      </c>
      <c r="O34" s="277">
        <f t="shared" si="9"/>
        <v>33727.015979382268</v>
      </c>
      <c r="P34" s="19"/>
      <c r="Q34" s="273">
        <v>4</v>
      </c>
      <c r="R34" s="274">
        <f>F21</f>
        <v>18745.507517339549</v>
      </c>
      <c r="S34" s="275">
        <f t="shared" si="3"/>
        <v>2.0735999999999999</v>
      </c>
      <c r="T34" s="274">
        <f t="shared" si="4"/>
        <v>9040.0788567416803</v>
      </c>
      <c r="U34" s="19"/>
      <c r="V34" s="276">
        <v>0.2</v>
      </c>
      <c r="W34" s="277">
        <f t="shared" si="7"/>
        <v>35286.941756486718</v>
      </c>
      <c r="X34" s="19"/>
      <c r="Y34" s="253"/>
      <c r="Z34" s="253"/>
      <c r="AA34" s="253"/>
    </row>
    <row r="35" spans="1:27" x14ac:dyDescent="0.25">
      <c r="A35" s="29" t="s">
        <v>310</v>
      </c>
      <c r="B35" s="282">
        <f t="shared" ref="B35:G35" si="11">B34*B32</f>
        <v>0</v>
      </c>
      <c r="C35" s="282">
        <f>C34*C32</f>
        <v>69252.208104531514</v>
      </c>
      <c r="D35" s="282">
        <f t="shared" si="11"/>
        <v>70237.13441653765</v>
      </c>
      <c r="E35" s="282">
        <f t="shared" si="11"/>
        <v>68567.128522118335</v>
      </c>
      <c r="F35" s="282">
        <f t="shared" si="11"/>
        <v>68047.259678306931</v>
      </c>
      <c r="G35" s="282">
        <f t="shared" si="11"/>
        <v>81588.906528895051</v>
      </c>
      <c r="H35" s="47"/>
      <c r="I35" s="273">
        <v>5</v>
      </c>
      <c r="J35" s="274">
        <f>G17</f>
        <v>60186.930807437515</v>
      </c>
      <c r="K35" s="275">
        <f t="shared" si="5"/>
        <v>2.1458054842579912</v>
      </c>
      <c r="L35" s="274">
        <f t="shared" si="6"/>
        <v>28048.642455702295</v>
      </c>
      <c r="M35" s="19"/>
      <c r="N35" s="276">
        <v>0.25</v>
      </c>
      <c r="O35" s="277">
        <f t="shared" si="9"/>
        <v>26195.076992721912</v>
      </c>
      <c r="P35" s="19"/>
      <c r="Q35" s="273">
        <v>5</v>
      </c>
      <c r="R35" s="274">
        <f>G21</f>
        <v>57722.770432213059</v>
      </c>
      <c r="S35" s="275">
        <f t="shared" si="3"/>
        <v>2.4883199999999999</v>
      </c>
      <c r="T35" s="274">
        <f t="shared" si="4"/>
        <v>23197.486831361344</v>
      </c>
      <c r="U35" s="19"/>
      <c r="V35" s="276">
        <v>0.25</v>
      </c>
      <c r="W35" s="277">
        <f t="shared" si="7"/>
        <v>28447.390591145653</v>
      </c>
      <c r="X35" s="19"/>
      <c r="Y35" s="253"/>
      <c r="Z35" s="253"/>
      <c r="AA35" s="253"/>
    </row>
    <row r="36" spans="1:27" x14ac:dyDescent="0.25">
      <c r="A36" s="29" t="s">
        <v>311</v>
      </c>
      <c r="B36" s="282">
        <f t="shared" ref="B36:G36" si="12">B34*B33</f>
        <v>-17437.37</v>
      </c>
      <c r="C36" s="282">
        <f>C34*C33</f>
        <v>-66964.657081416415</v>
      </c>
      <c r="D36" s="282">
        <f t="shared" si="12"/>
        <v>-63442.020476299302</v>
      </c>
      <c r="E36" s="282">
        <f t="shared" si="12"/>
        <v>-59628.597008828663</v>
      </c>
      <c r="F36" s="282">
        <f t="shared" si="12"/>
        <v>-56594.743739610727</v>
      </c>
      <c r="G36" s="282">
        <f t="shared" si="12"/>
        <v>-53540.26407319276</v>
      </c>
      <c r="H36" s="47"/>
      <c r="I36" s="283"/>
      <c r="J36" s="283"/>
      <c r="K36" s="284" t="s">
        <v>7</v>
      </c>
      <c r="L36" s="285">
        <f>SUM(L30:L35)</f>
        <v>40084.984871041612</v>
      </c>
      <c r="M36" s="19"/>
      <c r="N36" s="276">
        <v>0.3</v>
      </c>
      <c r="O36" s="277">
        <f t="shared" si="9"/>
        <v>20098.077250380473</v>
      </c>
      <c r="P36" s="19"/>
      <c r="Q36" s="283"/>
      <c r="R36" s="283"/>
      <c r="S36" s="284" t="s">
        <v>7</v>
      </c>
      <c r="T36" s="285">
        <f>SUM(T30:T35)</f>
        <v>35286.941756486711</v>
      </c>
      <c r="U36" s="19"/>
      <c r="V36" s="276">
        <v>0.3</v>
      </c>
      <c r="W36" s="277">
        <f t="shared" si="7"/>
        <v>22931.73288398626</v>
      </c>
      <c r="X36" s="19"/>
      <c r="Y36" s="253"/>
      <c r="Z36" s="253"/>
      <c r="AA36" s="253"/>
    </row>
    <row r="37" spans="1:27" x14ac:dyDescent="0.25">
      <c r="A37" s="29" t="s">
        <v>312</v>
      </c>
      <c r="B37" s="280"/>
      <c r="C37" s="40">
        <f>C35+C36</f>
        <v>2287.5510231150984</v>
      </c>
      <c r="D37" s="40">
        <f>D35+D36</f>
        <v>6795.1139402383487</v>
      </c>
      <c r="E37" s="40">
        <f>E35+E36</f>
        <v>8938.5315132896721</v>
      </c>
      <c r="F37" s="40">
        <f>F35+F36</f>
        <v>11452.515938696204</v>
      </c>
      <c r="G37" s="40">
        <f>G35+G36</f>
        <v>28048.642455702291</v>
      </c>
      <c r="H37" s="47"/>
      <c r="I37" s="19"/>
      <c r="J37" s="19"/>
      <c r="K37" s="19"/>
      <c r="L37" s="19"/>
      <c r="M37" s="19"/>
      <c r="N37" s="276">
        <v>0.35</v>
      </c>
      <c r="O37" s="277">
        <f t="shared" si="9"/>
        <v>15114.340088646648</v>
      </c>
      <c r="P37" s="19"/>
      <c r="Q37" s="18"/>
      <c r="R37" s="18"/>
      <c r="S37" s="18"/>
      <c r="T37" s="18"/>
      <c r="U37" s="19"/>
      <c r="V37" s="276">
        <v>0.35</v>
      </c>
      <c r="W37" s="277">
        <f t="shared" si="7"/>
        <v>18440.699411783811</v>
      </c>
      <c r="X37" s="19"/>
      <c r="Y37" s="253"/>
      <c r="Z37" s="253"/>
      <c r="AA37" s="253"/>
    </row>
    <row r="38" spans="1:27" x14ac:dyDescent="0.25">
      <c r="A38" s="47"/>
      <c r="B38" s="286"/>
      <c r="C38" s="286"/>
      <c r="D38" s="286"/>
      <c r="E38" s="286"/>
      <c r="F38" s="286"/>
      <c r="G38" s="286"/>
      <c r="H38" s="19"/>
      <c r="I38" s="19"/>
      <c r="J38" s="19"/>
      <c r="K38" s="19"/>
      <c r="L38" s="19"/>
      <c r="M38" s="19"/>
      <c r="N38" s="276">
        <v>0.4</v>
      </c>
      <c r="O38" s="277">
        <f t="shared" si="9"/>
        <v>11003.639653953524</v>
      </c>
      <c r="P38" s="19"/>
      <c r="Q38" s="18"/>
      <c r="R38" s="18"/>
      <c r="S38" s="18"/>
      <c r="T38" s="18"/>
      <c r="U38" s="19"/>
      <c r="V38" s="276">
        <v>0.4</v>
      </c>
      <c r="W38" s="277">
        <f t="shared" si="7"/>
        <v>14751.191573104414</v>
      </c>
      <c r="X38" s="19"/>
      <c r="Y38" s="253"/>
      <c r="Z38" s="253"/>
      <c r="AA38" s="253"/>
    </row>
    <row r="39" spans="1:27" x14ac:dyDescent="0.25">
      <c r="A39" s="58" t="s">
        <v>313</v>
      </c>
      <c r="B39" s="287">
        <f>SUM(B35:G35)/-SUM(B36:G36)</f>
        <v>1.1262091280570419</v>
      </c>
      <c r="C39" s="218"/>
      <c r="D39" s="218"/>
      <c r="E39" s="218"/>
      <c r="F39" s="218"/>
      <c r="G39" s="218"/>
      <c r="H39" s="19"/>
      <c r="I39" s="19"/>
      <c r="J39" s="19"/>
      <c r="K39" s="288" t="s">
        <v>314</v>
      </c>
      <c r="L39" s="289">
        <f>NPV(K26,J31:J35)+J30</f>
        <v>40084.984871041612</v>
      </c>
      <c r="M39" s="19"/>
      <c r="N39" s="276">
        <v>0.45</v>
      </c>
      <c r="O39" s="277">
        <f t="shared" si="9"/>
        <v>7584.4567966605246</v>
      </c>
      <c r="P39" s="19"/>
      <c r="Q39" s="18"/>
      <c r="R39" s="18"/>
      <c r="S39" s="288" t="s">
        <v>314</v>
      </c>
      <c r="T39" s="290">
        <f>NPV(B24,R31:R35)+R30</f>
        <v>35286.941756486718</v>
      </c>
      <c r="U39" s="19"/>
      <c r="V39" s="276">
        <v>0.45</v>
      </c>
      <c r="W39" s="277">
        <f t="shared" si="7"/>
        <v>11694.936201881883</v>
      </c>
      <c r="X39" s="19"/>
      <c r="Y39" s="253"/>
      <c r="Z39" s="253"/>
      <c r="AA39" s="253"/>
    </row>
    <row r="40" spans="1:27" x14ac:dyDescent="0.25">
      <c r="A40" s="58" t="s">
        <v>315</v>
      </c>
      <c r="B40" s="291">
        <f>SUM(C37:G37)/-B33</f>
        <v>3.2987976323861692</v>
      </c>
      <c r="C40" s="218"/>
      <c r="D40" s="218"/>
      <c r="E40" s="218"/>
      <c r="F40" s="218"/>
      <c r="G40" s="218"/>
      <c r="H40" s="19"/>
      <c r="I40" s="19"/>
      <c r="J40" s="19"/>
      <c r="K40" s="19"/>
      <c r="L40" s="19"/>
      <c r="M40" s="19"/>
      <c r="N40" s="276">
        <v>0.5</v>
      </c>
      <c r="O40" s="277">
        <f t="shared" si="9"/>
        <v>4718.1269619218037</v>
      </c>
      <c r="P40" s="19"/>
      <c r="Q40" s="19"/>
      <c r="R40" s="19"/>
      <c r="S40" s="19"/>
      <c r="T40" s="19"/>
      <c r="U40" s="19"/>
      <c r="V40" s="276">
        <v>0.5</v>
      </c>
      <c r="W40" s="277">
        <f t="shared" si="7"/>
        <v>9143.6252037961603</v>
      </c>
      <c r="X40" s="19"/>
      <c r="Y40" s="253"/>
      <c r="Z40" s="253"/>
      <c r="AA40" s="253"/>
    </row>
    <row r="41" spans="1:27" x14ac:dyDescent="0.25">
      <c r="A41" s="18"/>
      <c r="B41" s="18"/>
      <c r="C41" s="18"/>
      <c r="D41" s="18"/>
      <c r="E41" s="18"/>
      <c r="F41" s="18"/>
      <c r="G41" s="18"/>
      <c r="H41" s="19"/>
      <c r="I41" s="19"/>
      <c r="J41" s="19"/>
      <c r="K41" s="19"/>
      <c r="L41" s="19"/>
      <c r="M41" s="19"/>
      <c r="N41" s="276">
        <v>0.55000000000000004</v>
      </c>
      <c r="O41" s="277">
        <f t="shared" si="9"/>
        <v>2297.6401927448896</v>
      </c>
      <c r="P41" s="19"/>
      <c r="Q41" s="19"/>
      <c r="R41" s="19"/>
      <c r="S41" s="19"/>
      <c r="T41" s="19"/>
      <c r="U41" s="19"/>
      <c r="V41" s="276">
        <v>0.55000000000000004</v>
      </c>
      <c r="W41" s="277">
        <f t="shared" si="7"/>
        <v>6998.4283050363356</v>
      </c>
      <c r="X41" s="19"/>
      <c r="Y41" s="253"/>
      <c r="Z41" s="253"/>
      <c r="AA41" s="253"/>
    </row>
    <row r="42" spans="1:27" x14ac:dyDescent="0.25">
      <c r="A42" s="18"/>
      <c r="B42" s="18"/>
      <c r="C42" s="18"/>
      <c r="D42" s="18"/>
      <c r="E42" s="18"/>
      <c r="F42" s="18"/>
      <c r="G42" s="18"/>
      <c r="H42" s="19"/>
      <c r="I42" s="19"/>
      <c r="J42" s="19"/>
      <c r="K42" s="19"/>
      <c r="L42" s="19"/>
      <c r="M42" s="19"/>
      <c r="N42" s="276">
        <v>0.6</v>
      </c>
      <c r="O42" s="277">
        <f t="shared" si="9"/>
        <v>239.62711273969398</v>
      </c>
      <c r="P42" s="19"/>
      <c r="Q42" s="19"/>
      <c r="R42" s="19"/>
      <c r="S42" s="19"/>
      <c r="T42" s="19"/>
      <c r="U42" s="19"/>
      <c r="V42" s="276">
        <v>0.6</v>
      </c>
      <c r="W42" s="277">
        <f t="shared" si="7"/>
        <v>5182.497812949865</v>
      </c>
      <c r="X42" s="19"/>
      <c r="Y42" s="253"/>
      <c r="Z42" s="253"/>
      <c r="AA42" s="253"/>
    </row>
    <row r="43" spans="1:27" x14ac:dyDescent="0.25">
      <c r="A43" s="18"/>
      <c r="B43" s="18"/>
      <c r="C43" s="18"/>
      <c r="D43" s="18"/>
      <c r="E43" s="18"/>
      <c r="F43" s="18"/>
      <c r="G43" s="18"/>
      <c r="H43" s="19"/>
      <c r="I43" s="19"/>
      <c r="J43" s="19"/>
      <c r="K43" s="19"/>
      <c r="L43" s="19"/>
      <c r="M43" s="19"/>
      <c r="N43" s="276">
        <v>0.65</v>
      </c>
      <c r="O43" s="277">
        <f t="shared" si="9"/>
        <v>-1521.443570888001</v>
      </c>
      <c r="P43" s="19"/>
      <c r="Q43" s="19"/>
      <c r="R43" s="19"/>
      <c r="S43" s="19"/>
      <c r="T43" s="19"/>
      <c r="U43" s="19"/>
      <c r="V43" s="276">
        <v>0.65</v>
      </c>
      <c r="W43" s="277">
        <f t="shared" si="7"/>
        <v>3635.5482113315775</v>
      </c>
      <c r="X43" s="19"/>
      <c r="Y43" s="253"/>
      <c r="Z43" s="253"/>
      <c r="AA43" s="253"/>
    </row>
    <row r="44" spans="1:27" x14ac:dyDescent="0.25">
      <c r="A44" s="18"/>
      <c r="B44" s="18"/>
      <c r="C44" s="18"/>
      <c r="D44" s="18"/>
      <c r="E44" s="18"/>
      <c r="F44" s="18"/>
      <c r="G44" s="18"/>
      <c r="H44" s="19"/>
      <c r="I44" s="19"/>
      <c r="J44" s="19"/>
      <c r="K44" s="19"/>
      <c r="L44" s="19"/>
      <c r="M44" s="19"/>
      <c r="N44" s="276">
        <v>0.7</v>
      </c>
      <c r="O44" s="277">
        <f t="shared" si="9"/>
        <v>-3037.5130133668263</v>
      </c>
      <c r="P44" s="19"/>
      <c r="Q44" s="19"/>
      <c r="R44" s="19"/>
      <c r="S44" s="19"/>
      <c r="T44" s="19"/>
      <c r="U44" s="19"/>
      <c r="V44" s="276">
        <v>0.7</v>
      </c>
      <c r="W44" s="277">
        <f t="shared" si="7"/>
        <v>2309.8927645848144</v>
      </c>
      <c r="X44" s="19"/>
      <c r="Y44" s="253"/>
      <c r="Z44" s="253"/>
      <c r="AA44" s="253"/>
    </row>
    <row r="45" spans="1:27" x14ac:dyDescent="0.25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9"/>
      <c r="O45" s="19"/>
      <c r="P45" s="18"/>
      <c r="Q45" s="18"/>
      <c r="R45" s="18"/>
      <c r="S45" s="18"/>
      <c r="T45" s="18"/>
      <c r="U45" s="18"/>
      <c r="V45" s="19"/>
      <c r="W45" s="19"/>
      <c r="X45" s="18"/>
    </row>
    <row r="46" spans="1:27" x14ac:dyDescent="0.25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288" t="s">
        <v>316</v>
      </c>
      <c r="O46" s="266">
        <f>IRR(J30:J35)</f>
        <v>0.60636903920628948</v>
      </c>
      <c r="P46" s="18"/>
      <c r="Q46" s="18"/>
      <c r="R46" s="18"/>
      <c r="S46" s="18"/>
      <c r="T46" s="18"/>
      <c r="U46" s="18"/>
      <c r="V46" s="288" t="s">
        <v>317</v>
      </c>
      <c r="W46" s="266">
        <f>IRR(R30:R35)</f>
        <v>0.80977872393554273</v>
      </c>
      <c r="X46" s="18"/>
    </row>
    <row r="47" spans="1:27" x14ac:dyDescent="0.25">
      <c r="A47" s="48"/>
      <c r="B47" s="218"/>
      <c r="C47" s="218"/>
      <c r="D47" s="218"/>
      <c r="E47" s="218"/>
      <c r="F47" s="218"/>
      <c r="G47" s="2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</row>
    <row r="48" spans="1:27" x14ac:dyDescent="0.25">
      <c r="A48" s="194"/>
      <c r="B48" s="292"/>
      <c r="C48" s="292"/>
      <c r="D48" s="292"/>
      <c r="E48" s="292"/>
      <c r="F48" s="292"/>
      <c r="G48" s="292"/>
    </row>
    <row r="49" spans="1:7" x14ac:dyDescent="0.25">
      <c r="A49" s="293"/>
      <c r="B49" s="292"/>
      <c r="C49" s="292"/>
      <c r="D49" s="292"/>
      <c r="E49" s="292"/>
      <c r="F49" s="292"/>
      <c r="G49" s="292"/>
    </row>
    <row r="50" spans="1:7" x14ac:dyDescent="0.25">
      <c r="A50" s="294"/>
      <c r="B50" s="292"/>
      <c r="C50" s="292"/>
      <c r="D50" s="292"/>
      <c r="E50" s="292"/>
      <c r="F50" s="292"/>
      <c r="G50" s="292"/>
    </row>
    <row r="51" spans="1:7" x14ac:dyDescent="0.25">
      <c r="A51" s="293"/>
      <c r="B51" s="292"/>
      <c r="C51" s="292"/>
      <c r="D51" s="292"/>
      <c r="E51" s="292"/>
      <c r="F51" s="292"/>
      <c r="G51" s="292"/>
    </row>
    <row r="52" spans="1:7" x14ac:dyDescent="0.25">
      <c r="A52" s="294"/>
      <c r="B52" s="292"/>
      <c r="C52" s="292"/>
      <c r="D52" s="292"/>
      <c r="E52" s="292"/>
      <c r="F52" s="292"/>
      <c r="G52" s="292"/>
    </row>
    <row r="53" spans="1:7" x14ac:dyDescent="0.25">
      <c r="A53" s="294"/>
      <c r="B53" s="295"/>
      <c r="C53" s="292"/>
      <c r="D53" s="292"/>
      <c r="E53" s="292"/>
      <c r="F53" s="292"/>
      <c r="G53" s="292"/>
    </row>
    <row r="54" spans="1:7" x14ac:dyDescent="0.25">
      <c r="A54" s="293"/>
      <c r="B54" s="292"/>
      <c r="C54" s="292"/>
      <c r="D54" s="292"/>
      <c r="E54" s="292"/>
      <c r="F54" s="292"/>
      <c r="G54" s="292"/>
    </row>
    <row r="55" spans="1:7" x14ac:dyDescent="0.25">
      <c r="A55" s="296"/>
    </row>
  </sheetData>
  <mergeCells count="15">
    <mergeCell ref="V28:W28"/>
    <mergeCell ref="A1:G1"/>
    <mergeCell ref="I23:J23"/>
    <mergeCell ref="Q23:R23"/>
    <mergeCell ref="I24:J24"/>
    <mergeCell ref="Q24:R24"/>
    <mergeCell ref="I25:J25"/>
    <mergeCell ref="Q25:R25"/>
    <mergeCell ref="A30:A31"/>
    <mergeCell ref="B30:G30"/>
    <mergeCell ref="I26:J26"/>
    <mergeCell ref="Q26:R26"/>
    <mergeCell ref="I28:L28"/>
    <mergeCell ref="N28:O28"/>
    <mergeCell ref="Q28:T28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8"/>
  <sheetViews>
    <sheetView topLeftCell="A2" workbookViewId="0">
      <selection activeCell="A11" sqref="A11:C11"/>
    </sheetView>
  </sheetViews>
  <sheetFormatPr baseColWidth="10" defaultRowHeight="15" x14ac:dyDescent="0.25"/>
  <cols>
    <col min="2" max="2" width="13.42578125" bestFit="1" customWidth="1"/>
    <col min="3" max="3" width="11.5703125" bestFit="1" customWidth="1"/>
    <col min="4" max="4" width="15" customWidth="1"/>
    <col min="5" max="5" width="11.42578125" style="18"/>
    <col min="6" max="6" width="27.28515625" customWidth="1"/>
    <col min="8" max="8" width="14.5703125" customWidth="1"/>
    <col min="10" max="10" width="14.5703125" customWidth="1"/>
    <col min="11" max="11" width="9.85546875" customWidth="1"/>
    <col min="12" max="12" width="11.42578125" style="18"/>
    <col min="258" max="258" width="13.42578125" bestFit="1" customWidth="1"/>
    <col min="259" max="259" width="11.5703125" bestFit="1" customWidth="1"/>
    <col min="260" max="260" width="15" customWidth="1"/>
    <col min="262" max="262" width="27.28515625" customWidth="1"/>
    <col min="264" max="264" width="14.5703125" customWidth="1"/>
    <col min="266" max="266" width="14.5703125" customWidth="1"/>
    <col min="267" max="267" width="9.85546875" customWidth="1"/>
    <col min="514" max="514" width="13.42578125" bestFit="1" customWidth="1"/>
    <col min="515" max="515" width="11.5703125" bestFit="1" customWidth="1"/>
    <col min="516" max="516" width="15" customWidth="1"/>
    <col min="518" max="518" width="27.28515625" customWidth="1"/>
    <col min="520" max="520" width="14.5703125" customWidth="1"/>
    <col min="522" max="522" width="14.5703125" customWidth="1"/>
    <col min="523" max="523" width="9.85546875" customWidth="1"/>
    <col min="770" max="770" width="13.42578125" bestFit="1" customWidth="1"/>
    <col min="771" max="771" width="11.5703125" bestFit="1" customWidth="1"/>
    <col min="772" max="772" width="15" customWidth="1"/>
    <col min="774" max="774" width="27.28515625" customWidth="1"/>
    <col min="776" max="776" width="14.5703125" customWidth="1"/>
    <col min="778" max="778" width="14.5703125" customWidth="1"/>
    <col min="779" max="779" width="9.85546875" customWidth="1"/>
    <col min="1026" max="1026" width="13.42578125" bestFit="1" customWidth="1"/>
    <col min="1027" max="1027" width="11.5703125" bestFit="1" customWidth="1"/>
    <col min="1028" max="1028" width="15" customWidth="1"/>
    <col min="1030" max="1030" width="27.28515625" customWidth="1"/>
    <col min="1032" max="1032" width="14.5703125" customWidth="1"/>
    <col min="1034" max="1034" width="14.5703125" customWidth="1"/>
    <col min="1035" max="1035" width="9.85546875" customWidth="1"/>
    <col min="1282" max="1282" width="13.42578125" bestFit="1" customWidth="1"/>
    <col min="1283" max="1283" width="11.5703125" bestFit="1" customWidth="1"/>
    <col min="1284" max="1284" width="15" customWidth="1"/>
    <col min="1286" max="1286" width="27.28515625" customWidth="1"/>
    <col min="1288" max="1288" width="14.5703125" customWidth="1"/>
    <col min="1290" max="1290" width="14.5703125" customWidth="1"/>
    <col min="1291" max="1291" width="9.85546875" customWidth="1"/>
    <col min="1538" max="1538" width="13.42578125" bestFit="1" customWidth="1"/>
    <col min="1539" max="1539" width="11.5703125" bestFit="1" customWidth="1"/>
    <col min="1540" max="1540" width="15" customWidth="1"/>
    <col min="1542" max="1542" width="27.28515625" customWidth="1"/>
    <col min="1544" max="1544" width="14.5703125" customWidth="1"/>
    <col min="1546" max="1546" width="14.5703125" customWidth="1"/>
    <col min="1547" max="1547" width="9.85546875" customWidth="1"/>
    <col min="1794" max="1794" width="13.42578125" bestFit="1" customWidth="1"/>
    <col min="1795" max="1795" width="11.5703125" bestFit="1" customWidth="1"/>
    <col min="1796" max="1796" width="15" customWidth="1"/>
    <col min="1798" max="1798" width="27.28515625" customWidth="1"/>
    <col min="1800" max="1800" width="14.5703125" customWidth="1"/>
    <col min="1802" max="1802" width="14.5703125" customWidth="1"/>
    <col min="1803" max="1803" width="9.85546875" customWidth="1"/>
    <col min="2050" max="2050" width="13.42578125" bestFit="1" customWidth="1"/>
    <col min="2051" max="2051" width="11.5703125" bestFit="1" customWidth="1"/>
    <col min="2052" max="2052" width="15" customWidth="1"/>
    <col min="2054" max="2054" width="27.28515625" customWidth="1"/>
    <col min="2056" max="2056" width="14.5703125" customWidth="1"/>
    <col min="2058" max="2058" width="14.5703125" customWidth="1"/>
    <col min="2059" max="2059" width="9.85546875" customWidth="1"/>
    <col min="2306" max="2306" width="13.42578125" bestFit="1" customWidth="1"/>
    <col min="2307" max="2307" width="11.5703125" bestFit="1" customWidth="1"/>
    <col min="2308" max="2308" width="15" customWidth="1"/>
    <col min="2310" max="2310" width="27.28515625" customWidth="1"/>
    <col min="2312" max="2312" width="14.5703125" customWidth="1"/>
    <col min="2314" max="2314" width="14.5703125" customWidth="1"/>
    <col min="2315" max="2315" width="9.85546875" customWidth="1"/>
    <col min="2562" max="2562" width="13.42578125" bestFit="1" customWidth="1"/>
    <col min="2563" max="2563" width="11.5703125" bestFit="1" customWidth="1"/>
    <col min="2564" max="2564" width="15" customWidth="1"/>
    <col min="2566" max="2566" width="27.28515625" customWidth="1"/>
    <col min="2568" max="2568" width="14.5703125" customWidth="1"/>
    <col min="2570" max="2570" width="14.5703125" customWidth="1"/>
    <col min="2571" max="2571" width="9.85546875" customWidth="1"/>
    <col min="2818" max="2818" width="13.42578125" bestFit="1" customWidth="1"/>
    <col min="2819" max="2819" width="11.5703125" bestFit="1" customWidth="1"/>
    <col min="2820" max="2820" width="15" customWidth="1"/>
    <col min="2822" max="2822" width="27.28515625" customWidth="1"/>
    <col min="2824" max="2824" width="14.5703125" customWidth="1"/>
    <col min="2826" max="2826" width="14.5703125" customWidth="1"/>
    <col min="2827" max="2827" width="9.85546875" customWidth="1"/>
    <col min="3074" max="3074" width="13.42578125" bestFit="1" customWidth="1"/>
    <col min="3075" max="3075" width="11.5703125" bestFit="1" customWidth="1"/>
    <col min="3076" max="3076" width="15" customWidth="1"/>
    <col min="3078" max="3078" width="27.28515625" customWidth="1"/>
    <col min="3080" max="3080" width="14.5703125" customWidth="1"/>
    <col min="3082" max="3082" width="14.5703125" customWidth="1"/>
    <col min="3083" max="3083" width="9.85546875" customWidth="1"/>
    <col min="3330" max="3330" width="13.42578125" bestFit="1" customWidth="1"/>
    <col min="3331" max="3331" width="11.5703125" bestFit="1" customWidth="1"/>
    <col min="3332" max="3332" width="15" customWidth="1"/>
    <col min="3334" max="3334" width="27.28515625" customWidth="1"/>
    <col min="3336" max="3336" width="14.5703125" customWidth="1"/>
    <col min="3338" max="3338" width="14.5703125" customWidth="1"/>
    <col min="3339" max="3339" width="9.85546875" customWidth="1"/>
    <col min="3586" max="3586" width="13.42578125" bestFit="1" customWidth="1"/>
    <col min="3587" max="3587" width="11.5703125" bestFit="1" customWidth="1"/>
    <col min="3588" max="3588" width="15" customWidth="1"/>
    <col min="3590" max="3590" width="27.28515625" customWidth="1"/>
    <col min="3592" max="3592" width="14.5703125" customWidth="1"/>
    <col min="3594" max="3594" width="14.5703125" customWidth="1"/>
    <col min="3595" max="3595" width="9.85546875" customWidth="1"/>
    <col min="3842" max="3842" width="13.42578125" bestFit="1" customWidth="1"/>
    <col min="3843" max="3843" width="11.5703125" bestFit="1" customWidth="1"/>
    <col min="3844" max="3844" width="15" customWidth="1"/>
    <col min="3846" max="3846" width="27.28515625" customWidth="1"/>
    <col min="3848" max="3848" width="14.5703125" customWidth="1"/>
    <col min="3850" max="3850" width="14.5703125" customWidth="1"/>
    <col min="3851" max="3851" width="9.85546875" customWidth="1"/>
    <col min="4098" max="4098" width="13.42578125" bestFit="1" customWidth="1"/>
    <col min="4099" max="4099" width="11.5703125" bestFit="1" customWidth="1"/>
    <col min="4100" max="4100" width="15" customWidth="1"/>
    <col min="4102" max="4102" width="27.28515625" customWidth="1"/>
    <col min="4104" max="4104" width="14.5703125" customWidth="1"/>
    <col min="4106" max="4106" width="14.5703125" customWidth="1"/>
    <col min="4107" max="4107" width="9.85546875" customWidth="1"/>
    <col min="4354" max="4354" width="13.42578125" bestFit="1" customWidth="1"/>
    <col min="4355" max="4355" width="11.5703125" bestFit="1" customWidth="1"/>
    <col min="4356" max="4356" width="15" customWidth="1"/>
    <col min="4358" max="4358" width="27.28515625" customWidth="1"/>
    <col min="4360" max="4360" width="14.5703125" customWidth="1"/>
    <col min="4362" max="4362" width="14.5703125" customWidth="1"/>
    <col min="4363" max="4363" width="9.85546875" customWidth="1"/>
    <col min="4610" max="4610" width="13.42578125" bestFit="1" customWidth="1"/>
    <col min="4611" max="4611" width="11.5703125" bestFit="1" customWidth="1"/>
    <col min="4612" max="4612" width="15" customWidth="1"/>
    <col min="4614" max="4614" width="27.28515625" customWidth="1"/>
    <col min="4616" max="4616" width="14.5703125" customWidth="1"/>
    <col min="4618" max="4618" width="14.5703125" customWidth="1"/>
    <col min="4619" max="4619" width="9.85546875" customWidth="1"/>
    <col min="4866" max="4866" width="13.42578125" bestFit="1" customWidth="1"/>
    <col min="4867" max="4867" width="11.5703125" bestFit="1" customWidth="1"/>
    <col min="4868" max="4868" width="15" customWidth="1"/>
    <col min="4870" max="4870" width="27.28515625" customWidth="1"/>
    <col min="4872" max="4872" width="14.5703125" customWidth="1"/>
    <col min="4874" max="4874" width="14.5703125" customWidth="1"/>
    <col min="4875" max="4875" width="9.85546875" customWidth="1"/>
    <col min="5122" max="5122" width="13.42578125" bestFit="1" customWidth="1"/>
    <col min="5123" max="5123" width="11.5703125" bestFit="1" customWidth="1"/>
    <col min="5124" max="5124" width="15" customWidth="1"/>
    <col min="5126" max="5126" width="27.28515625" customWidth="1"/>
    <col min="5128" max="5128" width="14.5703125" customWidth="1"/>
    <col min="5130" max="5130" width="14.5703125" customWidth="1"/>
    <col min="5131" max="5131" width="9.85546875" customWidth="1"/>
    <col min="5378" max="5378" width="13.42578125" bestFit="1" customWidth="1"/>
    <col min="5379" max="5379" width="11.5703125" bestFit="1" customWidth="1"/>
    <col min="5380" max="5380" width="15" customWidth="1"/>
    <col min="5382" max="5382" width="27.28515625" customWidth="1"/>
    <col min="5384" max="5384" width="14.5703125" customWidth="1"/>
    <col min="5386" max="5386" width="14.5703125" customWidth="1"/>
    <col min="5387" max="5387" width="9.85546875" customWidth="1"/>
    <col min="5634" max="5634" width="13.42578125" bestFit="1" customWidth="1"/>
    <col min="5635" max="5635" width="11.5703125" bestFit="1" customWidth="1"/>
    <col min="5636" max="5636" width="15" customWidth="1"/>
    <col min="5638" max="5638" width="27.28515625" customWidth="1"/>
    <col min="5640" max="5640" width="14.5703125" customWidth="1"/>
    <col min="5642" max="5642" width="14.5703125" customWidth="1"/>
    <col min="5643" max="5643" width="9.85546875" customWidth="1"/>
    <col min="5890" max="5890" width="13.42578125" bestFit="1" customWidth="1"/>
    <col min="5891" max="5891" width="11.5703125" bestFit="1" customWidth="1"/>
    <col min="5892" max="5892" width="15" customWidth="1"/>
    <col min="5894" max="5894" width="27.28515625" customWidth="1"/>
    <col min="5896" max="5896" width="14.5703125" customWidth="1"/>
    <col min="5898" max="5898" width="14.5703125" customWidth="1"/>
    <col min="5899" max="5899" width="9.85546875" customWidth="1"/>
    <col min="6146" max="6146" width="13.42578125" bestFit="1" customWidth="1"/>
    <col min="6147" max="6147" width="11.5703125" bestFit="1" customWidth="1"/>
    <col min="6148" max="6148" width="15" customWidth="1"/>
    <col min="6150" max="6150" width="27.28515625" customWidth="1"/>
    <col min="6152" max="6152" width="14.5703125" customWidth="1"/>
    <col min="6154" max="6154" width="14.5703125" customWidth="1"/>
    <col min="6155" max="6155" width="9.85546875" customWidth="1"/>
    <col min="6402" max="6402" width="13.42578125" bestFit="1" customWidth="1"/>
    <col min="6403" max="6403" width="11.5703125" bestFit="1" customWidth="1"/>
    <col min="6404" max="6404" width="15" customWidth="1"/>
    <col min="6406" max="6406" width="27.28515625" customWidth="1"/>
    <col min="6408" max="6408" width="14.5703125" customWidth="1"/>
    <col min="6410" max="6410" width="14.5703125" customWidth="1"/>
    <col min="6411" max="6411" width="9.85546875" customWidth="1"/>
    <col min="6658" max="6658" width="13.42578125" bestFit="1" customWidth="1"/>
    <col min="6659" max="6659" width="11.5703125" bestFit="1" customWidth="1"/>
    <col min="6660" max="6660" width="15" customWidth="1"/>
    <col min="6662" max="6662" width="27.28515625" customWidth="1"/>
    <col min="6664" max="6664" width="14.5703125" customWidth="1"/>
    <col min="6666" max="6666" width="14.5703125" customWidth="1"/>
    <col min="6667" max="6667" width="9.85546875" customWidth="1"/>
    <col min="6914" max="6914" width="13.42578125" bestFit="1" customWidth="1"/>
    <col min="6915" max="6915" width="11.5703125" bestFit="1" customWidth="1"/>
    <col min="6916" max="6916" width="15" customWidth="1"/>
    <col min="6918" max="6918" width="27.28515625" customWidth="1"/>
    <col min="6920" max="6920" width="14.5703125" customWidth="1"/>
    <col min="6922" max="6922" width="14.5703125" customWidth="1"/>
    <col min="6923" max="6923" width="9.85546875" customWidth="1"/>
    <col min="7170" max="7170" width="13.42578125" bestFit="1" customWidth="1"/>
    <col min="7171" max="7171" width="11.5703125" bestFit="1" customWidth="1"/>
    <col min="7172" max="7172" width="15" customWidth="1"/>
    <col min="7174" max="7174" width="27.28515625" customWidth="1"/>
    <col min="7176" max="7176" width="14.5703125" customWidth="1"/>
    <col min="7178" max="7178" width="14.5703125" customWidth="1"/>
    <col min="7179" max="7179" width="9.85546875" customWidth="1"/>
    <col min="7426" max="7426" width="13.42578125" bestFit="1" customWidth="1"/>
    <col min="7427" max="7427" width="11.5703125" bestFit="1" customWidth="1"/>
    <col min="7428" max="7428" width="15" customWidth="1"/>
    <col min="7430" max="7430" width="27.28515625" customWidth="1"/>
    <col min="7432" max="7432" width="14.5703125" customWidth="1"/>
    <col min="7434" max="7434" width="14.5703125" customWidth="1"/>
    <col min="7435" max="7435" width="9.85546875" customWidth="1"/>
    <col min="7682" max="7682" width="13.42578125" bestFit="1" customWidth="1"/>
    <col min="7683" max="7683" width="11.5703125" bestFit="1" customWidth="1"/>
    <col min="7684" max="7684" width="15" customWidth="1"/>
    <col min="7686" max="7686" width="27.28515625" customWidth="1"/>
    <col min="7688" max="7688" width="14.5703125" customWidth="1"/>
    <col min="7690" max="7690" width="14.5703125" customWidth="1"/>
    <col min="7691" max="7691" width="9.85546875" customWidth="1"/>
    <col min="7938" max="7938" width="13.42578125" bestFit="1" customWidth="1"/>
    <col min="7939" max="7939" width="11.5703125" bestFit="1" customWidth="1"/>
    <col min="7940" max="7940" width="15" customWidth="1"/>
    <col min="7942" max="7942" width="27.28515625" customWidth="1"/>
    <col min="7944" max="7944" width="14.5703125" customWidth="1"/>
    <col min="7946" max="7946" width="14.5703125" customWidth="1"/>
    <col min="7947" max="7947" width="9.85546875" customWidth="1"/>
    <col min="8194" max="8194" width="13.42578125" bestFit="1" customWidth="1"/>
    <col min="8195" max="8195" width="11.5703125" bestFit="1" customWidth="1"/>
    <col min="8196" max="8196" width="15" customWidth="1"/>
    <col min="8198" max="8198" width="27.28515625" customWidth="1"/>
    <col min="8200" max="8200" width="14.5703125" customWidth="1"/>
    <col min="8202" max="8202" width="14.5703125" customWidth="1"/>
    <col min="8203" max="8203" width="9.85546875" customWidth="1"/>
    <col min="8450" max="8450" width="13.42578125" bestFit="1" customWidth="1"/>
    <col min="8451" max="8451" width="11.5703125" bestFit="1" customWidth="1"/>
    <col min="8452" max="8452" width="15" customWidth="1"/>
    <col min="8454" max="8454" width="27.28515625" customWidth="1"/>
    <col min="8456" max="8456" width="14.5703125" customWidth="1"/>
    <col min="8458" max="8458" width="14.5703125" customWidth="1"/>
    <col min="8459" max="8459" width="9.85546875" customWidth="1"/>
    <col min="8706" max="8706" width="13.42578125" bestFit="1" customWidth="1"/>
    <col min="8707" max="8707" width="11.5703125" bestFit="1" customWidth="1"/>
    <col min="8708" max="8708" width="15" customWidth="1"/>
    <col min="8710" max="8710" width="27.28515625" customWidth="1"/>
    <col min="8712" max="8712" width="14.5703125" customWidth="1"/>
    <col min="8714" max="8714" width="14.5703125" customWidth="1"/>
    <col min="8715" max="8715" width="9.85546875" customWidth="1"/>
    <col min="8962" max="8962" width="13.42578125" bestFit="1" customWidth="1"/>
    <col min="8963" max="8963" width="11.5703125" bestFit="1" customWidth="1"/>
    <col min="8964" max="8964" width="15" customWidth="1"/>
    <col min="8966" max="8966" width="27.28515625" customWidth="1"/>
    <col min="8968" max="8968" width="14.5703125" customWidth="1"/>
    <col min="8970" max="8970" width="14.5703125" customWidth="1"/>
    <col min="8971" max="8971" width="9.85546875" customWidth="1"/>
    <col min="9218" max="9218" width="13.42578125" bestFit="1" customWidth="1"/>
    <col min="9219" max="9219" width="11.5703125" bestFit="1" customWidth="1"/>
    <col min="9220" max="9220" width="15" customWidth="1"/>
    <col min="9222" max="9222" width="27.28515625" customWidth="1"/>
    <col min="9224" max="9224" width="14.5703125" customWidth="1"/>
    <col min="9226" max="9226" width="14.5703125" customWidth="1"/>
    <col min="9227" max="9227" width="9.85546875" customWidth="1"/>
    <col min="9474" max="9474" width="13.42578125" bestFit="1" customWidth="1"/>
    <col min="9475" max="9475" width="11.5703125" bestFit="1" customWidth="1"/>
    <col min="9476" max="9476" width="15" customWidth="1"/>
    <col min="9478" max="9478" width="27.28515625" customWidth="1"/>
    <col min="9480" max="9480" width="14.5703125" customWidth="1"/>
    <col min="9482" max="9482" width="14.5703125" customWidth="1"/>
    <col min="9483" max="9483" width="9.85546875" customWidth="1"/>
    <col min="9730" max="9730" width="13.42578125" bestFit="1" customWidth="1"/>
    <col min="9731" max="9731" width="11.5703125" bestFit="1" customWidth="1"/>
    <col min="9732" max="9732" width="15" customWidth="1"/>
    <col min="9734" max="9734" width="27.28515625" customWidth="1"/>
    <col min="9736" max="9736" width="14.5703125" customWidth="1"/>
    <col min="9738" max="9738" width="14.5703125" customWidth="1"/>
    <col min="9739" max="9739" width="9.85546875" customWidth="1"/>
    <col min="9986" max="9986" width="13.42578125" bestFit="1" customWidth="1"/>
    <col min="9987" max="9987" width="11.5703125" bestFit="1" customWidth="1"/>
    <col min="9988" max="9988" width="15" customWidth="1"/>
    <col min="9990" max="9990" width="27.28515625" customWidth="1"/>
    <col min="9992" max="9992" width="14.5703125" customWidth="1"/>
    <col min="9994" max="9994" width="14.5703125" customWidth="1"/>
    <col min="9995" max="9995" width="9.85546875" customWidth="1"/>
    <col min="10242" max="10242" width="13.42578125" bestFit="1" customWidth="1"/>
    <col min="10243" max="10243" width="11.5703125" bestFit="1" customWidth="1"/>
    <col min="10244" max="10244" width="15" customWidth="1"/>
    <col min="10246" max="10246" width="27.28515625" customWidth="1"/>
    <col min="10248" max="10248" width="14.5703125" customWidth="1"/>
    <col min="10250" max="10250" width="14.5703125" customWidth="1"/>
    <col min="10251" max="10251" width="9.85546875" customWidth="1"/>
    <col min="10498" max="10498" width="13.42578125" bestFit="1" customWidth="1"/>
    <col min="10499" max="10499" width="11.5703125" bestFit="1" customWidth="1"/>
    <col min="10500" max="10500" width="15" customWidth="1"/>
    <col min="10502" max="10502" width="27.28515625" customWidth="1"/>
    <col min="10504" max="10504" width="14.5703125" customWidth="1"/>
    <col min="10506" max="10506" width="14.5703125" customWidth="1"/>
    <col min="10507" max="10507" width="9.85546875" customWidth="1"/>
    <col min="10754" max="10754" width="13.42578125" bestFit="1" customWidth="1"/>
    <col min="10755" max="10755" width="11.5703125" bestFit="1" customWidth="1"/>
    <col min="10756" max="10756" width="15" customWidth="1"/>
    <col min="10758" max="10758" width="27.28515625" customWidth="1"/>
    <col min="10760" max="10760" width="14.5703125" customWidth="1"/>
    <col min="10762" max="10762" width="14.5703125" customWidth="1"/>
    <col min="10763" max="10763" width="9.85546875" customWidth="1"/>
    <col min="11010" max="11010" width="13.42578125" bestFit="1" customWidth="1"/>
    <col min="11011" max="11011" width="11.5703125" bestFit="1" customWidth="1"/>
    <col min="11012" max="11012" width="15" customWidth="1"/>
    <col min="11014" max="11014" width="27.28515625" customWidth="1"/>
    <col min="11016" max="11016" width="14.5703125" customWidth="1"/>
    <col min="11018" max="11018" width="14.5703125" customWidth="1"/>
    <col min="11019" max="11019" width="9.85546875" customWidth="1"/>
    <col min="11266" max="11266" width="13.42578125" bestFit="1" customWidth="1"/>
    <col min="11267" max="11267" width="11.5703125" bestFit="1" customWidth="1"/>
    <col min="11268" max="11268" width="15" customWidth="1"/>
    <col min="11270" max="11270" width="27.28515625" customWidth="1"/>
    <col min="11272" max="11272" width="14.5703125" customWidth="1"/>
    <col min="11274" max="11274" width="14.5703125" customWidth="1"/>
    <col min="11275" max="11275" width="9.85546875" customWidth="1"/>
    <col min="11522" max="11522" width="13.42578125" bestFit="1" customWidth="1"/>
    <col min="11523" max="11523" width="11.5703125" bestFit="1" customWidth="1"/>
    <col min="11524" max="11524" width="15" customWidth="1"/>
    <col min="11526" max="11526" width="27.28515625" customWidth="1"/>
    <col min="11528" max="11528" width="14.5703125" customWidth="1"/>
    <col min="11530" max="11530" width="14.5703125" customWidth="1"/>
    <col min="11531" max="11531" width="9.85546875" customWidth="1"/>
    <col min="11778" max="11778" width="13.42578125" bestFit="1" customWidth="1"/>
    <col min="11779" max="11779" width="11.5703125" bestFit="1" customWidth="1"/>
    <col min="11780" max="11780" width="15" customWidth="1"/>
    <col min="11782" max="11782" width="27.28515625" customWidth="1"/>
    <col min="11784" max="11784" width="14.5703125" customWidth="1"/>
    <col min="11786" max="11786" width="14.5703125" customWidth="1"/>
    <col min="11787" max="11787" width="9.85546875" customWidth="1"/>
    <col min="12034" max="12034" width="13.42578125" bestFit="1" customWidth="1"/>
    <col min="12035" max="12035" width="11.5703125" bestFit="1" customWidth="1"/>
    <col min="12036" max="12036" width="15" customWidth="1"/>
    <col min="12038" max="12038" width="27.28515625" customWidth="1"/>
    <col min="12040" max="12040" width="14.5703125" customWidth="1"/>
    <col min="12042" max="12042" width="14.5703125" customWidth="1"/>
    <col min="12043" max="12043" width="9.85546875" customWidth="1"/>
    <col min="12290" max="12290" width="13.42578125" bestFit="1" customWidth="1"/>
    <col min="12291" max="12291" width="11.5703125" bestFit="1" customWidth="1"/>
    <col min="12292" max="12292" width="15" customWidth="1"/>
    <col min="12294" max="12294" width="27.28515625" customWidth="1"/>
    <col min="12296" max="12296" width="14.5703125" customWidth="1"/>
    <col min="12298" max="12298" width="14.5703125" customWidth="1"/>
    <col min="12299" max="12299" width="9.85546875" customWidth="1"/>
    <col min="12546" max="12546" width="13.42578125" bestFit="1" customWidth="1"/>
    <col min="12547" max="12547" width="11.5703125" bestFit="1" customWidth="1"/>
    <col min="12548" max="12548" width="15" customWidth="1"/>
    <col min="12550" max="12550" width="27.28515625" customWidth="1"/>
    <col min="12552" max="12552" width="14.5703125" customWidth="1"/>
    <col min="12554" max="12554" width="14.5703125" customWidth="1"/>
    <col min="12555" max="12555" width="9.85546875" customWidth="1"/>
    <col min="12802" max="12802" width="13.42578125" bestFit="1" customWidth="1"/>
    <col min="12803" max="12803" width="11.5703125" bestFit="1" customWidth="1"/>
    <col min="12804" max="12804" width="15" customWidth="1"/>
    <col min="12806" max="12806" width="27.28515625" customWidth="1"/>
    <col min="12808" max="12808" width="14.5703125" customWidth="1"/>
    <col min="12810" max="12810" width="14.5703125" customWidth="1"/>
    <col min="12811" max="12811" width="9.85546875" customWidth="1"/>
    <col min="13058" max="13058" width="13.42578125" bestFit="1" customWidth="1"/>
    <col min="13059" max="13059" width="11.5703125" bestFit="1" customWidth="1"/>
    <col min="13060" max="13060" width="15" customWidth="1"/>
    <col min="13062" max="13062" width="27.28515625" customWidth="1"/>
    <col min="13064" max="13064" width="14.5703125" customWidth="1"/>
    <col min="13066" max="13066" width="14.5703125" customWidth="1"/>
    <col min="13067" max="13067" width="9.85546875" customWidth="1"/>
    <col min="13314" max="13314" width="13.42578125" bestFit="1" customWidth="1"/>
    <col min="13315" max="13315" width="11.5703125" bestFit="1" customWidth="1"/>
    <col min="13316" max="13316" width="15" customWidth="1"/>
    <col min="13318" max="13318" width="27.28515625" customWidth="1"/>
    <col min="13320" max="13320" width="14.5703125" customWidth="1"/>
    <col min="13322" max="13322" width="14.5703125" customWidth="1"/>
    <col min="13323" max="13323" width="9.85546875" customWidth="1"/>
    <col min="13570" max="13570" width="13.42578125" bestFit="1" customWidth="1"/>
    <col min="13571" max="13571" width="11.5703125" bestFit="1" customWidth="1"/>
    <col min="13572" max="13572" width="15" customWidth="1"/>
    <col min="13574" max="13574" width="27.28515625" customWidth="1"/>
    <col min="13576" max="13576" width="14.5703125" customWidth="1"/>
    <col min="13578" max="13578" width="14.5703125" customWidth="1"/>
    <col min="13579" max="13579" width="9.85546875" customWidth="1"/>
    <col min="13826" max="13826" width="13.42578125" bestFit="1" customWidth="1"/>
    <col min="13827" max="13827" width="11.5703125" bestFit="1" customWidth="1"/>
    <col min="13828" max="13828" width="15" customWidth="1"/>
    <col min="13830" max="13830" width="27.28515625" customWidth="1"/>
    <col min="13832" max="13832" width="14.5703125" customWidth="1"/>
    <col min="13834" max="13834" width="14.5703125" customWidth="1"/>
    <col min="13835" max="13835" width="9.85546875" customWidth="1"/>
    <col min="14082" max="14082" width="13.42578125" bestFit="1" customWidth="1"/>
    <col min="14083" max="14083" width="11.5703125" bestFit="1" customWidth="1"/>
    <col min="14084" max="14084" width="15" customWidth="1"/>
    <col min="14086" max="14086" width="27.28515625" customWidth="1"/>
    <col min="14088" max="14088" width="14.5703125" customWidth="1"/>
    <col min="14090" max="14090" width="14.5703125" customWidth="1"/>
    <col min="14091" max="14091" width="9.85546875" customWidth="1"/>
    <col min="14338" max="14338" width="13.42578125" bestFit="1" customWidth="1"/>
    <col min="14339" max="14339" width="11.5703125" bestFit="1" customWidth="1"/>
    <col min="14340" max="14340" width="15" customWidth="1"/>
    <col min="14342" max="14342" width="27.28515625" customWidth="1"/>
    <col min="14344" max="14344" width="14.5703125" customWidth="1"/>
    <col min="14346" max="14346" width="14.5703125" customWidth="1"/>
    <col min="14347" max="14347" width="9.85546875" customWidth="1"/>
    <col min="14594" max="14594" width="13.42578125" bestFit="1" customWidth="1"/>
    <col min="14595" max="14595" width="11.5703125" bestFit="1" customWidth="1"/>
    <col min="14596" max="14596" width="15" customWidth="1"/>
    <col min="14598" max="14598" width="27.28515625" customWidth="1"/>
    <col min="14600" max="14600" width="14.5703125" customWidth="1"/>
    <col min="14602" max="14602" width="14.5703125" customWidth="1"/>
    <col min="14603" max="14603" width="9.85546875" customWidth="1"/>
    <col min="14850" max="14850" width="13.42578125" bestFit="1" customWidth="1"/>
    <col min="14851" max="14851" width="11.5703125" bestFit="1" customWidth="1"/>
    <col min="14852" max="14852" width="15" customWidth="1"/>
    <col min="14854" max="14854" width="27.28515625" customWidth="1"/>
    <col min="14856" max="14856" width="14.5703125" customWidth="1"/>
    <col min="14858" max="14858" width="14.5703125" customWidth="1"/>
    <col min="14859" max="14859" width="9.85546875" customWidth="1"/>
    <col min="15106" max="15106" width="13.42578125" bestFit="1" customWidth="1"/>
    <col min="15107" max="15107" width="11.5703125" bestFit="1" customWidth="1"/>
    <col min="15108" max="15108" width="15" customWidth="1"/>
    <col min="15110" max="15110" width="27.28515625" customWidth="1"/>
    <col min="15112" max="15112" width="14.5703125" customWidth="1"/>
    <col min="15114" max="15114" width="14.5703125" customWidth="1"/>
    <col min="15115" max="15115" width="9.85546875" customWidth="1"/>
    <col min="15362" max="15362" width="13.42578125" bestFit="1" customWidth="1"/>
    <col min="15363" max="15363" width="11.5703125" bestFit="1" customWidth="1"/>
    <col min="15364" max="15364" width="15" customWidth="1"/>
    <col min="15366" max="15366" width="27.28515625" customWidth="1"/>
    <col min="15368" max="15368" width="14.5703125" customWidth="1"/>
    <col min="15370" max="15370" width="14.5703125" customWidth="1"/>
    <col min="15371" max="15371" width="9.85546875" customWidth="1"/>
    <col min="15618" max="15618" width="13.42578125" bestFit="1" customWidth="1"/>
    <col min="15619" max="15619" width="11.5703125" bestFit="1" customWidth="1"/>
    <col min="15620" max="15620" width="15" customWidth="1"/>
    <col min="15622" max="15622" width="27.28515625" customWidth="1"/>
    <col min="15624" max="15624" width="14.5703125" customWidth="1"/>
    <col min="15626" max="15626" width="14.5703125" customWidth="1"/>
    <col min="15627" max="15627" width="9.85546875" customWidth="1"/>
    <col min="15874" max="15874" width="13.42578125" bestFit="1" customWidth="1"/>
    <col min="15875" max="15875" width="11.5703125" bestFit="1" customWidth="1"/>
    <col min="15876" max="15876" width="15" customWidth="1"/>
    <col min="15878" max="15878" width="27.28515625" customWidth="1"/>
    <col min="15880" max="15880" width="14.5703125" customWidth="1"/>
    <col min="15882" max="15882" width="14.5703125" customWidth="1"/>
    <col min="15883" max="15883" width="9.85546875" customWidth="1"/>
    <col min="16130" max="16130" width="13.42578125" bestFit="1" customWidth="1"/>
    <col min="16131" max="16131" width="11.5703125" bestFit="1" customWidth="1"/>
    <col min="16132" max="16132" width="15" customWidth="1"/>
    <col min="16134" max="16134" width="27.28515625" customWidth="1"/>
    <col min="16136" max="16136" width="14.5703125" customWidth="1"/>
    <col min="16138" max="16138" width="14.5703125" customWidth="1"/>
    <col min="16139" max="16139" width="9.85546875" customWidth="1"/>
  </cols>
  <sheetData>
    <row r="1" spans="1:12" x14ac:dyDescent="0.25">
      <c r="A1" s="37" t="s">
        <v>288</v>
      </c>
      <c r="B1" s="319">
        <f>'FLUJO DE CAJA'!B25</f>
        <v>0.16497892858842822</v>
      </c>
      <c r="C1" s="18"/>
      <c r="D1" s="18"/>
      <c r="F1" s="18"/>
      <c r="G1" s="29" t="s">
        <v>285</v>
      </c>
      <c r="H1" s="301">
        <f>'FLUJO DE CAJA'!B24</f>
        <v>0.2</v>
      </c>
      <c r="I1" s="18"/>
      <c r="J1" s="18"/>
      <c r="K1" s="18"/>
    </row>
    <row r="2" spans="1:12" x14ac:dyDescent="0.25">
      <c r="A2" s="382"/>
      <c r="B2" s="382"/>
      <c r="C2" s="382"/>
      <c r="D2" s="382"/>
      <c r="F2" s="18"/>
      <c r="G2" s="382"/>
      <c r="H2" s="382"/>
      <c r="I2" s="382"/>
      <c r="J2" s="382"/>
      <c r="K2" s="18"/>
    </row>
    <row r="3" spans="1:12" x14ac:dyDescent="0.25">
      <c r="A3" s="383" t="s">
        <v>318</v>
      </c>
      <c r="B3" s="383"/>
      <c r="C3" s="383"/>
      <c r="D3" s="383"/>
      <c r="F3" s="18"/>
      <c r="G3" s="383" t="s">
        <v>319</v>
      </c>
      <c r="H3" s="383"/>
      <c r="I3" s="383"/>
      <c r="J3" s="383"/>
      <c r="K3" s="18"/>
    </row>
    <row r="4" spans="1:12" x14ac:dyDescent="0.25">
      <c r="A4" s="299" t="s">
        <v>207</v>
      </c>
      <c r="B4" s="299" t="s">
        <v>320</v>
      </c>
      <c r="C4" s="299" t="s">
        <v>321</v>
      </c>
      <c r="D4" s="299" t="s">
        <v>322</v>
      </c>
      <c r="F4" s="18"/>
      <c r="G4" s="299" t="s">
        <v>207</v>
      </c>
      <c r="H4" s="299" t="s">
        <v>323</v>
      </c>
      <c r="I4" s="299" t="s">
        <v>321</v>
      </c>
      <c r="J4" s="299" t="s">
        <v>289</v>
      </c>
      <c r="K4" s="18"/>
    </row>
    <row r="5" spans="1:12" x14ac:dyDescent="0.25">
      <c r="A5" s="156">
        <v>0</v>
      </c>
      <c r="B5" s="40">
        <f>'FLUJO DE CAJA'!J30</f>
        <v>-17437.37</v>
      </c>
      <c r="C5" s="300">
        <f>'FLUJO DE CAJA'!K30</f>
        <v>1</v>
      </c>
      <c r="D5" s="40">
        <f>B5*C5</f>
        <v>-17437.37</v>
      </c>
      <c r="F5" s="18"/>
      <c r="G5" s="156">
        <v>0</v>
      </c>
      <c r="H5" s="40">
        <f>'FLUJO DE CAJA'!R30</f>
        <v>-9185</v>
      </c>
      <c r="I5" s="40">
        <f>'FLUJO DE CAJA'!S30</f>
        <v>1</v>
      </c>
      <c r="J5" s="40">
        <f>H5*I5</f>
        <v>-9185</v>
      </c>
      <c r="K5" s="18"/>
    </row>
    <row r="6" spans="1:12" x14ac:dyDescent="0.25">
      <c r="A6" s="156">
        <v>1</v>
      </c>
      <c r="B6" s="40">
        <f>'FLUJO DE CAJA'!J31</f>
        <v>2664.9487399999925</v>
      </c>
      <c r="C6" s="300">
        <f>'[1]FLUJO DE CAJA '!K31</f>
        <v>1.1685592955126309</v>
      </c>
      <c r="D6" s="40">
        <f>B6/C6</f>
        <v>2280.5421601057192</v>
      </c>
      <c r="F6" s="18"/>
      <c r="G6" s="156">
        <v>1</v>
      </c>
      <c r="H6" s="40">
        <f>'FLUJO DE CAJA'!R31</f>
        <v>557.95931317372992</v>
      </c>
      <c r="I6" s="40">
        <f>'FLUJO DE CAJA'!S31</f>
        <v>1.2</v>
      </c>
      <c r="J6" s="40">
        <f>H6/I6</f>
        <v>464.96609431144162</v>
      </c>
      <c r="K6" s="18"/>
    </row>
    <row r="7" spans="1:12" x14ac:dyDescent="0.25">
      <c r="A7" s="156">
        <v>2</v>
      </c>
      <c r="B7" s="40">
        <f>'FLUJO DE CAJA'!J32</f>
        <v>9222.1649049999978</v>
      </c>
      <c r="C7" s="300">
        <f>'[1]FLUJO DE CAJA '!K32</f>
        <v>1.3655308271289763</v>
      </c>
      <c r="D7" s="40">
        <f>B7/C7</f>
        <v>6753.5384202124287</v>
      </c>
      <c r="F7" s="18"/>
      <c r="G7" s="156">
        <v>2</v>
      </c>
      <c r="H7" s="40">
        <f>'FLUJO DE CAJA'!R32</f>
        <v>7048.6384162515687</v>
      </c>
      <c r="I7" s="40">
        <f>'FLUJO DE CAJA'!S32</f>
        <v>1.44</v>
      </c>
      <c r="J7" s="40">
        <f>H7/I7</f>
        <v>4894.8877890635895</v>
      </c>
      <c r="K7" s="18"/>
    </row>
    <row r="8" spans="1:12" x14ac:dyDescent="0.25">
      <c r="A8" s="156">
        <v>3</v>
      </c>
      <c r="B8" s="40">
        <f>'FLUJO DE CAJA'!J33</f>
        <v>14132.545298749988</v>
      </c>
      <c r="C8" s="300">
        <f>'[1]FLUJO DE CAJA '!K33</f>
        <v>1.5957037413506168</v>
      </c>
      <c r="D8" s="40">
        <f>B8/C8</f>
        <v>8856.622274250034</v>
      </c>
      <c r="F8" s="18"/>
      <c r="G8" s="156">
        <v>3</v>
      </c>
      <c r="H8" s="40">
        <f>'FLUJO DE CAJA'!R33</f>
        <v>11879.174335694959</v>
      </c>
      <c r="I8" s="40">
        <f>'FLUJO DE CAJA'!S33</f>
        <v>1.728</v>
      </c>
      <c r="J8" s="40">
        <f>H8/I8</f>
        <v>6874.5221850086573</v>
      </c>
      <c r="K8" s="18"/>
    </row>
    <row r="9" spans="1:12" x14ac:dyDescent="0.25">
      <c r="A9" s="156">
        <v>4</v>
      </c>
      <c r="B9" s="40">
        <f>'FLUJO DE CAJA'!J34</f>
        <v>21094.6918495625</v>
      </c>
      <c r="C9" s="300">
        <f>'[1]FLUJO DE CAJA '!K34</f>
        <v>1.8646744398395463</v>
      </c>
      <c r="D9" s="40">
        <f>B9/C9</f>
        <v>11312.801526564434</v>
      </c>
      <c r="F9" s="18"/>
      <c r="G9" s="156">
        <v>4</v>
      </c>
      <c r="H9" s="40">
        <f>'FLUJO DE CAJA'!R34</f>
        <v>18745.507517339549</v>
      </c>
      <c r="I9" s="40">
        <f>'FLUJO DE CAJA'!S34</f>
        <v>2.0735999999999999</v>
      </c>
      <c r="J9" s="40">
        <f>H9/I9</f>
        <v>9040.0788567416803</v>
      </c>
      <c r="K9" s="18"/>
    </row>
    <row r="10" spans="1:12" x14ac:dyDescent="0.25">
      <c r="A10" s="156">
        <v>5</v>
      </c>
      <c r="B10" s="40">
        <f>'FLUJO DE CAJA'!J35</f>
        <v>60186.930807437515</v>
      </c>
      <c r="C10" s="300">
        <f>'[1]FLUJO DE CAJA '!K35</f>
        <v>2.1789826497793099</v>
      </c>
      <c r="D10" s="40">
        <f>B10/C10</f>
        <v>27621.574138524382</v>
      </c>
      <c r="F10" s="18"/>
      <c r="G10" s="156">
        <v>5</v>
      </c>
      <c r="H10" s="40">
        <f>'FLUJO DE CAJA'!R35</f>
        <v>57722.770432213059</v>
      </c>
      <c r="I10" s="40">
        <f>'FLUJO DE CAJA'!S35</f>
        <v>2.4883199999999999</v>
      </c>
      <c r="J10" s="40">
        <f>H10/I10</f>
        <v>23197.486831361344</v>
      </c>
      <c r="K10" s="18"/>
    </row>
    <row r="11" spans="1:12" x14ac:dyDescent="0.25">
      <c r="A11" s="378" t="s">
        <v>286</v>
      </c>
      <c r="B11" s="379"/>
      <c r="C11" s="380"/>
      <c r="D11" s="40">
        <f>SUM(D5:D10)</f>
        <v>39387.708519656997</v>
      </c>
      <c r="F11" s="18"/>
      <c r="G11" s="378" t="s">
        <v>289</v>
      </c>
      <c r="H11" s="379"/>
      <c r="I11" s="380"/>
      <c r="J11" s="40">
        <f>SUM(J5:J10)</f>
        <v>35286.941756486711</v>
      </c>
      <c r="K11" s="18"/>
    </row>
    <row r="12" spans="1:12" x14ac:dyDescent="0.25">
      <c r="A12" s="378" t="s">
        <v>292</v>
      </c>
      <c r="B12" s="379"/>
      <c r="C12" s="380"/>
      <c r="D12" s="301">
        <f>IRR(B5:B10,B1)</f>
        <v>0.60636903920585494</v>
      </c>
      <c r="F12" s="18"/>
      <c r="G12" s="378" t="s">
        <v>294</v>
      </c>
      <c r="H12" s="379"/>
      <c r="I12" s="380"/>
      <c r="J12" s="301">
        <f>IRR(H5:H10,H1)</f>
        <v>0.8097787239374159</v>
      </c>
      <c r="K12" s="18"/>
    </row>
    <row r="13" spans="1:12" x14ac:dyDescent="0.25">
      <c r="A13" s="18"/>
      <c r="B13" s="18"/>
      <c r="C13" s="18"/>
      <c r="D13" s="18"/>
      <c r="F13" s="18"/>
      <c r="G13" s="18"/>
      <c r="H13" s="18"/>
      <c r="I13" s="18"/>
      <c r="J13" s="18"/>
      <c r="K13" s="18"/>
    </row>
    <row r="14" spans="1:12" x14ac:dyDescent="0.25">
      <c r="A14" s="18"/>
      <c r="B14" s="18"/>
      <c r="C14" s="18"/>
      <c r="D14" s="18"/>
      <c r="F14" s="19" t="s">
        <v>324</v>
      </c>
      <c r="G14" s="18"/>
      <c r="H14" s="18"/>
      <c r="I14" s="18"/>
      <c r="J14" s="18"/>
      <c r="K14" s="18"/>
    </row>
    <row r="15" spans="1:12" s="182" customFormat="1" ht="27" customHeight="1" x14ac:dyDescent="0.25">
      <c r="A15" s="381" t="s">
        <v>325</v>
      </c>
      <c r="B15" s="381"/>
      <c r="C15" s="381"/>
      <c r="D15" s="381"/>
      <c r="E15" s="20"/>
      <c r="F15" s="161" t="s">
        <v>326</v>
      </c>
      <c r="G15" s="161" t="s">
        <v>327</v>
      </c>
      <c r="H15" s="161" t="s">
        <v>328</v>
      </c>
      <c r="I15" s="161" t="s">
        <v>329</v>
      </c>
      <c r="J15" s="161" t="s">
        <v>330</v>
      </c>
      <c r="K15" s="161" t="s">
        <v>331</v>
      </c>
      <c r="L15" s="22"/>
    </row>
    <row r="16" spans="1:12" x14ac:dyDescent="0.25">
      <c r="A16" s="302" t="s">
        <v>207</v>
      </c>
      <c r="B16" s="302" t="s">
        <v>320</v>
      </c>
      <c r="C16" s="302" t="s">
        <v>321</v>
      </c>
      <c r="D16" s="302" t="s">
        <v>322</v>
      </c>
      <c r="E16" s="48"/>
      <c r="F16" s="2" t="s">
        <v>332</v>
      </c>
      <c r="G16" s="85">
        <v>0</v>
      </c>
      <c r="H16" s="303">
        <f>D11</f>
        <v>39387.708519656997</v>
      </c>
      <c r="I16" s="304">
        <f>+'[1]FLUJO DE CAJA '!E26</f>
        <v>0.5226305647552969</v>
      </c>
      <c r="J16" s="305"/>
      <c r="K16" s="85"/>
    </row>
    <row r="17" spans="1:11" x14ac:dyDescent="0.25">
      <c r="A17" s="306">
        <v>0</v>
      </c>
      <c r="B17" s="307">
        <f>B5</f>
        <v>-17437.37</v>
      </c>
      <c r="C17" s="307">
        <f>C5</f>
        <v>1</v>
      </c>
      <c r="D17" s="307">
        <f>B17*C17</f>
        <v>-17437.37</v>
      </c>
      <c r="E17" s="48"/>
      <c r="F17" s="308" t="s">
        <v>333</v>
      </c>
      <c r="G17" s="309">
        <v>0.1</v>
      </c>
      <c r="H17" s="310"/>
      <c r="I17" s="310"/>
      <c r="J17" s="311">
        <f>+D23</f>
        <v>303823.83637724514</v>
      </c>
      <c r="K17" s="309">
        <f>+D24</f>
        <v>0.2103072119056737</v>
      </c>
    </row>
    <row r="18" spans="1:11" x14ac:dyDescent="0.25">
      <c r="A18" s="306">
        <v>1</v>
      </c>
      <c r="B18" s="307">
        <v>66738.164406779222</v>
      </c>
      <c r="C18" s="307">
        <v>1.1685592955126309</v>
      </c>
      <c r="D18" s="307">
        <v>57111.491614554405</v>
      </c>
      <c r="E18" s="48"/>
      <c r="F18" s="308" t="s">
        <v>334</v>
      </c>
      <c r="G18" s="309">
        <v>0.04</v>
      </c>
      <c r="H18" s="310"/>
      <c r="I18" s="310"/>
      <c r="J18" s="311">
        <f>+D34</f>
        <v>1698429.7467180029</v>
      </c>
      <c r="K18" s="309">
        <f>+D35</f>
        <v>0.39902320564185678</v>
      </c>
    </row>
    <row r="19" spans="1:11" x14ac:dyDescent="0.25">
      <c r="A19" s="306">
        <v>2</v>
      </c>
      <c r="B19" s="307">
        <v>221050.54880677722</v>
      </c>
      <c r="C19" s="307">
        <v>1.3655308271289763</v>
      </c>
      <c r="D19" s="307">
        <v>161878.84185048769</v>
      </c>
      <c r="E19" s="48"/>
      <c r="F19" s="312" t="s">
        <v>335</v>
      </c>
      <c r="G19" s="313">
        <v>0.05</v>
      </c>
      <c r="H19" s="314"/>
      <c r="I19" s="314"/>
      <c r="J19" s="315">
        <f>+D45</f>
        <v>1465995.4283278757</v>
      </c>
      <c r="K19" s="313">
        <f>+D46</f>
        <v>0.36786943106907843</v>
      </c>
    </row>
    <row r="20" spans="1:11" x14ac:dyDescent="0.25">
      <c r="A20" s="306">
        <v>3</v>
      </c>
      <c r="B20" s="307">
        <v>175742.41230678</v>
      </c>
      <c r="C20" s="307">
        <v>1.5957037413506168</v>
      </c>
      <c r="D20" s="307">
        <v>110134.73726522079</v>
      </c>
      <c r="E20" s="48"/>
      <c r="F20" s="312" t="s">
        <v>336</v>
      </c>
      <c r="G20" s="313">
        <v>0.1</v>
      </c>
      <c r="H20" s="314"/>
      <c r="I20" s="314"/>
      <c r="J20" s="315">
        <f>+D56</f>
        <v>303823.83637724514</v>
      </c>
      <c r="K20" s="313">
        <f>+D57</f>
        <v>0.2103072119056737</v>
      </c>
    </row>
    <row r="21" spans="1:11" x14ac:dyDescent="0.25">
      <c r="A21" s="306">
        <v>4</v>
      </c>
      <c r="B21" s="307">
        <v>306585.48758177832</v>
      </c>
      <c r="C21" s="307">
        <v>1.8646744398395463</v>
      </c>
      <c r="D21" s="307">
        <v>164417.70264634493</v>
      </c>
      <c r="E21" s="48"/>
      <c r="F21" s="312" t="s">
        <v>337</v>
      </c>
      <c r="G21" s="313">
        <v>0.11</v>
      </c>
      <c r="H21" s="314"/>
      <c r="I21" s="314"/>
      <c r="J21" s="315">
        <f>+D67</f>
        <v>71389.517987117171</v>
      </c>
      <c r="K21" s="313">
        <f>+D68</f>
        <v>0.17839163416497517</v>
      </c>
    </row>
    <row r="22" spans="1:11" x14ac:dyDescent="0.25">
      <c r="A22" s="306">
        <v>5</v>
      </c>
      <c r="B22" s="307">
        <v>3496856.3340453394</v>
      </c>
      <c r="C22" s="307">
        <v>2.1789826497793099</v>
      </c>
      <c r="D22" s="307">
        <v>1604811.4630006372</v>
      </c>
      <c r="E22" s="48"/>
      <c r="F22" s="18"/>
      <c r="G22" s="18"/>
      <c r="H22" s="18"/>
      <c r="I22" s="18"/>
      <c r="J22" s="18"/>
      <c r="K22" s="18"/>
    </row>
    <row r="23" spans="1:11" x14ac:dyDescent="0.25">
      <c r="A23" s="374" t="s">
        <v>286</v>
      </c>
      <c r="B23" s="375"/>
      <c r="C23" s="376"/>
      <c r="D23" s="3">
        <v>303823.83637724514</v>
      </c>
      <c r="E23" s="48"/>
      <c r="F23" s="18"/>
      <c r="G23" s="18"/>
      <c r="H23" s="18"/>
      <c r="I23" s="18"/>
      <c r="J23" s="18"/>
      <c r="K23" s="18"/>
    </row>
    <row r="24" spans="1:11" x14ac:dyDescent="0.25">
      <c r="A24" s="374" t="s">
        <v>292</v>
      </c>
      <c r="B24" s="375"/>
      <c r="C24" s="376"/>
      <c r="D24" s="316">
        <v>0.2103072119056737</v>
      </c>
      <c r="E24" s="48"/>
      <c r="F24" s="18"/>
      <c r="G24" s="18"/>
      <c r="H24" s="18"/>
      <c r="I24" s="18"/>
      <c r="J24" s="18"/>
      <c r="K24" s="18"/>
    </row>
    <row r="25" spans="1:11" x14ac:dyDescent="0.25">
      <c r="A25" s="47"/>
      <c r="B25" s="59"/>
      <c r="C25" s="59"/>
      <c r="D25" s="59"/>
      <c r="E25" s="48"/>
      <c r="F25" s="18"/>
      <c r="G25" s="18"/>
      <c r="H25" s="18"/>
      <c r="I25" s="18"/>
      <c r="J25" s="18"/>
      <c r="K25" s="18"/>
    </row>
    <row r="26" spans="1:11" x14ac:dyDescent="0.25">
      <c r="A26" s="377" t="s">
        <v>338</v>
      </c>
      <c r="B26" s="377"/>
      <c r="C26" s="377"/>
      <c r="D26" s="377"/>
      <c r="E26" s="48"/>
      <c r="F26" s="18"/>
      <c r="G26" s="18"/>
      <c r="H26" s="18"/>
      <c r="I26" s="18"/>
      <c r="J26" s="18"/>
      <c r="K26" s="18"/>
    </row>
    <row r="27" spans="1:11" x14ac:dyDescent="0.25">
      <c r="A27" s="302" t="s">
        <v>207</v>
      </c>
      <c r="B27" s="302" t="s">
        <v>320</v>
      </c>
      <c r="C27" s="302" t="s">
        <v>321</v>
      </c>
      <c r="D27" s="302" t="s">
        <v>322</v>
      </c>
      <c r="E27" s="48"/>
      <c r="F27" s="18"/>
      <c r="G27" s="18"/>
      <c r="H27" s="18"/>
      <c r="I27" s="18"/>
      <c r="J27" s="18"/>
      <c r="K27" s="18"/>
    </row>
    <row r="28" spans="1:11" x14ac:dyDescent="0.25">
      <c r="A28" s="306">
        <v>0</v>
      </c>
      <c r="B28" s="307">
        <v>-1794530.4</v>
      </c>
      <c r="C28" s="307">
        <v>1</v>
      </c>
      <c r="D28" s="307">
        <v>-1794530.4</v>
      </c>
      <c r="E28" s="48"/>
      <c r="F28" s="18"/>
      <c r="G28" s="18"/>
      <c r="H28" s="18"/>
      <c r="I28" s="18"/>
      <c r="J28" s="18"/>
      <c r="K28" s="18"/>
    </row>
    <row r="29" spans="1:11" x14ac:dyDescent="0.25">
      <c r="A29" s="306">
        <v>1</v>
      </c>
      <c r="B29" s="307">
        <v>370992.88440677896</v>
      </c>
      <c r="C29" s="307">
        <v>1.1685592955126309</v>
      </c>
      <c r="D29" s="307">
        <v>317478.86977701844</v>
      </c>
      <c r="E29" s="48"/>
      <c r="F29" s="18"/>
      <c r="G29" s="18"/>
      <c r="H29" s="18"/>
      <c r="I29" s="18"/>
      <c r="J29" s="18"/>
      <c r="K29" s="18"/>
    </row>
    <row r="30" spans="1:11" x14ac:dyDescent="0.25">
      <c r="A30" s="306">
        <v>2</v>
      </c>
      <c r="B30" s="307">
        <v>637271.00576677918</v>
      </c>
      <c r="C30" s="307">
        <v>1.3655308271289763</v>
      </c>
      <c r="D30" s="307">
        <v>466683.71969795745</v>
      </c>
      <c r="E30" s="48"/>
      <c r="F30" s="18"/>
      <c r="G30" s="18"/>
      <c r="H30" s="18"/>
      <c r="I30" s="18"/>
      <c r="J30" s="18"/>
      <c r="K30" s="18"/>
    </row>
    <row r="31" spans="1:11" x14ac:dyDescent="0.25">
      <c r="A31" s="306">
        <v>3</v>
      </c>
      <c r="B31" s="307">
        <v>601090.51086677797</v>
      </c>
      <c r="C31" s="307">
        <v>1.5957037413506168</v>
      </c>
      <c r="D31" s="307">
        <v>376693.05102838826</v>
      </c>
      <c r="E31" s="48"/>
      <c r="F31" s="18"/>
      <c r="G31" s="18"/>
      <c r="H31" s="18"/>
      <c r="I31" s="18"/>
      <c r="J31" s="18"/>
      <c r="K31" s="18"/>
    </row>
    <row r="32" spans="1:11" x14ac:dyDescent="0.25">
      <c r="A32" s="306">
        <v>4</v>
      </c>
      <c r="B32" s="307">
        <v>839335.50230177864</v>
      </c>
      <c r="C32" s="307">
        <v>1.8646744398395463</v>
      </c>
      <c r="D32" s="307">
        <v>450124.42084742832</v>
      </c>
      <c r="E32" s="48"/>
      <c r="F32" s="18"/>
      <c r="G32" s="18"/>
      <c r="H32" s="18"/>
      <c r="I32" s="18"/>
      <c r="J32" s="18"/>
      <c r="K32" s="18"/>
    </row>
    <row r="33" spans="1:11" x14ac:dyDescent="0.25">
      <c r="A33" s="306">
        <v>5</v>
      </c>
      <c r="B33" s="307">
        <v>4100801.9532453362</v>
      </c>
      <c r="C33" s="307">
        <v>2.1789826497793099</v>
      </c>
      <c r="D33" s="307">
        <v>1881980.0853672104</v>
      </c>
      <c r="E33" s="48"/>
      <c r="F33" s="18"/>
      <c r="G33" s="18"/>
      <c r="H33" s="18"/>
      <c r="I33" s="18"/>
      <c r="J33" s="18"/>
      <c r="K33" s="18"/>
    </row>
    <row r="34" spans="1:11" x14ac:dyDescent="0.25">
      <c r="A34" s="374" t="s">
        <v>286</v>
      </c>
      <c r="B34" s="375"/>
      <c r="C34" s="376"/>
      <c r="D34" s="3">
        <v>1698429.7467180029</v>
      </c>
      <c r="E34" s="48"/>
      <c r="F34" s="18"/>
      <c r="G34" s="18"/>
      <c r="H34" s="18"/>
      <c r="I34" s="18"/>
      <c r="J34" s="18"/>
      <c r="K34" s="18"/>
    </row>
    <row r="35" spans="1:11" x14ac:dyDescent="0.25">
      <c r="A35" s="374" t="s">
        <v>292</v>
      </c>
      <c r="B35" s="375"/>
      <c r="C35" s="376"/>
      <c r="D35" s="316">
        <v>0.39902320564185678</v>
      </c>
      <c r="E35" s="48"/>
      <c r="F35" s="18"/>
      <c r="G35" s="18"/>
      <c r="H35" s="18"/>
      <c r="I35" s="18"/>
      <c r="J35" s="18"/>
      <c r="K35" s="18"/>
    </row>
    <row r="36" spans="1:11" x14ac:dyDescent="0.25">
      <c r="A36" s="317"/>
      <c r="B36" s="318"/>
      <c r="C36" s="318"/>
      <c r="D36" s="318"/>
      <c r="E36" s="48"/>
      <c r="F36" s="18"/>
      <c r="G36" s="18"/>
      <c r="H36" s="18"/>
      <c r="I36" s="18"/>
      <c r="J36" s="18"/>
      <c r="K36" s="18"/>
    </row>
    <row r="37" spans="1:11" x14ac:dyDescent="0.25">
      <c r="A37" s="377" t="s">
        <v>339</v>
      </c>
      <c r="B37" s="377"/>
      <c r="C37" s="377"/>
      <c r="D37" s="377"/>
      <c r="E37" s="48"/>
      <c r="F37" s="18"/>
      <c r="G37" s="18"/>
      <c r="H37" s="18"/>
      <c r="I37" s="18"/>
      <c r="J37" s="18"/>
      <c r="K37" s="18"/>
    </row>
    <row r="38" spans="1:11" x14ac:dyDescent="0.25">
      <c r="A38" s="302" t="s">
        <v>207</v>
      </c>
      <c r="B38" s="302" t="s">
        <v>320</v>
      </c>
      <c r="C38" s="302" t="s">
        <v>321</v>
      </c>
      <c r="D38" s="302" t="s">
        <v>322</v>
      </c>
      <c r="E38" s="48"/>
      <c r="F38" s="18"/>
      <c r="G38" s="18"/>
      <c r="H38" s="18"/>
      <c r="I38" s="18"/>
      <c r="J38" s="18"/>
      <c r="K38" s="18"/>
    </row>
    <row r="39" spans="1:11" x14ac:dyDescent="0.25">
      <c r="A39" s="306">
        <v>0</v>
      </c>
      <c r="B39" s="307">
        <v>-1794530.4</v>
      </c>
      <c r="C39" s="307">
        <v>1</v>
      </c>
      <c r="D39" s="307">
        <v>-1794530.4</v>
      </c>
      <c r="E39" s="48"/>
      <c r="F39" s="18"/>
      <c r="G39" s="18"/>
      <c r="H39" s="18"/>
      <c r="I39" s="18"/>
      <c r="J39" s="18"/>
      <c r="K39" s="18"/>
    </row>
    <row r="40" spans="1:11" x14ac:dyDescent="0.25">
      <c r="A40" s="306">
        <v>1</v>
      </c>
      <c r="B40" s="307">
        <v>320283.76440677885</v>
      </c>
      <c r="C40" s="307">
        <v>1.1685592955126309</v>
      </c>
      <c r="D40" s="307">
        <v>274084.30674994097</v>
      </c>
      <c r="E40" s="48"/>
      <c r="F40" s="18"/>
      <c r="G40" s="18"/>
      <c r="H40" s="18"/>
      <c r="I40" s="18"/>
      <c r="J40" s="18"/>
      <c r="K40" s="18"/>
    </row>
    <row r="41" spans="1:11" x14ac:dyDescent="0.25">
      <c r="A41" s="306">
        <v>2</v>
      </c>
      <c r="B41" s="307">
        <v>567900.92960677855</v>
      </c>
      <c r="C41" s="307">
        <v>1.3655308271289763</v>
      </c>
      <c r="D41" s="307">
        <v>415882.90672337892</v>
      </c>
      <c r="F41" s="18"/>
      <c r="G41" s="18"/>
      <c r="H41" s="18"/>
      <c r="I41" s="18"/>
      <c r="J41" s="18"/>
      <c r="K41" s="18"/>
    </row>
    <row r="42" spans="1:11" x14ac:dyDescent="0.25">
      <c r="A42" s="306">
        <v>3</v>
      </c>
      <c r="B42" s="307">
        <v>530199.16110677831</v>
      </c>
      <c r="C42" s="307">
        <v>1.5957037413506168</v>
      </c>
      <c r="D42" s="307">
        <v>332266.66540119372</v>
      </c>
      <c r="F42" s="18"/>
      <c r="G42" s="18"/>
      <c r="H42" s="18"/>
      <c r="I42" s="18"/>
      <c r="J42" s="18"/>
      <c r="K42" s="18"/>
    </row>
    <row r="43" spans="1:11" x14ac:dyDescent="0.25">
      <c r="A43" s="306">
        <v>4</v>
      </c>
      <c r="B43" s="307">
        <v>750543.83318177611</v>
      </c>
      <c r="C43" s="307">
        <v>1.8646744398395463</v>
      </c>
      <c r="D43" s="307">
        <v>402506.63448057976</v>
      </c>
      <c r="F43" s="18"/>
      <c r="G43" s="18"/>
      <c r="H43" s="18"/>
      <c r="I43" s="18"/>
      <c r="J43" s="18"/>
      <c r="K43" s="18"/>
    </row>
    <row r="44" spans="1:11" x14ac:dyDescent="0.25">
      <c r="A44" s="306">
        <v>5</v>
      </c>
      <c r="B44" s="307">
        <v>4000144.3500453383</v>
      </c>
      <c r="C44" s="307">
        <v>2.1789826497793099</v>
      </c>
      <c r="D44" s="307">
        <v>1835785.3149727823</v>
      </c>
      <c r="F44" s="18"/>
      <c r="G44" s="18"/>
      <c r="H44" s="18"/>
      <c r="I44" s="18"/>
      <c r="J44" s="18"/>
      <c r="K44" s="18"/>
    </row>
    <row r="45" spans="1:11" x14ac:dyDescent="0.25">
      <c r="A45" s="374" t="s">
        <v>286</v>
      </c>
      <c r="B45" s="375"/>
      <c r="C45" s="376"/>
      <c r="D45" s="3">
        <v>1465995.4283278757</v>
      </c>
      <c r="F45" s="18"/>
      <c r="G45" s="18"/>
      <c r="H45" s="18"/>
      <c r="I45" s="18"/>
      <c r="J45" s="18"/>
      <c r="K45" s="18"/>
    </row>
    <row r="46" spans="1:11" x14ac:dyDescent="0.25">
      <c r="A46" s="374" t="s">
        <v>292</v>
      </c>
      <c r="B46" s="375"/>
      <c r="C46" s="376"/>
      <c r="D46" s="316">
        <v>0.36786943106907843</v>
      </c>
      <c r="F46" s="18"/>
      <c r="G46" s="18"/>
      <c r="H46" s="18"/>
      <c r="I46" s="18"/>
      <c r="J46" s="18"/>
      <c r="K46" s="18"/>
    </row>
    <row r="47" spans="1:11" x14ac:dyDescent="0.25">
      <c r="A47" s="18"/>
      <c r="B47" s="18"/>
      <c r="C47" s="18"/>
      <c r="D47" s="18"/>
      <c r="F47" s="18"/>
      <c r="G47" s="18"/>
      <c r="H47" s="18"/>
      <c r="I47" s="18"/>
      <c r="J47" s="18"/>
      <c r="K47" s="18"/>
    </row>
    <row r="48" spans="1:11" x14ac:dyDescent="0.25">
      <c r="A48" s="377" t="s">
        <v>340</v>
      </c>
      <c r="B48" s="377"/>
      <c r="C48" s="377"/>
      <c r="D48" s="377"/>
      <c r="F48" s="18"/>
      <c r="G48" s="18"/>
      <c r="H48" s="18"/>
      <c r="I48" s="18"/>
      <c r="J48" s="18"/>
      <c r="K48" s="18"/>
    </row>
    <row r="49" spans="1:11" x14ac:dyDescent="0.25">
      <c r="A49" s="302" t="s">
        <v>207</v>
      </c>
      <c r="B49" s="302" t="s">
        <v>320</v>
      </c>
      <c r="C49" s="302" t="s">
        <v>321</v>
      </c>
      <c r="D49" s="302" t="s">
        <v>322</v>
      </c>
      <c r="F49" s="18"/>
      <c r="G49" s="18"/>
      <c r="H49" s="18"/>
      <c r="I49" s="18"/>
      <c r="J49" s="18"/>
      <c r="K49" s="18"/>
    </row>
    <row r="50" spans="1:11" x14ac:dyDescent="0.25">
      <c r="A50" s="306">
        <v>0</v>
      </c>
      <c r="B50" s="307">
        <v>-1794530.4</v>
      </c>
      <c r="C50" s="307">
        <v>1</v>
      </c>
      <c r="D50" s="307">
        <v>-1794530.4</v>
      </c>
      <c r="F50" s="18"/>
      <c r="G50" s="18"/>
      <c r="H50" s="18"/>
      <c r="I50" s="18"/>
      <c r="J50" s="18"/>
      <c r="K50" s="18"/>
    </row>
    <row r="51" spans="1:11" x14ac:dyDescent="0.25">
      <c r="A51" s="306">
        <v>1</v>
      </c>
      <c r="B51" s="307">
        <v>66738.164406779222</v>
      </c>
      <c r="C51" s="307">
        <v>1.1685592955126309</v>
      </c>
      <c r="D51" s="307">
        <v>57111.491614554405</v>
      </c>
      <c r="F51" s="18"/>
      <c r="G51" s="18"/>
      <c r="H51" s="18"/>
      <c r="I51" s="18"/>
      <c r="J51" s="18"/>
      <c r="K51" s="18"/>
    </row>
    <row r="52" spans="1:11" x14ac:dyDescent="0.25">
      <c r="A52" s="306">
        <v>2</v>
      </c>
      <c r="B52" s="307">
        <v>221050.54880677722</v>
      </c>
      <c r="C52" s="307">
        <v>1.3655308271289763</v>
      </c>
      <c r="D52" s="307">
        <v>161878.84185048769</v>
      </c>
      <c r="F52" s="18"/>
      <c r="G52" s="18"/>
      <c r="H52" s="18"/>
      <c r="I52" s="18"/>
      <c r="J52" s="18"/>
      <c r="K52" s="18"/>
    </row>
    <row r="53" spans="1:11" x14ac:dyDescent="0.25">
      <c r="A53" s="306">
        <v>3</v>
      </c>
      <c r="B53" s="307">
        <v>175742.41230678</v>
      </c>
      <c r="C53" s="307">
        <v>1.5957037413506168</v>
      </c>
      <c r="D53" s="307">
        <v>110134.73726522079</v>
      </c>
      <c r="F53" s="18"/>
      <c r="G53" s="18"/>
      <c r="H53" s="18"/>
      <c r="I53" s="18"/>
      <c r="J53" s="18"/>
      <c r="K53" s="18"/>
    </row>
    <row r="54" spans="1:11" x14ac:dyDescent="0.25">
      <c r="A54" s="306">
        <v>4</v>
      </c>
      <c r="B54" s="307">
        <v>306585.48758177832</v>
      </c>
      <c r="C54" s="307">
        <v>1.8646744398395463</v>
      </c>
      <c r="D54" s="307">
        <v>164417.70264634493</v>
      </c>
      <c r="F54" s="18"/>
      <c r="G54" s="18"/>
      <c r="H54" s="18"/>
      <c r="I54" s="18"/>
      <c r="J54" s="18"/>
      <c r="K54" s="18"/>
    </row>
    <row r="55" spans="1:11" x14ac:dyDescent="0.25">
      <c r="A55" s="306">
        <v>5</v>
      </c>
      <c r="B55" s="307">
        <v>3496856.3340453394</v>
      </c>
      <c r="C55" s="307">
        <v>2.1789826497793099</v>
      </c>
      <c r="D55" s="307">
        <v>1604811.4630006372</v>
      </c>
      <c r="F55" s="18"/>
      <c r="G55" s="18"/>
      <c r="H55" s="18"/>
      <c r="I55" s="18"/>
      <c r="J55" s="18"/>
      <c r="K55" s="18"/>
    </row>
    <row r="56" spans="1:11" x14ac:dyDescent="0.25">
      <c r="A56" s="374" t="s">
        <v>286</v>
      </c>
      <c r="B56" s="375"/>
      <c r="C56" s="376"/>
      <c r="D56" s="3">
        <v>303823.83637724514</v>
      </c>
      <c r="F56" s="18"/>
      <c r="G56" s="18"/>
      <c r="H56" s="18"/>
      <c r="I56" s="18"/>
      <c r="J56" s="18"/>
      <c r="K56" s="18"/>
    </row>
    <row r="57" spans="1:11" x14ac:dyDescent="0.25">
      <c r="A57" s="374" t="s">
        <v>292</v>
      </c>
      <c r="B57" s="375"/>
      <c r="C57" s="376"/>
      <c r="D57" s="316">
        <v>0.2103072119056737</v>
      </c>
      <c r="F57" s="18"/>
      <c r="G57" s="18"/>
      <c r="H57" s="18"/>
      <c r="I57" s="18"/>
      <c r="J57" s="18"/>
      <c r="K57" s="18"/>
    </row>
    <row r="58" spans="1:11" x14ac:dyDescent="0.25">
      <c r="A58" s="18"/>
      <c r="B58" s="18"/>
      <c r="C58" s="18"/>
      <c r="D58" s="18"/>
      <c r="F58" s="18"/>
      <c r="G58" s="18"/>
      <c r="H58" s="18"/>
      <c r="I58" s="18"/>
      <c r="J58" s="18"/>
      <c r="K58" s="18"/>
    </row>
    <row r="59" spans="1:11" x14ac:dyDescent="0.25">
      <c r="A59" s="377" t="s">
        <v>341</v>
      </c>
      <c r="B59" s="377"/>
      <c r="C59" s="377"/>
      <c r="D59" s="377"/>
      <c r="F59" s="18"/>
      <c r="G59" s="18"/>
      <c r="H59" s="18"/>
      <c r="I59" s="18"/>
      <c r="J59" s="18"/>
      <c r="K59" s="18"/>
    </row>
    <row r="60" spans="1:11" x14ac:dyDescent="0.25">
      <c r="A60" s="302" t="s">
        <v>207</v>
      </c>
      <c r="B60" s="302" t="s">
        <v>320</v>
      </c>
      <c r="C60" s="302" t="s">
        <v>321</v>
      </c>
      <c r="D60" s="302" t="s">
        <v>322</v>
      </c>
      <c r="F60" s="18"/>
      <c r="G60" s="18"/>
      <c r="H60" s="18"/>
      <c r="I60" s="18"/>
      <c r="J60" s="18"/>
      <c r="K60" s="18"/>
    </row>
    <row r="61" spans="1:11" x14ac:dyDescent="0.25">
      <c r="A61" s="306">
        <v>0</v>
      </c>
      <c r="B61" s="307">
        <v>-1794530.4</v>
      </c>
      <c r="C61" s="307">
        <v>1</v>
      </c>
      <c r="D61" s="307">
        <v>-1794530.4</v>
      </c>
      <c r="F61" s="18"/>
      <c r="G61" s="18"/>
      <c r="H61" s="18"/>
      <c r="I61" s="18"/>
      <c r="J61" s="18"/>
      <c r="K61" s="18"/>
    </row>
    <row r="62" spans="1:11" x14ac:dyDescent="0.25">
      <c r="A62" s="306">
        <v>1</v>
      </c>
      <c r="B62" s="307">
        <v>16029.04440677911</v>
      </c>
      <c r="C62" s="307">
        <v>1.1685592955126309</v>
      </c>
      <c r="D62" s="307">
        <v>13716.92858747693</v>
      </c>
      <c r="F62" s="18"/>
      <c r="G62" s="18"/>
      <c r="H62" s="18"/>
      <c r="I62" s="18"/>
      <c r="J62" s="18"/>
      <c r="K62" s="18"/>
    </row>
    <row r="63" spans="1:11" x14ac:dyDescent="0.25">
      <c r="A63" s="306">
        <v>2</v>
      </c>
      <c r="B63" s="307">
        <v>151680.47264677845</v>
      </c>
      <c r="C63" s="307">
        <v>1.3655308271289763</v>
      </c>
      <c r="D63" s="307">
        <v>111078.02887591055</v>
      </c>
      <c r="F63" s="18"/>
      <c r="G63" s="18"/>
      <c r="H63" s="18"/>
      <c r="I63" s="18"/>
      <c r="J63" s="18"/>
      <c r="K63" s="18"/>
    </row>
    <row r="64" spans="1:11" x14ac:dyDescent="0.25">
      <c r="A64" s="306">
        <v>3</v>
      </c>
      <c r="B64" s="307">
        <v>104851.06254677847</v>
      </c>
      <c r="C64" s="307">
        <v>1.5957037413506168</v>
      </c>
      <c r="D64" s="307">
        <v>65708.351638025037</v>
      </c>
      <c r="F64" s="18"/>
      <c r="G64" s="18"/>
      <c r="H64" s="18"/>
      <c r="I64" s="18"/>
      <c r="J64" s="18"/>
      <c r="K64" s="18"/>
    </row>
    <row r="65" spans="1:11" x14ac:dyDescent="0.25">
      <c r="A65" s="306">
        <v>4</v>
      </c>
      <c r="B65" s="307">
        <v>217793.81846177764</v>
      </c>
      <c r="C65" s="307">
        <v>1.8646744398395463</v>
      </c>
      <c r="D65" s="307">
        <v>116799.91627949735</v>
      </c>
      <c r="F65" s="18"/>
      <c r="G65" s="18"/>
      <c r="H65" s="18"/>
      <c r="I65" s="18"/>
      <c r="J65" s="18"/>
      <c r="K65" s="18"/>
    </row>
    <row r="66" spans="1:11" x14ac:dyDescent="0.25">
      <c r="A66" s="306">
        <v>5</v>
      </c>
      <c r="B66" s="307">
        <v>3396198.7308453377</v>
      </c>
      <c r="C66" s="307">
        <v>2.1789826497793099</v>
      </c>
      <c r="D66" s="307">
        <v>1558616.6926062072</v>
      </c>
      <c r="F66" s="18"/>
      <c r="G66" s="18"/>
      <c r="H66" s="18"/>
      <c r="I66" s="18"/>
      <c r="J66" s="18"/>
      <c r="K66" s="18"/>
    </row>
    <row r="67" spans="1:11" x14ac:dyDescent="0.25">
      <c r="A67" s="374" t="s">
        <v>286</v>
      </c>
      <c r="B67" s="375"/>
      <c r="C67" s="376"/>
      <c r="D67" s="3">
        <v>71389.517987117171</v>
      </c>
      <c r="F67" s="18"/>
      <c r="G67" s="18"/>
      <c r="H67" s="18"/>
      <c r="I67" s="18"/>
      <c r="J67" s="18"/>
      <c r="K67" s="18"/>
    </row>
    <row r="68" spans="1:11" x14ac:dyDescent="0.25">
      <c r="A68" s="374" t="s">
        <v>292</v>
      </c>
      <c r="B68" s="375"/>
      <c r="C68" s="376"/>
      <c r="D68" s="316">
        <v>0.17839163416497517</v>
      </c>
      <c r="F68" s="18"/>
      <c r="G68" s="18"/>
      <c r="H68" s="18"/>
      <c r="I68" s="18"/>
      <c r="J68" s="18"/>
      <c r="K68" s="18"/>
    </row>
  </sheetData>
  <mergeCells count="23">
    <mergeCell ref="A2:D2"/>
    <mergeCell ref="G2:J2"/>
    <mergeCell ref="A3:D3"/>
    <mergeCell ref="G3:J3"/>
    <mergeCell ref="A11:C11"/>
    <mergeCell ref="G11:I11"/>
    <mergeCell ref="A48:D48"/>
    <mergeCell ref="A12:C12"/>
    <mergeCell ref="G12:I12"/>
    <mergeCell ref="A15:D15"/>
    <mergeCell ref="A23:C23"/>
    <mergeCell ref="A24:C24"/>
    <mergeCell ref="A26:D26"/>
    <mergeCell ref="A34:C34"/>
    <mergeCell ref="A35:C35"/>
    <mergeCell ref="A37:D37"/>
    <mergeCell ref="A45:C45"/>
    <mergeCell ref="A46:C46"/>
    <mergeCell ref="A56:C56"/>
    <mergeCell ref="A57:C57"/>
    <mergeCell ref="A59:D59"/>
    <mergeCell ref="A67:C67"/>
    <mergeCell ref="A68:C6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44"/>
  <sheetViews>
    <sheetView showGridLines="0" topLeftCell="A15" workbookViewId="0">
      <selection activeCell="G11" sqref="G11"/>
    </sheetView>
  </sheetViews>
  <sheetFormatPr baseColWidth="10" defaultRowHeight="15" x14ac:dyDescent="0.25"/>
  <cols>
    <col min="1" max="1" width="3.5703125" style="18" customWidth="1"/>
    <col min="2" max="2" width="54.28515625" style="18" bestFit="1" customWidth="1"/>
    <col min="3" max="3" width="10.5703125" style="18" customWidth="1"/>
    <col min="4" max="4" width="13.5703125" style="18" customWidth="1"/>
    <col min="5" max="5" width="12.5703125" style="18" customWidth="1"/>
    <col min="6" max="7" width="11.42578125" style="18"/>
    <col min="8" max="8" width="12.85546875" style="18" bestFit="1" customWidth="1"/>
    <col min="9" max="9" width="18.28515625" style="18" bestFit="1" customWidth="1"/>
    <col min="10" max="10" width="13.85546875" style="18" customWidth="1"/>
    <col min="11" max="256" width="11.42578125" style="18"/>
    <col min="257" max="257" width="3.5703125" style="18" customWidth="1"/>
    <col min="258" max="258" width="45.28515625" style="18" customWidth="1"/>
    <col min="259" max="259" width="10.5703125" style="18" customWidth="1"/>
    <col min="260" max="260" width="13.5703125" style="18" customWidth="1"/>
    <col min="261" max="261" width="12.5703125" style="18" customWidth="1"/>
    <col min="262" max="263" width="11.42578125" style="18"/>
    <col min="264" max="264" width="12.85546875" style="18" bestFit="1" customWidth="1"/>
    <col min="265" max="265" width="11.42578125" style="18"/>
    <col min="266" max="266" width="13.85546875" style="18" customWidth="1"/>
    <col min="267" max="512" width="11.42578125" style="18"/>
    <col min="513" max="513" width="3.5703125" style="18" customWidth="1"/>
    <col min="514" max="514" width="45.28515625" style="18" customWidth="1"/>
    <col min="515" max="515" width="10.5703125" style="18" customWidth="1"/>
    <col min="516" max="516" width="13.5703125" style="18" customWidth="1"/>
    <col min="517" max="517" width="12.5703125" style="18" customWidth="1"/>
    <col min="518" max="519" width="11.42578125" style="18"/>
    <col min="520" max="520" width="12.85546875" style="18" bestFit="1" customWidth="1"/>
    <col min="521" max="521" width="11.42578125" style="18"/>
    <col min="522" max="522" width="13.85546875" style="18" customWidth="1"/>
    <col min="523" max="768" width="11.42578125" style="18"/>
    <col min="769" max="769" width="3.5703125" style="18" customWidth="1"/>
    <col min="770" max="770" width="45.28515625" style="18" customWidth="1"/>
    <col min="771" max="771" width="10.5703125" style="18" customWidth="1"/>
    <col min="772" max="772" width="13.5703125" style="18" customWidth="1"/>
    <col min="773" max="773" width="12.5703125" style="18" customWidth="1"/>
    <col min="774" max="775" width="11.42578125" style="18"/>
    <col min="776" max="776" width="12.85546875" style="18" bestFit="1" customWidth="1"/>
    <col min="777" max="777" width="11.42578125" style="18"/>
    <col min="778" max="778" width="13.85546875" style="18" customWidth="1"/>
    <col min="779" max="1024" width="11.42578125" style="18"/>
    <col min="1025" max="1025" width="3.5703125" style="18" customWidth="1"/>
    <col min="1026" max="1026" width="45.28515625" style="18" customWidth="1"/>
    <col min="1027" max="1027" width="10.5703125" style="18" customWidth="1"/>
    <col min="1028" max="1028" width="13.5703125" style="18" customWidth="1"/>
    <col min="1029" max="1029" width="12.5703125" style="18" customWidth="1"/>
    <col min="1030" max="1031" width="11.42578125" style="18"/>
    <col min="1032" max="1032" width="12.85546875" style="18" bestFit="1" customWidth="1"/>
    <col min="1033" max="1033" width="11.42578125" style="18"/>
    <col min="1034" max="1034" width="13.85546875" style="18" customWidth="1"/>
    <col min="1035" max="1280" width="11.42578125" style="18"/>
    <col min="1281" max="1281" width="3.5703125" style="18" customWidth="1"/>
    <col min="1282" max="1282" width="45.28515625" style="18" customWidth="1"/>
    <col min="1283" max="1283" width="10.5703125" style="18" customWidth="1"/>
    <col min="1284" max="1284" width="13.5703125" style="18" customWidth="1"/>
    <col min="1285" max="1285" width="12.5703125" style="18" customWidth="1"/>
    <col min="1286" max="1287" width="11.42578125" style="18"/>
    <col min="1288" max="1288" width="12.85546875" style="18" bestFit="1" customWidth="1"/>
    <col min="1289" max="1289" width="11.42578125" style="18"/>
    <col min="1290" max="1290" width="13.85546875" style="18" customWidth="1"/>
    <col min="1291" max="1536" width="11.42578125" style="18"/>
    <col min="1537" max="1537" width="3.5703125" style="18" customWidth="1"/>
    <col min="1538" max="1538" width="45.28515625" style="18" customWidth="1"/>
    <col min="1539" max="1539" width="10.5703125" style="18" customWidth="1"/>
    <col min="1540" max="1540" width="13.5703125" style="18" customWidth="1"/>
    <col min="1541" max="1541" width="12.5703125" style="18" customWidth="1"/>
    <col min="1542" max="1543" width="11.42578125" style="18"/>
    <col min="1544" max="1544" width="12.85546875" style="18" bestFit="1" customWidth="1"/>
    <col min="1545" max="1545" width="11.42578125" style="18"/>
    <col min="1546" max="1546" width="13.85546875" style="18" customWidth="1"/>
    <col min="1547" max="1792" width="11.42578125" style="18"/>
    <col min="1793" max="1793" width="3.5703125" style="18" customWidth="1"/>
    <col min="1794" max="1794" width="45.28515625" style="18" customWidth="1"/>
    <col min="1795" max="1795" width="10.5703125" style="18" customWidth="1"/>
    <col min="1796" max="1796" width="13.5703125" style="18" customWidth="1"/>
    <col min="1797" max="1797" width="12.5703125" style="18" customWidth="1"/>
    <col min="1798" max="1799" width="11.42578125" style="18"/>
    <col min="1800" max="1800" width="12.85546875" style="18" bestFit="1" customWidth="1"/>
    <col min="1801" max="1801" width="11.42578125" style="18"/>
    <col min="1802" max="1802" width="13.85546875" style="18" customWidth="1"/>
    <col min="1803" max="2048" width="11.42578125" style="18"/>
    <col min="2049" max="2049" width="3.5703125" style="18" customWidth="1"/>
    <col min="2050" max="2050" width="45.28515625" style="18" customWidth="1"/>
    <col min="2051" max="2051" width="10.5703125" style="18" customWidth="1"/>
    <col min="2052" max="2052" width="13.5703125" style="18" customWidth="1"/>
    <col min="2053" max="2053" width="12.5703125" style="18" customWidth="1"/>
    <col min="2054" max="2055" width="11.42578125" style="18"/>
    <col min="2056" max="2056" width="12.85546875" style="18" bestFit="1" customWidth="1"/>
    <col min="2057" max="2057" width="11.42578125" style="18"/>
    <col min="2058" max="2058" width="13.85546875" style="18" customWidth="1"/>
    <col min="2059" max="2304" width="11.42578125" style="18"/>
    <col min="2305" max="2305" width="3.5703125" style="18" customWidth="1"/>
    <col min="2306" max="2306" width="45.28515625" style="18" customWidth="1"/>
    <col min="2307" max="2307" width="10.5703125" style="18" customWidth="1"/>
    <col min="2308" max="2308" width="13.5703125" style="18" customWidth="1"/>
    <col min="2309" max="2309" width="12.5703125" style="18" customWidth="1"/>
    <col min="2310" max="2311" width="11.42578125" style="18"/>
    <col min="2312" max="2312" width="12.85546875" style="18" bestFit="1" customWidth="1"/>
    <col min="2313" max="2313" width="11.42578125" style="18"/>
    <col min="2314" max="2314" width="13.85546875" style="18" customWidth="1"/>
    <col min="2315" max="2560" width="11.42578125" style="18"/>
    <col min="2561" max="2561" width="3.5703125" style="18" customWidth="1"/>
    <col min="2562" max="2562" width="45.28515625" style="18" customWidth="1"/>
    <col min="2563" max="2563" width="10.5703125" style="18" customWidth="1"/>
    <col min="2564" max="2564" width="13.5703125" style="18" customWidth="1"/>
    <col min="2565" max="2565" width="12.5703125" style="18" customWidth="1"/>
    <col min="2566" max="2567" width="11.42578125" style="18"/>
    <col min="2568" max="2568" width="12.85546875" style="18" bestFit="1" customWidth="1"/>
    <col min="2569" max="2569" width="11.42578125" style="18"/>
    <col min="2570" max="2570" width="13.85546875" style="18" customWidth="1"/>
    <col min="2571" max="2816" width="11.42578125" style="18"/>
    <col min="2817" max="2817" width="3.5703125" style="18" customWidth="1"/>
    <col min="2818" max="2818" width="45.28515625" style="18" customWidth="1"/>
    <col min="2819" max="2819" width="10.5703125" style="18" customWidth="1"/>
    <col min="2820" max="2820" width="13.5703125" style="18" customWidth="1"/>
    <col min="2821" max="2821" width="12.5703125" style="18" customWidth="1"/>
    <col min="2822" max="2823" width="11.42578125" style="18"/>
    <col min="2824" max="2824" width="12.85546875" style="18" bestFit="1" customWidth="1"/>
    <col min="2825" max="2825" width="11.42578125" style="18"/>
    <col min="2826" max="2826" width="13.85546875" style="18" customWidth="1"/>
    <col min="2827" max="3072" width="11.42578125" style="18"/>
    <col min="3073" max="3073" width="3.5703125" style="18" customWidth="1"/>
    <col min="3074" max="3074" width="45.28515625" style="18" customWidth="1"/>
    <col min="3075" max="3075" width="10.5703125" style="18" customWidth="1"/>
    <col min="3076" max="3076" width="13.5703125" style="18" customWidth="1"/>
    <col min="3077" max="3077" width="12.5703125" style="18" customWidth="1"/>
    <col min="3078" max="3079" width="11.42578125" style="18"/>
    <col min="3080" max="3080" width="12.85546875" style="18" bestFit="1" customWidth="1"/>
    <col min="3081" max="3081" width="11.42578125" style="18"/>
    <col min="3082" max="3082" width="13.85546875" style="18" customWidth="1"/>
    <col min="3083" max="3328" width="11.42578125" style="18"/>
    <col min="3329" max="3329" width="3.5703125" style="18" customWidth="1"/>
    <col min="3330" max="3330" width="45.28515625" style="18" customWidth="1"/>
    <col min="3331" max="3331" width="10.5703125" style="18" customWidth="1"/>
    <col min="3332" max="3332" width="13.5703125" style="18" customWidth="1"/>
    <col min="3333" max="3333" width="12.5703125" style="18" customWidth="1"/>
    <col min="3334" max="3335" width="11.42578125" style="18"/>
    <col min="3336" max="3336" width="12.85546875" style="18" bestFit="1" customWidth="1"/>
    <col min="3337" max="3337" width="11.42578125" style="18"/>
    <col min="3338" max="3338" width="13.85546875" style="18" customWidth="1"/>
    <col min="3339" max="3584" width="11.42578125" style="18"/>
    <col min="3585" max="3585" width="3.5703125" style="18" customWidth="1"/>
    <col min="3586" max="3586" width="45.28515625" style="18" customWidth="1"/>
    <col min="3587" max="3587" width="10.5703125" style="18" customWidth="1"/>
    <col min="3588" max="3588" width="13.5703125" style="18" customWidth="1"/>
    <col min="3589" max="3589" width="12.5703125" style="18" customWidth="1"/>
    <col min="3590" max="3591" width="11.42578125" style="18"/>
    <col min="3592" max="3592" width="12.85546875" style="18" bestFit="1" customWidth="1"/>
    <col min="3593" max="3593" width="11.42578125" style="18"/>
    <col min="3594" max="3594" width="13.85546875" style="18" customWidth="1"/>
    <col min="3595" max="3840" width="11.42578125" style="18"/>
    <col min="3841" max="3841" width="3.5703125" style="18" customWidth="1"/>
    <col min="3842" max="3842" width="45.28515625" style="18" customWidth="1"/>
    <col min="3843" max="3843" width="10.5703125" style="18" customWidth="1"/>
    <col min="3844" max="3844" width="13.5703125" style="18" customWidth="1"/>
    <col min="3845" max="3845" width="12.5703125" style="18" customWidth="1"/>
    <col min="3846" max="3847" width="11.42578125" style="18"/>
    <col min="3848" max="3848" width="12.85546875" style="18" bestFit="1" customWidth="1"/>
    <col min="3849" max="3849" width="11.42578125" style="18"/>
    <col min="3850" max="3850" width="13.85546875" style="18" customWidth="1"/>
    <col min="3851" max="4096" width="11.42578125" style="18"/>
    <col min="4097" max="4097" width="3.5703125" style="18" customWidth="1"/>
    <col min="4098" max="4098" width="45.28515625" style="18" customWidth="1"/>
    <col min="4099" max="4099" width="10.5703125" style="18" customWidth="1"/>
    <col min="4100" max="4100" width="13.5703125" style="18" customWidth="1"/>
    <col min="4101" max="4101" width="12.5703125" style="18" customWidth="1"/>
    <col min="4102" max="4103" width="11.42578125" style="18"/>
    <col min="4104" max="4104" width="12.85546875" style="18" bestFit="1" customWidth="1"/>
    <col min="4105" max="4105" width="11.42578125" style="18"/>
    <col min="4106" max="4106" width="13.85546875" style="18" customWidth="1"/>
    <col min="4107" max="4352" width="11.42578125" style="18"/>
    <col min="4353" max="4353" width="3.5703125" style="18" customWidth="1"/>
    <col min="4354" max="4354" width="45.28515625" style="18" customWidth="1"/>
    <col min="4355" max="4355" width="10.5703125" style="18" customWidth="1"/>
    <col min="4356" max="4356" width="13.5703125" style="18" customWidth="1"/>
    <col min="4357" max="4357" width="12.5703125" style="18" customWidth="1"/>
    <col min="4358" max="4359" width="11.42578125" style="18"/>
    <col min="4360" max="4360" width="12.85546875" style="18" bestFit="1" customWidth="1"/>
    <col min="4361" max="4361" width="11.42578125" style="18"/>
    <col min="4362" max="4362" width="13.85546875" style="18" customWidth="1"/>
    <col min="4363" max="4608" width="11.42578125" style="18"/>
    <col min="4609" max="4609" width="3.5703125" style="18" customWidth="1"/>
    <col min="4610" max="4610" width="45.28515625" style="18" customWidth="1"/>
    <col min="4611" max="4611" width="10.5703125" style="18" customWidth="1"/>
    <col min="4612" max="4612" width="13.5703125" style="18" customWidth="1"/>
    <col min="4613" max="4613" width="12.5703125" style="18" customWidth="1"/>
    <col min="4614" max="4615" width="11.42578125" style="18"/>
    <col min="4616" max="4616" width="12.85546875" style="18" bestFit="1" customWidth="1"/>
    <col min="4617" max="4617" width="11.42578125" style="18"/>
    <col min="4618" max="4618" width="13.85546875" style="18" customWidth="1"/>
    <col min="4619" max="4864" width="11.42578125" style="18"/>
    <col min="4865" max="4865" width="3.5703125" style="18" customWidth="1"/>
    <col min="4866" max="4866" width="45.28515625" style="18" customWidth="1"/>
    <col min="4867" max="4867" width="10.5703125" style="18" customWidth="1"/>
    <col min="4868" max="4868" width="13.5703125" style="18" customWidth="1"/>
    <col min="4869" max="4869" width="12.5703125" style="18" customWidth="1"/>
    <col min="4870" max="4871" width="11.42578125" style="18"/>
    <col min="4872" max="4872" width="12.85546875" style="18" bestFit="1" customWidth="1"/>
    <col min="4873" max="4873" width="11.42578125" style="18"/>
    <col min="4874" max="4874" width="13.85546875" style="18" customWidth="1"/>
    <col min="4875" max="5120" width="11.42578125" style="18"/>
    <col min="5121" max="5121" width="3.5703125" style="18" customWidth="1"/>
    <col min="5122" max="5122" width="45.28515625" style="18" customWidth="1"/>
    <col min="5123" max="5123" width="10.5703125" style="18" customWidth="1"/>
    <col min="5124" max="5124" width="13.5703125" style="18" customWidth="1"/>
    <col min="5125" max="5125" width="12.5703125" style="18" customWidth="1"/>
    <col min="5126" max="5127" width="11.42578125" style="18"/>
    <col min="5128" max="5128" width="12.85546875" style="18" bestFit="1" customWidth="1"/>
    <col min="5129" max="5129" width="11.42578125" style="18"/>
    <col min="5130" max="5130" width="13.85546875" style="18" customWidth="1"/>
    <col min="5131" max="5376" width="11.42578125" style="18"/>
    <col min="5377" max="5377" width="3.5703125" style="18" customWidth="1"/>
    <col min="5378" max="5378" width="45.28515625" style="18" customWidth="1"/>
    <col min="5379" max="5379" width="10.5703125" style="18" customWidth="1"/>
    <col min="5380" max="5380" width="13.5703125" style="18" customWidth="1"/>
    <col min="5381" max="5381" width="12.5703125" style="18" customWidth="1"/>
    <col min="5382" max="5383" width="11.42578125" style="18"/>
    <col min="5384" max="5384" width="12.85546875" style="18" bestFit="1" customWidth="1"/>
    <col min="5385" max="5385" width="11.42578125" style="18"/>
    <col min="5386" max="5386" width="13.85546875" style="18" customWidth="1"/>
    <col min="5387" max="5632" width="11.42578125" style="18"/>
    <col min="5633" max="5633" width="3.5703125" style="18" customWidth="1"/>
    <col min="5634" max="5634" width="45.28515625" style="18" customWidth="1"/>
    <col min="5635" max="5635" width="10.5703125" style="18" customWidth="1"/>
    <col min="5636" max="5636" width="13.5703125" style="18" customWidth="1"/>
    <col min="5637" max="5637" width="12.5703125" style="18" customWidth="1"/>
    <col min="5638" max="5639" width="11.42578125" style="18"/>
    <col min="5640" max="5640" width="12.85546875" style="18" bestFit="1" customWidth="1"/>
    <col min="5641" max="5641" width="11.42578125" style="18"/>
    <col min="5642" max="5642" width="13.85546875" style="18" customWidth="1"/>
    <col min="5643" max="5888" width="11.42578125" style="18"/>
    <col min="5889" max="5889" width="3.5703125" style="18" customWidth="1"/>
    <col min="5890" max="5890" width="45.28515625" style="18" customWidth="1"/>
    <col min="5891" max="5891" width="10.5703125" style="18" customWidth="1"/>
    <col min="5892" max="5892" width="13.5703125" style="18" customWidth="1"/>
    <col min="5893" max="5893" width="12.5703125" style="18" customWidth="1"/>
    <col min="5894" max="5895" width="11.42578125" style="18"/>
    <col min="5896" max="5896" width="12.85546875" style="18" bestFit="1" customWidth="1"/>
    <col min="5897" max="5897" width="11.42578125" style="18"/>
    <col min="5898" max="5898" width="13.85546875" style="18" customWidth="1"/>
    <col min="5899" max="6144" width="11.42578125" style="18"/>
    <col min="6145" max="6145" width="3.5703125" style="18" customWidth="1"/>
    <col min="6146" max="6146" width="45.28515625" style="18" customWidth="1"/>
    <col min="6147" max="6147" width="10.5703125" style="18" customWidth="1"/>
    <col min="6148" max="6148" width="13.5703125" style="18" customWidth="1"/>
    <col min="6149" max="6149" width="12.5703125" style="18" customWidth="1"/>
    <col min="6150" max="6151" width="11.42578125" style="18"/>
    <col min="6152" max="6152" width="12.85546875" style="18" bestFit="1" customWidth="1"/>
    <col min="6153" max="6153" width="11.42578125" style="18"/>
    <col min="6154" max="6154" width="13.85546875" style="18" customWidth="1"/>
    <col min="6155" max="6400" width="11.42578125" style="18"/>
    <col min="6401" max="6401" width="3.5703125" style="18" customWidth="1"/>
    <col min="6402" max="6402" width="45.28515625" style="18" customWidth="1"/>
    <col min="6403" max="6403" width="10.5703125" style="18" customWidth="1"/>
    <col min="6404" max="6404" width="13.5703125" style="18" customWidth="1"/>
    <col min="6405" max="6405" width="12.5703125" style="18" customWidth="1"/>
    <col min="6406" max="6407" width="11.42578125" style="18"/>
    <col min="6408" max="6408" width="12.85546875" style="18" bestFit="1" customWidth="1"/>
    <col min="6409" max="6409" width="11.42578125" style="18"/>
    <col min="6410" max="6410" width="13.85546875" style="18" customWidth="1"/>
    <col min="6411" max="6656" width="11.42578125" style="18"/>
    <col min="6657" max="6657" width="3.5703125" style="18" customWidth="1"/>
    <col min="6658" max="6658" width="45.28515625" style="18" customWidth="1"/>
    <col min="6659" max="6659" width="10.5703125" style="18" customWidth="1"/>
    <col min="6660" max="6660" width="13.5703125" style="18" customWidth="1"/>
    <col min="6661" max="6661" width="12.5703125" style="18" customWidth="1"/>
    <col min="6662" max="6663" width="11.42578125" style="18"/>
    <col min="6664" max="6664" width="12.85546875" style="18" bestFit="1" customWidth="1"/>
    <col min="6665" max="6665" width="11.42578125" style="18"/>
    <col min="6666" max="6666" width="13.85546875" style="18" customWidth="1"/>
    <col min="6667" max="6912" width="11.42578125" style="18"/>
    <col min="6913" max="6913" width="3.5703125" style="18" customWidth="1"/>
    <col min="6914" max="6914" width="45.28515625" style="18" customWidth="1"/>
    <col min="6915" max="6915" width="10.5703125" style="18" customWidth="1"/>
    <col min="6916" max="6916" width="13.5703125" style="18" customWidth="1"/>
    <col min="6917" max="6917" width="12.5703125" style="18" customWidth="1"/>
    <col min="6918" max="6919" width="11.42578125" style="18"/>
    <col min="6920" max="6920" width="12.85546875" style="18" bestFit="1" customWidth="1"/>
    <col min="6921" max="6921" width="11.42578125" style="18"/>
    <col min="6922" max="6922" width="13.85546875" style="18" customWidth="1"/>
    <col min="6923" max="7168" width="11.42578125" style="18"/>
    <col min="7169" max="7169" width="3.5703125" style="18" customWidth="1"/>
    <col min="7170" max="7170" width="45.28515625" style="18" customWidth="1"/>
    <col min="7171" max="7171" width="10.5703125" style="18" customWidth="1"/>
    <col min="7172" max="7172" width="13.5703125" style="18" customWidth="1"/>
    <col min="7173" max="7173" width="12.5703125" style="18" customWidth="1"/>
    <col min="7174" max="7175" width="11.42578125" style="18"/>
    <col min="7176" max="7176" width="12.85546875" style="18" bestFit="1" customWidth="1"/>
    <col min="7177" max="7177" width="11.42578125" style="18"/>
    <col min="7178" max="7178" width="13.85546875" style="18" customWidth="1"/>
    <col min="7179" max="7424" width="11.42578125" style="18"/>
    <col min="7425" max="7425" width="3.5703125" style="18" customWidth="1"/>
    <col min="7426" max="7426" width="45.28515625" style="18" customWidth="1"/>
    <col min="7427" max="7427" width="10.5703125" style="18" customWidth="1"/>
    <col min="7428" max="7428" width="13.5703125" style="18" customWidth="1"/>
    <col min="7429" max="7429" width="12.5703125" style="18" customWidth="1"/>
    <col min="7430" max="7431" width="11.42578125" style="18"/>
    <col min="7432" max="7432" width="12.85546875" style="18" bestFit="1" customWidth="1"/>
    <col min="7433" max="7433" width="11.42578125" style="18"/>
    <col min="7434" max="7434" width="13.85546875" style="18" customWidth="1"/>
    <col min="7435" max="7680" width="11.42578125" style="18"/>
    <col min="7681" max="7681" width="3.5703125" style="18" customWidth="1"/>
    <col min="7682" max="7682" width="45.28515625" style="18" customWidth="1"/>
    <col min="7683" max="7683" width="10.5703125" style="18" customWidth="1"/>
    <col min="7684" max="7684" width="13.5703125" style="18" customWidth="1"/>
    <col min="7685" max="7685" width="12.5703125" style="18" customWidth="1"/>
    <col min="7686" max="7687" width="11.42578125" style="18"/>
    <col min="7688" max="7688" width="12.85546875" style="18" bestFit="1" customWidth="1"/>
    <col min="7689" max="7689" width="11.42578125" style="18"/>
    <col min="7690" max="7690" width="13.85546875" style="18" customWidth="1"/>
    <col min="7691" max="7936" width="11.42578125" style="18"/>
    <col min="7937" max="7937" width="3.5703125" style="18" customWidth="1"/>
    <col min="7938" max="7938" width="45.28515625" style="18" customWidth="1"/>
    <col min="7939" max="7939" width="10.5703125" style="18" customWidth="1"/>
    <col min="7940" max="7940" width="13.5703125" style="18" customWidth="1"/>
    <col min="7941" max="7941" width="12.5703125" style="18" customWidth="1"/>
    <col min="7942" max="7943" width="11.42578125" style="18"/>
    <col min="7944" max="7944" width="12.85546875" style="18" bestFit="1" customWidth="1"/>
    <col min="7945" max="7945" width="11.42578125" style="18"/>
    <col min="7946" max="7946" width="13.85546875" style="18" customWidth="1"/>
    <col min="7947" max="8192" width="11.42578125" style="18"/>
    <col min="8193" max="8193" width="3.5703125" style="18" customWidth="1"/>
    <col min="8194" max="8194" width="45.28515625" style="18" customWidth="1"/>
    <col min="8195" max="8195" width="10.5703125" style="18" customWidth="1"/>
    <col min="8196" max="8196" width="13.5703125" style="18" customWidth="1"/>
    <col min="8197" max="8197" width="12.5703125" style="18" customWidth="1"/>
    <col min="8198" max="8199" width="11.42578125" style="18"/>
    <col min="8200" max="8200" width="12.85546875" style="18" bestFit="1" customWidth="1"/>
    <col min="8201" max="8201" width="11.42578125" style="18"/>
    <col min="8202" max="8202" width="13.85546875" style="18" customWidth="1"/>
    <col min="8203" max="8448" width="11.42578125" style="18"/>
    <col min="8449" max="8449" width="3.5703125" style="18" customWidth="1"/>
    <col min="8450" max="8450" width="45.28515625" style="18" customWidth="1"/>
    <col min="8451" max="8451" width="10.5703125" style="18" customWidth="1"/>
    <col min="8452" max="8452" width="13.5703125" style="18" customWidth="1"/>
    <col min="8453" max="8453" width="12.5703125" style="18" customWidth="1"/>
    <col min="8454" max="8455" width="11.42578125" style="18"/>
    <col min="8456" max="8456" width="12.85546875" style="18" bestFit="1" customWidth="1"/>
    <col min="8457" max="8457" width="11.42578125" style="18"/>
    <col min="8458" max="8458" width="13.85546875" style="18" customWidth="1"/>
    <col min="8459" max="8704" width="11.42578125" style="18"/>
    <col min="8705" max="8705" width="3.5703125" style="18" customWidth="1"/>
    <col min="8706" max="8706" width="45.28515625" style="18" customWidth="1"/>
    <col min="8707" max="8707" width="10.5703125" style="18" customWidth="1"/>
    <col min="8708" max="8708" width="13.5703125" style="18" customWidth="1"/>
    <col min="8709" max="8709" width="12.5703125" style="18" customWidth="1"/>
    <col min="8710" max="8711" width="11.42578125" style="18"/>
    <col min="8712" max="8712" width="12.85546875" style="18" bestFit="1" customWidth="1"/>
    <col min="8713" max="8713" width="11.42578125" style="18"/>
    <col min="8714" max="8714" width="13.85546875" style="18" customWidth="1"/>
    <col min="8715" max="8960" width="11.42578125" style="18"/>
    <col min="8961" max="8961" width="3.5703125" style="18" customWidth="1"/>
    <col min="8962" max="8962" width="45.28515625" style="18" customWidth="1"/>
    <col min="8963" max="8963" width="10.5703125" style="18" customWidth="1"/>
    <col min="8964" max="8964" width="13.5703125" style="18" customWidth="1"/>
    <col min="8965" max="8965" width="12.5703125" style="18" customWidth="1"/>
    <col min="8966" max="8967" width="11.42578125" style="18"/>
    <col min="8968" max="8968" width="12.85546875" style="18" bestFit="1" customWidth="1"/>
    <col min="8969" max="8969" width="11.42578125" style="18"/>
    <col min="8970" max="8970" width="13.85546875" style="18" customWidth="1"/>
    <col min="8971" max="9216" width="11.42578125" style="18"/>
    <col min="9217" max="9217" width="3.5703125" style="18" customWidth="1"/>
    <col min="9218" max="9218" width="45.28515625" style="18" customWidth="1"/>
    <col min="9219" max="9219" width="10.5703125" style="18" customWidth="1"/>
    <col min="9220" max="9220" width="13.5703125" style="18" customWidth="1"/>
    <col min="9221" max="9221" width="12.5703125" style="18" customWidth="1"/>
    <col min="9222" max="9223" width="11.42578125" style="18"/>
    <col min="9224" max="9224" width="12.85546875" style="18" bestFit="1" customWidth="1"/>
    <col min="9225" max="9225" width="11.42578125" style="18"/>
    <col min="9226" max="9226" width="13.85546875" style="18" customWidth="1"/>
    <col min="9227" max="9472" width="11.42578125" style="18"/>
    <col min="9473" max="9473" width="3.5703125" style="18" customWidth="1"/>
    <col min="9474" max="9474" width="45.28515625" style="18" customWidth="1"/>
    <col min="9475" max="9475" width="10.5703125" style="18" customWidth="1"/>
    <col min="9476" max="9476" width="13.5703125" style="18" customWidth="1"/>
    <col min="9477" max="9477" width="12.5703125" style="18" customWidth="1"/>
    <col min="9478" max="9479" width="11.42578125" style="18"/>
    <col min="9480" max="9480" width="12.85546875" style="18" bestFit="1" customWidth="1"/>
    <col min="9481" max="9481" width="11.42578125" style="18"/>
    <col min="9482" max="9482" width="13.85546875" style="18" customWidth="1"/>
    <col min="9483" max="9728" width="11.42578125" style="18"/>
    <col min="9729" max="9729" width="3.5703125" style="18" customWidth="1"/>
    <col min="9730" max="9730" width="45.28515625" style="18" customWidth="1"/>
    <col min="9731" max="9731" width="10.5703125" style="18" customWidth="1"/>
    <col min="9732" max="9732" width="13.5703125" style="18" customWidth="1"/>
    <col min="9733" max="9733" width="12.5703125" style="18" customWidth="1"/>
    <col min="9734" max="9735" width="11.42578125" style="18"/>
    <col min="9736" max="9736" width="12.85546875" style="18" bestFit="1" customWidth="1"/>
    <col min="9737" max="9737" width="11.42578125" style="18"/>
    <col min="9738" max="9738" width="13.85546875" style="18" customWidth="1"/>
    <col min="9739" max="9984" width="11.42578125" style="18"/>
    <col min="9985" max="9985" width="3.5703125" style="18" customWidth="1"/>
    <col min="9986" max="9986" width="45.28515625" style="18" customWidth="1"/>
    <col min="9987" max="9987" width="10.5703125" style="18" customWidth="1"/>
    <col min="9988" max="9988" width="13.5703125" style="18" customWidth="1"/>
    <col min="9989" max="9989" width="12.5703125" style="18" customWidth="1"/>
    <col min="9990" max="9991" width="11.42578125" style="18"/>
    <col min="9992" max="9992" width="12.85546875" style="18" bestFit="1" customWidth="1"/>
    <col min="9993" max="9993" width="11.42578125" style="18"/>
    <col min="9994" max="9994" width="13.85546875" style="18" customWidth="1"/>
    <col min="9995" max="10240" width="11.42578125" style="18"/>
    <col min="10241" max="10241" width="3.5703125" style="18" customWidth="1"/>
    <col min="10242" max="10242" width="45.28515625" style="18" customWidth="1"/>
    <col min="10243" max="10243" width="10.5703125" style="18" customWidth="1"/>
    <col min="10244" max="10244" width="13.5703125" style="18" customWidth="1"/>
    <col min="10245" max="10245" width="12.5703125" style="18" customWidth="1"/>
    <col min="10246" max="10247" width="11.42578125" style="18"/>
    <col min="10248" max="10248" width="12.85546875" style="18" bestFit="1" customWidth="1"/>
    <col min="10249" max="10249" width="11.42578125" style="18"/>
    <col min="10250" max="10250" width="13.85546875" style="18" customWidth="1"/>
    <col min="10251" max="10496" width="11.42578125" style="18"/>
    <col min="10497" max="10497" width="3.5703125" style="18" customWidth="1"/>
    <col min="10498" max="10498" width="45.28515625" style="18" customWidth="1"/>
    <col min="10499" max="10499" width="10.5703125" style="18" customWidth="1"/>
    <col min="10500" max="10500" width="13.5703125" style="18" customWidth="1"/>
    <col min="10501" max="10501" width="12.5703125" style="18" customWidth="1"/>
    <col min="10502" max="10503" width="11.42578125" style="18"/>
    <col min="10504" max="10504" width="12.85546875" style="18" bestFit="1" customWidth="1"/>
    <col min="10505" max="10505" width="11.42578125" style="18"/>
    <col min="10506" max="10506" width="13.85546875" style="18" customWidth="1"/>
    <col min="10507" max="10752" width="11.42578125" style="18"/>
    <col min="10753" max="10753" width="3.5703125" style="18" customWidth="1"/>
    <col min="10754" max="10754" width="45.28515625" style="18" customWidth="1"/>
    <col min="10755" max="10755" width="10.5703125" style="18" customWidth="1"/>
    <col min="10756" max="10756" width="13.5703125" style="18" customWidth="1"/>
    <col min="10757" max="10757" width="12.5703125" style="18" customWidth="1"/>
    <col min="10758" max="10759" width="11.42578125" style="18"/>
    <col min="10760" max="10760" width="12.85546875" style="18" bestFit="1" customWidth="1"/>
    <col min="10761" max="10761" width="11.42578125" style="18"/>
    <col min="10762" max="10762" width="13.85546875" style="18" customWidth="1"/>
    <col min="10763" max="11008" width="11.42578125" style="18"/>
    <col min="11009" max="11009" width="3.5703125" style="18" customWidth="1"/>
    <col min="11010" max="11010" width="45.28515625" style="18" customWidth="1"/>
    <col min="11011" max="11011" width="10.5703125" style="18" customWidth="1"/>
    <col min="11012" max="11012" width="13.5703125" style="18" customWidth="1"/>
    <col min="11013" max="11013" width="12.5703125" style="18" customWidth="1"/>
    <col min="11014" max="11015" width="11.42578125" style="18"/>
    <col min="11016" max="11016" width="12.85546875" style="18" bestFit="1" customWidth="1"/>
    <col min="11017" max="11017" width="11.42578125" style="18"/>
    <col min="11018" max="11018" width="13.85546875" style="18" customWidth="1"/>
    <col min="11019" max="11264" width="11.42578125" style="18"/>
    <col min="11265" max="11265" width="3.5703125" style="18" customWidth="1"/>
    <col min="11266" max="11266" width="45.28515625" style="18" customWidth="1"/>
    <col min="11267" max="11267" width="10.5703125" style="18" customWidth="1"/>
    <col min="11268" max="11268" width="13.5703125" style="18" customWidth="1"/>
    <col min="11269" max="11269" width="12.5703125" style="18" customWidth="1"/>
    <col min="11270" max="11271" width="11.42578125" style="18"/>
    <col min="11272" max="11272" width="12.85546875" style="18" bestFit="1" customWidth="1"/>
    <col min="11273" max="11273" width="11.42578125" style="18"/>
    <col min="11274" max="11274" width="13.85546875" style="18" customWidth="1"/>
    <col min="11275" max="11520" width="11.42578125" style="18"/>
    <col min="11521" max="11521" width="3.5703125" style="18" customWidth="1"/>
    <col min="11522" max="11522" width="45.28515625" style="18" customWidth="1"/>
    <col min="11523" max="11523" width="10.5703125" style="18" customWidth="1"/>
    <col min="11524" max="11524" width="13.5703125" style="18" customWidth="1"/>
    <col min="11525" max="11525" width="12.5703125" style="18" customWidth="1"/>
    <col min="11526" max="11527" width="11.42578125" style="18"/>
    <col min="11528" max="11528" width="12.85546875" style="18" bestFit="1" customWidth="1"/>
    <col min="11529" max="11529" width="11.42578125" style="18"/>
    <col min="11530" max="11530" width="13.85546875" style="18" customWidth="1"/>
    <col min="11531" max="11776" width="11.42578125" style="18"/>
    <col min="11777" max="11777" width="3.5703125" style="18" customWidth="1"/>
    <col min="11778" max="11778" width="45.28515625" style="18" customWidth="1"/>
    <col min="11779" max="11779" width="10.5703125" style="18" customWidth="1"/>
    <col min="11780" max="11780" width="13.5703125" style="18" customWidth="1"/>
    <col min="11781" max="11781" width="12.5703125" style="18" customWidth="1"/>
    <col min="11782" max="11783" width="11.42578125" style="18"/>
    <col min="11784" max="11784" width="12.85546875" style="18" bestFit="1" customWidth="1"/>
    <col min="11785" max="11785" width="11.42578125" style="18"/>
    <col min="11786" max="11786" width="13.85546875" style="18" customWidth="1"/>
    <col min="11787" max="12032" width="11.42578125" style="18"/>
    <col min="12033" max="12033" width="3.5703125" style="18" customWidth="1"/>
    <col min="12034" max="12034" width="45.28515625" style="18" customWidth="1"/>
    <col min="12035" max="12035" width="10.5703125" style="18" customWidth="1"/>
    <col min="12036" max="12036" width="13.5703125" style="18" customWidth="1"/>
    <col min="12037" max="12037" width="12.5703125" style="18" customWidth="1"/>
    <col min="12038" max="12039" width="11.42578125" style="18"/>
    <col min="12040" max="12040" width="12.85546875" style="18" bestFit="1" customWidth="1"/>
    <col min="12041" max="12041" width="11.42578125" style="18"/>
    <col min="12042" max="12042" width="13.85546875" style="18" customWidth="1"/>
    <col min="12043" max="12288" width="11.42578125" style="18"/>
    <col min="12289" max="12289" width="3.5703125" style="18" customWidth="1"/>
    <col min="12290" max="12290" width="45.28515625" style="18" customWidth="1"/>
    <col min="12291" max="12291" width="10.5703125" style="18" customWidth="1"/>
    <col min="12292" max="12292" width="13.5703125" style="18" customWidth="1"/>
    <col min="12293" max="12293" width="12.5703125" style="18" customWidth="1"/>
    <col min="12294" max="12295" width="11.42578125" style="18"/>
    <col min="12296" max="12296" width="12.85546875" style="18" bestFit="1" customWidth="1"/>
    <col min="12297" max="12297" width="11.42578125" style="18"/>
    <col min="12298" max="12298" width="13.85546875" style="18" customWidth="1"/>
    <col min="12299" max="12544" width="11.42578125" style="18"/>
    <col min="12545" max="12545" width="3.5703125" style="18" customWidth="1"/>
    <col min="12546" max="12546" width="45.28515625" style="18" customWidth="1"/>
    <col min="12547" max="12547" width="10.5703125" style="18" customWidth="1"/>
    <col min="12548" max="12548" width="13.5703125" style="18" customWidth="1"/>
    <col min="12549" max="12549" width="12.5703125" style="18" customWidth="1"/>
    <col min="12550" max="12551" width="11.42578125" style="18"/>
    <col min="12552" max="12552" width="12.85546875" style="18" bestFit="1" customWidth="1"/>
    <col min="12553" max="12553" width="11.42578125" style="18"/>
    <col min="12554" max="12554" width="13.85546875" style="18" customWidth="1"/>
    <col min="12555" max="12800" width="11.42578125" style="18"/>
    <col min="12801" max="12801" width="3.5703125" style="18" customWidth="1"/>
    <col min="12802" max="12802" width="45.28515625" style="18" customWidth="1"/>
    <col min="12803" max="12803" width="10.5703125" style="18" customWidth="1"/>
    <col min="12804" max="12804" width="13.5703125" style="18" customWidth="1"/>
    <col min="12805" max="12805" width="12.5703125" style="18" customWidth="1"/>
    <col min="12806" max="12807" width="11.42578125" style="18"/>
    <col min="12808" max="12808" width="12.85546875" style="18" bestFit="1" customWidth="1"/>
    <col min="12809" max="12809" width="11.42578125" style="18"/>
    <col min="12810" max="12810" width="13.85546875" style="18" customWidth="1"/>
    <col min="12811" max="13056" width="11.42578125" style="18"/>
    <col min="13057" max="13057" width="3.5703125" style="18" customWidth="1"/>
    <col min="13058" max="13058" width="45.28515625" style="18" customWidth="1"/>
    <col min="13059" max="13059" width="10.5703125" style="18" customWidth="1"/>
    <col min="13060" max="13060" width="13.5703125" style="18" customWidth="1"/>
    <col min="13061" max="13061" width="12.5703125" style="18" customWidth="1"/>
    <col min="13062" max="13063" width="11.42578125" style="18"/>
    <col min="13064" max="13064" width="12.85546875" style="18" bestFit="1" customWidth="1"/>
    <col min="13065" max="13065" width="11.42578125" style="18"/>
    <col min="13066" max="13066" width="13.85546875" style="18" customWidth="1"/>
    <col min="13067" max="13312" width="11.42578125" style="18"/>
    <col min="13313" max="13313" width="3.5703125" style="18" customWidth="1"/>
    <col min="13314" max="13314" width="45.28515625" style="18" customWidth="1"/>
    <col min="13315" max="13315" width="10.5703125" style="18" customWidth="1"/>
    <col min="13316" max="13316" width="13.5703125" style="18" customWidth="1"/>
    <col min="13317" max="13317" width="12.5703125" style="18" customWidth="1"/>
    <col min="13318" max="13319" width="11.42578125" style="18"/>
    <col min="13320" max="13320" width="12.85546875" style="18" bestFit="1" customWidth="1"/>
    <col min="13321" max="13321" width="11.42578125" style="18"/>
    <col min="13322" max="13322" width="13.85546875" style="18" customWidth="1"/>
    <col min="13323" max="13568" width="11.42578125" style="18"/>
    <col min="13569" max="13569" width="3.5703125" style="18" customWidth="1"/>
    <col min="13570" max="13570" width="45.28515625" style="18" customWidth="1"/>
    <col min="13571" max="13571" width="10.5703125" style="18" customWidth="1"/>
    <col min="13572" max="13572" width="13.5703125" style="18" customWidth="1"/>
    <col min="13573" max="13573" width="12.5703125" style="18" customWidth="1"/>
    <col min="13574" max="13575" width="11.42578125" style="18"/>
    <col min="13576" max="13576" width="12.85546875" style="18" bestFit="1" customWidth="1"/>
    <col min="13577" max="13577" width="11.42578125" style="18"/>
    <col min="13578" max="13578" width="13.85546875" style="18" customWidth="1"/>
    <col min="13579" max="13824" width="11.42578125" style="18"/>
    <col min="13825" max="13825" width="3.5703125" style="18" customWidth="1"/>
    <col min="13826" max="13826" width="45.28515625" style="18" customWidth="1"/>
    <col min="13827" max="13827" width="10.5703125" style="18" customWidth="1"/>
    <col min="13828" max="13828" width="13.5703125" style="18" customWidth="1"/>
    <col min="13829" max="13829" width="12.5703125" style="18" customWidth="1"/>
    <col min="13830" max="13831" width="11.42578125" style="18"/>
    <col min="13832" max="13832" width="12.85546875" style="18" bestFit="1" customWidth="1"/>
    <col min="13833" max="13833" width="11.42578125" style="18"/>
    <col min="13834" max="13834" width="13.85546875" style="18" customWidth="1"/>
    <col min="13835" max="14080" width="11.42578125" style="18"/>
    <col min="14081" max="14081" width="3.5703125" style="18" customWidth="1"/>
    <col min="14082" max="14082" width="45.28515625" style="18" customWidth="1"/>
    <col min="14083" max="14083" width="10.5703125" style="18" customWidth="1"/>
    <col min="14084" max="14084" width="13.5703125" style="18" customWidth="1"/>
    <col min="14085" max="14085" width="12.5703125" style="18" customWidth="1"/>
    <col min="14086" max="14087" width="11.42578125" style="18"/>
    <col min="14088" max="14088" width="12.85546875" style="18" bestFit="1" customWidth="1"/>
    <col min="14089" max="14089" width="11.42578125" style="18"/>
    <col min="14090" max="14090" width="13.85546875" style="18" customWidth="1"/>
    <col min="14091" max="14336" width="11.42578125" style="18"/>
    <col min="14337" max="14337" width="3.5703125" style="18" customWidth="1"/>
    <col min="14338" max="14338" width="45.28515625" style="18" customWidth="1"/>
    <col min="14339" max="14339" width="10.5703125" style="18" customWidth="1"/>
    <col min="14340" max="14340" width="13.5703125" style="18" customWidth="1"/>
    <col min="14341" max="14341" width="12.5703125" style="18" customWidth="1"/>
    <col min="14342" max="14343" width="11.42578125" style="18"/>
    <col min="14344" max="14344" width="12.85546875" style="18" bestFit="1" customWidth="1"/>
    <col min="14345" max="14345" width="11.42578125" style="18"/>
    <col min="14346" max="14346" width="13.85546875" style="18" customWidth="1"/>
    <col min="14347" max="14592" width="11.42578125" style="18"/>
    <col min="14593" max="14593" width="3.5703125" style="18" customWidth="1"/>
    <col min="14594" max="14594" width="45.28515625" style="18" customWidth="1"/>
    <col min="14595" max="14595" width="10.5703125" style="18" customWidth="1"/>
    <col min="14596" max="14596" width="13.5703125" style="18" customWidth="1"/>
    <col min="14597" max="14597" width="12.5703125" style="18" customWidth="1"/>
    <col min="14598" max="14599" width="11.42578125" style="18"/>
    <col min="14600" max="14600" width="12.85546875" style="18" bestFit="1" customWidth="1"/>
    <col min="14601" max="14601" width="11.42578125" style="18"/>
    <col min="14602" max="14602" width="13.85546875" style="18" customWidth="1"/>
    <col min="14603" max="14848" width="11.42578125" style="18"/>
    <col min="14849" max="14849" width="3.5703125" style="18" customWidth="1"/>
    <col min="14850" max="14850" width="45.28515625" style="18" customWidth="1"/>
    <col min="14851" max="14851" width="10.5703125" style="18" customWidth="1"/>
    <col min="14852" max="14852" width="13.5703125" style="18" customWidth="1"/>
    <col min="14853" max="14853" width="12.5703125" style="18" customWidth="1"/>
    <col min="14854" max="14855" width="11.42578125" style="18"/>
    <col min="14856" max="14856" width="12.85546875" style="18" bestFit="1" customWidth="1"/>
    <col min="14857" max="14857" width="11.42578125" style="18"/>
    <col min="14858" max="14858" width="13.85546875" style="18" customWidth="1"/>
    <col min="14859" max="15104" width="11.42578125" style="18"/>
    <col min="15105" max="15105" width="3.5703125" style="18" customWidth="1"/>
    <col min="15106" max="15106" width="45.28515625" style="18" customWidth="1"/>
    <col min="15107" max="15107" width="10.5703125" style="18" customWidth="1"/>
    <col min="15108" max="15108" width="13.5703125" style="18" customWidth="1"/>
    <col min="15109" max="15109" width="12.5703125" style="18" customWidth="1"/>
    <col min="15110" max="15111" width="11.42578125" style="18"/>
    <col min="15112" max="15112" width="12.85546875" style="18" bestFit="1" customWidth="1"/>
    <col min="15113" max="15113" width="11.42578125" style="18"/>
    <col min="15114" max="15114" width="13.85546875" style="18" customWidth="1"/>
    <col min="15115" max="15360" width="11.42578125" style="18"/>
    <col min="15361" max="15361" width="3.5703125" style="18" customWidth="1"/>
    <col min="15362" max="15362" width="45.28515625" style="18" customWidth="1"/>
    <col min="15363" max="15363" width="10.5703125" style="18" customWidth="1"/>
    <col min="15364" max="15364" width="13.5703125" style="18" customWidth="1"/>
    <col min="15365" max="15365" width="12.5703125" style="18" customWidth="1"/>
    <col min="15366" max="15367" width="11.42578125" style="18"/>
    <col min="15368" max="15368" width="12.85546875" style="18" bestFit="1" customWidth="1"/>
    <col min="15369" max="15369" width="11.42578125" style="18"/>
    <col min="15370" max="15370" width="13.85546875" style="18" customWidth="1"/>
    <col min="15371" max="15616" width="11.42578125" style="18"/>
    <col min="15617" max="15617" width="3.5703125" style="18" customWidth="1"/>
    <col min="15618" max="15618" width="45.28515625" style="18" customWidth="1"/>
    <col min="15619" max="15619" width="10.5703125" style="18" customWidth="1"/>
    <col min="15620" max="15620" width="13.5703125" style="18" customWidth="1"/>
    <col min="15621" max="15621" width="12.5703125" style="18" customWidth="1"/>
    <col min="15622" max="15623" width="11.42578125" style="18"/>
    <col min="15624" max="15624" width="12.85546875" style="18" bestFit="1" customWidth="1"/>
    <col min="15625" max="15625" width="11.42578125" style="18"/>
    <col min="15626" max="15626" width="13.85546875" style="18" customWidth="1"/>
    <col min="15627" max="15872" width="11.42578125" style="18"/>
    <col min="15873" max="15873" width="3.5703125" style="18" customWidth="1"/>
    <col min="15874" max="15874" width="45.28515625" style="18" customWidth="1"/>
    <col min="15875" max="15875" width="10.5703125" style="18" customWidth="1"/>
    <col min="15876" max="15876" width="13.5703125" style="18" customWidth="1"/>
    <col min="15877" max="15877" width="12.5703125" style="18" customWidth="1"/>
    <col min="15878" max="15879" width="11.42578125" style="18"/>
    <col min="15880" max="15880" width="12.85546875" style="18" bestFit="1" customWidth="1"/>
    <col min="15881" max="15881" width="11.42578125" style="18"/>
    <col min="15882" max="15882" width="13.85546875" style="18" customWidth="1"/>
    <col min="15883" max="16128" width="11.42578125" style="18"/>
    <col min="16129" max="16129" width="3.5703125" style="18" customWidth="1"/>
    <col min="16130" max="16130" width="45.28515625" style="18" customWidth="1"/>
    <col min="16131" max="16131" width="10.5703125" style="18" customWidth="1"/>
    <col min="16132" max="16132" width="13.5703125" style="18" customWidth="1"/>
    <col min="16133" max="16133" width="12.5703125" style="18" customWidth="1"/>
    <col min="16134" max="16135" width="11.42578125" style="18"/>
    <col min="16136" max="16136" width="12.85546875" style="18" bestFit="1" customWidth="1"/>
    <col min="16137" max="16137" width="11.42578125" style="18"/>
    <col min="16138" max="16138" width="13.85546875" style="18" customWidth="1"/>
    <col min="16139" max="16384" width="11.42578125" style="18"/>
  </cols>
  <sheetData>
    <row r="1" spans="2:12" ht="21.75" customHeight="1" x14ac:dyDescent="0.25">
      <c r="B1" s="325" t="s">
        <v>77</v>
      </c>
      <c r="C1" s="325"/>
      <c r="D1" s="325"/>
      <c r="E1" s="325"/>
    </row>
    <row r="2" spans="2:12" s="50" customFormat="1" ht="38.25" x14ac:dyDescent="0.2">
      <c r="B2" s="21" t="s">
        <v>78</v>
      </c>
      <c r="C2" s="21" t="s">
        <v>5</v>
      </c>
      <c r="D2" s="21" t="s">
        <v>79</v>
      </c>
      <c r="E2" s="21" t="s">
        <v>80</v>
      </c>
      <c r="F2" s="51"/>
      <c r="G2" s="51"/>
      <c r="H2" s="51"/>
      <c r="I2" s="51"/>
      <c r="J2" s="51"/>
    </row>
    <row r="3" spans="2:12" x14ac:dyDescent="0.25">
      <c r="B3" s="8" t="s">
        <v>81</v>
      </c>
      <c r="C3" s="52"/>
      <c r="D3" s="52"/>
      <c r="E3" s="53">
        <f>SUM(E4:E5)</f>
        <v>0</v>
      </c>
      <c r="F3" s="48"/>
      <c r="G3" s="48"/>
      <c r="H3" s="48"/>
      <c r="I3" s="48"/>
    </row>
    <row r="4" spans="2:12" x14ac:dyDescent="0.25">
      <c r="B4" s="54" t="s">
        <v>88</v>
      </c>
      <c r="C4" s="55">
        <v>0</v>
      </c>
      <c r="D4" s="55">
        <v>0</v>
      </c>
      <c r="E4" s="56">
        <f>C4*D4</f>
        <v>0</v>
      </c>
      <c r="F4" s="48"/>
      <c r="G4" s="48"/>
      <c r="H4" s="48"/>
      <c r="I4" s="48"/>
    </row>
    <row r="5" spans="2:12" x14ac:dyDescent="0.25">
      <c r="B5" s="54" t="s">
        <v>88</v>
      </c>
      <c r="C5" s="55">
        <v>0</v>
      </c>
      <c r="D5" s="55">
        <v>0</v>
      </c>
      <c r="E5" s="56">
        <f>C5*D5</f>
        <v>0</v>
      </c>
      <c r="F5" s="48"/>
      <c r="G5" s="48"/>
      <c r="H5" s="48"/>
      <c r="I5" s="48"/>
    </row>
    <row r="6" spans="2:12" s="25" customFormat="1" ht="12.75" x14ac:dyDescent="0.2">
      <c r="B6" s="8" t="s">
        <v>16</v>
      </c>
      <c r="C6" s="57"/>
      <c r="D6" s="57"/>
      <c r="E6" s="53">
        <f>SUM(E7:E11)</f>
        <v>7585</v>
      </c>
      <c r="F6" s="58"/>
      <c r="G6" s="58"/>
      <c r="H6" s="58"/>
      <c r="I6" s="58"/>
    </row>
    <row r="7" spans="2:12" s="25" customFormat="1" ht="12.75" x14ac:dyDescent="0.2">
      <c r="B7" s="54" t="s">
        <v>15</v>
      </c>
      <c r="C7" s="55">
        <v>3</v>
      </c>
      <c r="D7" s="55">
        <v>2500</v>
      </c>
      <c r="E7" s="56">
        <f>C7*D7</f>
        <v>7500</v>
      </c>
      <c r="F7" s="58"/>
      <c r="G7" s="58"/>
      <c r="H7" s="58"/>
      <c r="I7" s="58"/>
    </row>
    <row r="8" spans="2:12" s="25" customFormat="1" ht="12.75" x14ac:dyDescent="0.2">
      <c r="B8" s="54" t="s">
        <v>19</v>
      </c>
      <c r="C8" s="55">
        <v>1</v>
      </c>
      <c r="D8" s="55">
        <v>85</v>
      </c>
      <c r="E8" s="56">
        <f>C8*D8</f>
        <v>85</v>
      </c>
      <c r="F8" s="58"/>
      <c r="G8" s="58"/>
      <c r="H8" s="58"/>
      <c r="I8" s="58"/>
    </row>
    <row r="9" spans="2:12" s="25" customFormat="1" ht="12.75" x14ac:dyDescent="0.2">
      <c r="B9" s="54" t="s">
        <v>88</v>
      </c>
      <c r="C9" s="55">
        <v>0</v>
      </c>
      <c r="D9" s="55">
        <v>0</v>
      </c>
      <c r="E9" s="56">
        <f>C9*D9</f>
        <v>0</v>
      </c>
      <c r="F9" s="58"/>
      <c r="G9" s="58"/>
      <c r="H9" s="58"/>
      <c r="I9" s="58"/>
    </row>
    <row r="10" spans="2:12" s="25" customFormat="1" ht="12.75" x14ac:dyDescent="0.2">
      <c r="B10" s="54" t="s">
        <v>88</v>
      </c>
      <c r="C10" s="55">
        <v>0</v>
      </c>
      <c r="D10" s="55">
        <v>0</v>
      </c>
      <c r="E10" s="56">
        <f>C10*D10</f>
        <v>0</v>
      </c>
      <c r="F10" s="58"/>
      <c r="G10" s="58"/>
      <c r="H10" s="58"/>
      <c r="I10" s="58"/>
    </row>
    <row r="11" spans="2:12" s="25" customFormat="1" ht="12.75" x14ac:dyDescent="0.2">
      <c r="B11" s="54" t="s">
        <v>88</v>
      </c>
      <c r="C11" s="55">
        <v>0</v>
      </c>
      <c r="D11" s="55">
        <v>0</v>
      </c>
      <c r="E11" s="56">
        <f>C11*D11</f>
        <v>0</v>
      </c>
      <c r="F11" s="58"/>
      <c r="G11" s="58"/>
      <c r="H11" s="58"/>
      <c r="I11" s="58"/>
      <c r="J11" s="58"/>
    </row>
    <row r="12" spans="2:12" x14ac:dyDescent="0.25">
      <c r="B12" s="8" t="s">
        <v>8</v>
      </c>
      <c r="C12" s="52"/>
      <c r="D12" s="52"/>
      <c r="E12" s="53">
        <f>SUM(E13:E15)</f>
        <v>600</v>
      </c>
      <c r="F12" s="48"/>
      <c r="G12" s="48"/>
      <c r="H12" s="48"/>
      <c r="I12" s="48"/>
      <c r="J12" s="59"/>
      <c r="K12" s="19"/>
    </row>
    <row r="13" spans="2:12" x14ac:dyDescent="0.25">
      <c r="B13" s="10" t="s">
        <v>82</v>
      </c>
      <c r="C13" s="60">
        <v>1</v>
      </c>
      <c r="D13" s="60">
        <v>500</v>
      </c>
      <c r="E13" s="56">
        <f>C13*D13</f>
        <v>500</v>
      </c>
      <c r="F13" s="48"/>
      <c r="G13" s="48"/>
      <c r="H13" s="48"/>
      <c r="I13" s="48"/>
      <c r="J13" s="48"/>
    </row>
    <row r="14" spans="2:12" x14ac:dyDescent="0.25">
      <c r="B14" s="10" t="s">
        <v>89</v>
      </c>
      <c r="C14" s="60">
        <v>1</v>
      </c>
      <c r="D14" s="60">
        <v>100</v>
      </c>
      <c r="E14" s="56">
        <f>C14*D14</f>
        <v>100</v>
      </c>
      <c r="F14" s="48"/>
      <c r="G14" s="48"/>
      <c r="H14" s="48"/>
      <c r="I14" s="48"/>
      <c r="J14" s="48"/>
    </row>
    <row r="15" spans="2:12" x14ac:dyDescent="0.25">
      <c r="B15" s="74" t="s">
        <v>88</v>
      </c>
      <c r="C15" s="60">
        <v>0</v>
      </c>
      <c r="D15" s="60">
        <v>0</v>
      </c>
      <c r="E15" s="56">
        <f>C15*D15</f>
        <v>0</v>
      </c>
      <c r="F15" s="48"/>
      <c r="G15" s="48"/>
      <c r="H15" s="48"/>
      <c r="I15" s="48"/>
      <c r="J15" s="48"/>
    </row>
    <row r="16" spans="2:12" x14ac:dyDescent="0.25">
      <c r="B16" s="321" t="s">
        <v>83</v>
      </c>
      <c r="C16" s="322"/>
      <c r="D16" s="323"/>
      <c r="E16" s="61">
        <f>E3+E6+E12</f>
        <v>8185</v>
      </c>
      <c r="F16" s="48"/>
      <c r="G16" s="48"/>
      <c r="H16" s="48"/>
      <c r="I16" s="48"/>
      <c r="J16" s="48"/>
      <c r="L16" s="62"/>
    </row>
    <row r="17" spans="2:14" x14ac:dyDescent="0.25">
      <c r="B17" s="19"/>
      <c r="C17" s="19"/>
      <c r="D17" s="19"/>
      <c r="E17" s="19"/>
      <c r="F17" s="48"/>
      <c r="G17" s="48"/>
      <c r="H17" s="48"/>
      <c r="I17" s="48"/>
      <c r="J17" s="48"/>
    </row>
    <row r="18" spans="2:14" x14ac:dyDescent="0.25">
      <c r="B18" s="320" t="s">
        <v>84</v>
      </c>
      <c r="C18" s="320"/>
      <c r="D18" s="320"/>
      <c r="E18" s="320"/>
      <c r="F18" s="48"/>
      <c r="G18" s="48"/>
      <c r="H18" s="48"/>
      <c r="I18" s="48"/>
      <c r="J18" s="48"/>
    </row>
    <row r="19" spans="2:14" s="63" customFormat="1" ht="25.5" x14ac:dyDescent="0.2">
      <c r="B19" s="64" t="s">
        <v>78</v>
      </c>
      <c r="C19" s="64" t="s">
        <v>5</v>
      </c>
      <c r="D19" s="64" t="s">
        <v>6</v>
      </c>
      <c r="E19" s="65" t="s">
        <v>7</v>
      </c>
      <c r="F19" s="66"/>
      <c r="G19" s="66"/>
      <c r="H19" s="66"/>
      <c r="I19" s="66"/>
      <c r="J19" s="66"/>
    </row>
    <row r="20" spans="2:14" s="63" customFormat="1" ht="12.75" x14ac:dyDescent="0.2">
      <c r="B20" s="67" t="s">
        <v>88</v>
      </c>
      <c r="C20" s="68">
        <v>0</v>
      </c>
      <c r="D20" s="69">
        <v>0</v>
      </c>
      <c r="E20" s="70">
        <f>C20*D20</f>
        <v>0</v>
      </c>
      <c r="F20" s="66"/>
      <c r="G20" s="66"/>
      <c r="H20" s="66"/>
      <c r="I20" s="66"/>
      <c r="J20" s="66"/>
    </row>
    <row r="21" spans="2:14" x14ac:dyDescent="0.25">
      <c r="B21" s="10" t="s">
        <v>88</v>
      </c>
      <c r="C21" s="2">
        <v>0</v>
      </c>
      <c r="D21" s="71">
        <v>0</v>
      </c>
      <c r="E21" s="70">
        <f>C21*D21</f>
        <v>0</v>
      </c>
      <c r="F21" s="48"/>
      <c r="G21" s="48"/>
      <c r="H21" s="48"/>
      <c r="I21" s="48"/>
      <c r="J21" s="48"/>
      <c r="K21" s="48"/>
      <c r="L21" s="48"/>
      <c r="M21" s="48"/>
      <c r="N21" s="48"/>
    </row>
    <row r="22" spans="2:14" s="25" customFormat="1" ht="12.75" x14ac:dyDescent="0.2">
      <c r="B22" s="321" t="s">
        <v>85</v>
      </c>
      <c r="C22" s="322"/>
      <c r="D22" s="323"/>
      <c r="E22" s="13">
        <f>SUM(E20:E21)</f>
        <v>0</v>
      </c>
      <c r="F22" s="58"/>
      <c r="G22" s="58"/>
      <c r="H22" s="58"/>
      <c r="I22" s="58"/>
      <c r="J22" s="58"/>
      <c r="K22" s="58"/>
      <c r="L22" s="58"/>
      <c r="M22" s="58"/>
      <c r="N22" s="58"/>
    </row>
    <row r="23" spans="2:14" x14ac:dyDescent="0.25">
      <c r="B23" s="47"/>
      <c r="C23" s="47"/>
      <c r="D23" s="47"/>
      <c r="E23" s="47"/>
      <c r="F23" s="48"/>
      <c r="G23" s="75"/>
      <c r="H23" s="48"/>
      <c r="I23" s="75"/>
      <c r="J23" s="75"/>
      <c r="K23" s="75"/>
      <c r="L23" s="75"/>
      <c r="M23" s="75"/>
      <c r="N23" s="48"/>
    </row>
    <row r="24" spans="2:14" x14ac:dyDescent="0.25">
      <c r="B24" s="325" t="s">
        <v>17</v>
      </c>
      <c r="C24" s="325"/>
      <c r="D24" s="325"/>
      <c r="E24" s="325"/>
      <c r="F24" s="48"/>
      <c r="G24" s="48"/>
      <c r="H24" s="48"/>
      <c r="I24" s="75"/>
      <c r="J24" s="75"/>
      <c r="K24" s="75"/>
      <c r="L24" s="75"/>
      <c r="M24" s="75"/>
      <c r="N24" s="48"/>
    </row>
    <row r="25" spans="2:14" s="63" customFormat="1" ht="38.25" x14ac:dyDescent="0.25">
      <c r="B25" s="21" t="s">
        <v>78</v>
      </c>
      <c r="C25" s="21" t="s">
        <v>5</v>
      </c>
      <c r="D25" s="21" t="s">
        <v>86</v>
      </c>
      <c r="E25" s="21" t="s">
        <v>80</v>
      </c>
      <c r="F25" s="66"/>
      <c r="G25" s="66"/>
      <c r="H25" s="66"/>
      <c r="I25" s="75"/>
      <c r="J25" s="75"/>
      <c r="K25" s="75"/>
      <c r="L25" s="75"/>
      <c r="M25" s="75"/>
      <c r="N25" s="66"/>
    </row>
    <row r="26" spans="2:14" x14ac:dyDescent="0.25">
      <c r="B26" s="54" t="s">
        <v>87</v>
      </c>
      <c r="C26" s="38">
        <v>2</v>
      </c>
      <c r="D26" s="55">
        <v>550</v>
      </c>
      <c r="E26" s="72">
        <f>C26*D26</f>
        <v>1100</v>
      </c>
      <c r="H26" s="48"/>
      <c r="I26" s="48"/>
      <c r="J26" s="48"/>
      <c r="K26" s="48"/>
      <c r="L26" s="48"/>
      <c r="M26" s="48"/>
      <c r="N26" s="48"/>
    </row>
    <row r="27" spans="2:14" x14ac:dyDescent="0.25">
      <c r="B27" s="54" t="s">
        <v>10</v>
      </c>
      <c r="C27" s="38">
        <v>3</v>
      </c>
      <c r="D27" s="55">
        <v>100</v>
      </c>
      <c r="E27" s="56">
        <f>C27*D27</f>
        <v>300</v>
      </c>
      <c r="H27" s="48"/>
      <c r="I27" s="48"/>
      <c r="J27" s="48"/>
      <c r="K27" s="48"/>
      <c r="L27" s="48"/>
      <c r="M27" s="48"/>
      <c r="N27" s="48"/>
    </row>
    <row r="28" spans="2:14" x14ac:dyDescent="0.25">
      <c r="B28" s="54" t="s">
        <v>90</v>
      </c>
      <c r="C28" s="38">
        <v>4</v>
      </c>
      <c r="D28" s="55">
        <v>200</v>
      </c>
      <c r="E28" s="56">
        <f>C28*D28</f>
        <v>800</v>
      </c>
      <c r="H28" s="48"/>
      <c r="I28" s="48"/>
      <c r="J28" s="48"/>
      <c r="K28" s="48"/>
      <c r="L28" s="48"/>
      <c r="M28" s="48"/>
      <c r="N28" s="48"/>
    </row>
    <row r="29" spans="2:14" x14ac:dyDescent="0.25">
      <c r="B29" s="54" t="s">
        <v>88</v>
      </c>
      <c r="C29" s="38">
        <v>0</v>
      </c>
      <c r="D29" s="55">
        <v>0</v>
      </c>
      <c r="E29" s="56">
        <f>C29*D29</f>
        <v>0</v>
      </c>
      <c r="H29" s="48"/>
      <c r="I29" s="48"/>
      <c r="J29" s="48"/>
      <c r="K29" s="48"/>
      <c r="L29" s="48"/>
      <c r="M29" s="48"/>
      <c r="N29" s="48"/>
    </row>
    <row r="30" spans="2:14" x14ac:dyDescent="0.25">
      <c r="B30" s="321" t="s">
        <v>9</v>
      </c>
      <c r="C30" s="322"/>
      <c r="D30" s="323"/>
      <c r="E30" s="61">
        <f>SUM(E26:E29)</f>
        <v>2200</v>
      </c>
      <c r="F30" s="48"/>
    </row>
    <row r="31" spans="2:14" x14ac:dyDescent="0.25">
      <c r="B31" s="47"/>
      <c r="C31" s="47"/>
      <c r="D31" s="47"/>
      <c r="E31" s="47"/>
      <c r="F31" s="48"/>
    </row>
    <row r="32" spans="2:14" x14ac:dyDescent="0.25">
      <c r="B32" s="47"/>
      <c r="C32" s="47"/>
      <c r="D32" s="47"/>
      <c r="E32" s="47"/>
      <c r="F32" s="48"/>
    </row>
    <row r="33" spans="2:6" x14ac:dyDescent="0.25">
      <c r="B33" s="47"/>
      <c r="C33" s="47"/>
      <c r="D33" s="47"/>
      <c r="E33" s="47"/>
      <c r="F33" s="48"/>
    </row>
    <row r="34" spans="2:6" x14ac:dyDescent="0.25">
      <c r="B34" s="47"/>
      <c r="C34" s="47"/>
      <c r="D34" s="47"/>
      <c r="E34" s="47"/>
      <c r="F34" s="48"/>
    </row>
    <row r="35" spans="2:6" x14ac:dyDescent="0.25">
      <c r="B35" s="47"/>
      <c r="C35" s="47"/>
      <c r="D35" s="47"/>
      <c r="E35" s="47"/>
      <c r="F35" s="48"/>
    </row>
    <row r="36" spans="2:6" x14ac:dyDescent="0.25">
      <c r="B36" s="47"/>
      <c r="C36" s="47"/>
      <c r="D36" s="47"/>
      <c r="E36" s="47"/>
      <c r="F36" s="48"/>
    </row>
    <row r="37" spans="2:6" x14ac:dyDescent="0.25">
      <c r="B37" s="47"/>
      <c r="C37" s="47"/>
      <c r="D37" s="47"/>
      <c r="E37" s="47"/>
      <c r="F37" s="48"/>
    </row>
    <row r="38" spans="2:6" x14ac:dyDescent="0.25">
      <c r="B38" s="47"/>
      <c r="C38" s="47"/>
      <c r="D38" s="47"/>
      <c r="E38" s="47"/>
      <c r="F38" s="48"/>
    </row>
    <row r="39" spans="2:6" ht="18" x14ac:dyDescent="0.25">
      <c r="B39" s="73"/>
      <c r="C39" s="73"/>
      <c r="D39" s="73"/>
      <c r="E39" s="73"/>
      <c r="F39" s="48"/>
    </row>
    <row r="40" spans="2:6" ht="18" x14ac:dyDescent="0.25">
      <c r="B40" s="73"/>
      <c r="C40" s="73"/>
      <c r="D40" s="73"/>
      <c r="E40" s="73"/>
      <c r="F40" s="48"/>
    </row>
    <row r="41" spans="2:6" ht="18" x14ac:dyDescent="0.25">
      <c r="B41" s="73"/>
      <c r="C41" s="73"/>
      <c r="D41" s="73"/>
      <c r="E41" s="73"/>
      <c r="F41" s="48"/>
    </row>
    <row r="42" spans="2:6" ht="18" x14ac:dyDescent="0.25">
      <c r="B42" s="73"/>
      <c r="C42" s="73"/>
      <c r="D42" s="73"/>
      <c r="E42" s="73"/>
      <c r="F42" s="48"/>
    </row>
    <row r="43" spans="2:6" ht="18" x14ac:dyDescent="0.25">
      <c r="B43" s="73"/>
      <c r="C43" s="73"/>
      <c r="D43" s="73"/>
      <c r="E43" s="73"/>
      <c r="F43" s="48"/>
    </row>
    <row r="44" spans="2:6" x14ac:dyDescent="0.25">
      <c r="B44" s="48"/>
      <c r="C44" s="48"/>
      <c r="D44" s="48"/>
      <c r="E44" s="48"/>
      <c r="F44" s="48"/>
    </row>
  </sheetData>
  <mergeCells count="6">
    <mergeCell ref="B22:D22"/>
    <mergeCell ref="B24:E24"/>
    <mergeCell ref="B30:D30"/>
    <mergeCell ref="B1:E1"/>
    <mergeCell ref="B16:D16"/>
    <mergeCell ref="B18:E18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25"/>
  <sheetViews>
    <sheetView showGridLines="0" workbookViewId="0">
      <selection activeCell="D10" sqref="D10"/>
    </sheetView>
  </sheetViews>
  <sheetFormatPr baseColWidth="10" defaultRowHeight="15" x14ac:dyDescent="0.25"/>
  <cols>
    <col min="1" max="1" width="2.5703125" style="18" customWidth="1"/>
    <col min="2" max="2" width="47.85546875" style="18" customWidth="1"/>
    <col min="3" max="3" width="11.42578125" style="18"/>
    <col min="4" max="4" width="5.28515625" style="18" customWidth="1"/>
    <col min="5" max="256" width="11.42578125" style="18"/>
    <col min="257" max="257" width="2.5703125" style="18" customWidth="1"/>
    <col min="258" max="258" width="47.85546875" style="18" customWidth="1"/>
    <col min="259" max="259" width="11.42578125" style="18"/>
    <col min="260" max="260" width="5.28515625" style="18" customWidth="1"/>
    <col min="261" max="512" width="11.42578125" style="18"/>
    <col min="513" max="513" width="2.5703125" style="18" customWidth="1"/>
    <col min="514" max="514" width="47.85546875" style="18" customWidth="1"/>
    <col min="515" max="515" width="11.42578125" style="18"/>
    <col min="516" max="516" width="5.28515625" style="18" customWidth="1"/>
    <col min="517" max="768" width="11.42578125" style="18"/>
    <col min="769" max="769" width="2.5703125" style="18" customWidth="1"/>
    <col min="770" max="770" width="47.85546875" style="18" customWidth="1"/>
    <col min="771" max="771" width="11.42578125" style="18"/>
    <col min="772" max="772" width="5.28515625" style="18" customWidth="1"/>
    <col min="773" max="1024" width="11.42578125" style="18"/>
    <col min="1025" max="1025" width="2.5703125" style="18" customWidth="1"/>
    <col min="1026" max="1026" width="47.85546875" style="18" customWidth="1"/>
    <col min="1027" max="1027" width="11.42578125" style="18"/>
    <col min="1028" max="1028" width="5.28515625" style="18" customWidth="1"/>
    <col min="1029" max="1280" width="11.42578125" style="18"/>
    <col min="1281" max="1281" width="2.5703125" style="18" customWidth="1"/>
    <col min="1282" max="1282" width="47.85546875" style="18" customWidth="1"/>
    <col min="1283" max="1283" width="11.42578125" style="18"/>
    <col min="1284" max="1284" width="5.28515625" style="18" customWidth="1"/>
    <col min="1285" max="1536" width="11.42578125" style="18"/>
    <col min="1537" max="1537" width="2.5703125" style="18" customWidth="1"/>
    <col min="1538" max="1538" width="47.85546875" style="18" customWidth="1"/>
    <col min="1539" max="1539" width="11.42578125" style="18"/>
    <col min="1540" max="1540" width="5.28515625" style="18" customWidth="1"/>
    <col min="1541" max="1792" width="11.42578125" style="18"/>
    <col min="1793" max="1793" width="2.5703125" style="18" customWidth="1"/>
    <col min="1794" max="1794" width="47.85546875" style="18" customWidth="1"/>
    <col min="1795" max="1795" width="11.42578125" style="18"/>
    <col min="1796" max="1796" width="5.28515625" style="18" customWidth="1"/>
    <col min="1797" max="2048" width="11.42578125" style="18"/>
    <col min="2049" max="2049" width="2.5703125" style="18" customWidth="1"/>
    <col min="2050" max="2050" width="47.85546875" style="18" customWidth="1"/>
    <col min="2051" max="2051" width="11.42578125" style="18"/>
    <col min="2052" max="2052" width="5.28515625" style="18" customWidth="1"/>
    <col min="2053" max="2304" width="11.42578125" style="18"/>
    <col min="2305" max="2305" width="2.5703125" style="18" customWidth="1"/>
    <col min="2306" max="2306" width="47.85546875" style="18" customWidth="1"/>
    <col min="2307" max="2307" width="11.42578125" style="18"/>
    <col min="2308" max="2308" width="5.28515625" style="18" customWidth="1"/>
    <col min="2309" max="2560" width="11.42578125" style="18"/>
    <col min="2561" max="2561" width="2.5703125" style="18" customWidth="1"/>
    <col min="2562" max="2562" width="47.85546875" style="18" customWidth="1"/>
    <col min="2563" max="2563" width="11.42578125" style="18"/>
    <col min="2564" max="2564" width="5.28515625" style="18" customWidth="1"/>
    <col min="2565" max="2816" width="11.42578125" style="18"/>
    <col min="2817" max="2817" width="2.5703125" style="18" customWidth="1"/>
    <col min="2818" max="2818" width="47.85546875" style="18" customWidth="1"/>
    <col min="2819" max="2819" width="11.42578125" style="18"/>
    <col min="2820" max="2820" width="5.28515625" style="18" customWidth="1"/>
    <col min="2821" max="3072" width="11.42578125" style="18"/>
    <col min="3073" max="3073" width="2.5703125" style="18" customWidth="1"/>
    <col min="3074" max="3074" width="47.85546875" style="18" customWidth="1"/>
    <col min="3075" max="3075" width="11.42578125" style="18"/>
    <col min="3076" max="3076" width="5.28515625" style="18" customWidth="1"/>
    <col min="3077" max="3328" width="11.42578125" style="18"/>
    <col min="3329" max="3329" width="2.5703125" style="18" customWidth="1"/>
    <col min="3330" max="3330" width="47.85546875" style="18" customWidth="1"/>
    <col min="3331" max="3331" width="11.42578125" style="18"/>
    <col min="3332" max="3332" width="5.28515625" style="18" customWidth="1"/>
    <col min="3333" max="3584" width="11.42578125" style="18"/>
    <col min="3585" max="3585" width="2.5703125" style="18" customWidth="1"/>
    <col min="3586" max="3586" width="47.85546875" style="18" customWidth="1"/>
    <col min="3587" max="3587" width="11.42578125" style="18"/>
    <col min="3588" max="3588" width="5.28515625" style="18" customWidth="1"/>
    <col min="3589" max="3840" width="11.42578125" style="18"/>
    <col min="3841" max="3841" width="2.5703125" style="18" customWidth="1"/>
    <col min="3842" max="3842" width="47.85546875" style="18" customWidth="1"/>
    <col min="3843" max="3843" width="11.42578125" style="18"/>
    <col min="3844" max="3844" width="5.28515625" style="18" customWidth="1"/>
    <col min="3845" max="4096" width="11.42578125" style="18"/>
    <col min="4097" max="4097" width="2.5703125" style="18" customWidth="1"/>
    <col min="4098" max="4098" width="47.85546875" style="18" customWidth="1"/>
    <col min="4099" max="4099" width="11.42578125" style="18"/>
    <col min="4100" max="4100" width="5.28515625" style="18" customWidth="1"/>
    <col min="4101" max="4352" width="11.42578125" style="18"/>
    <col min="4353" max="4353" width="2.5703125" style="18" customWidth="1"/>
    <col min="4354" max="4354" width="47.85546875" style="18" customWidth="1"/>
    <col min="4355" max="4355" width="11.42578125" style="18"/>
    <col min="4356" max="4356" width="5.28515625" style="18" customWidth="1"/>
    <col min="4357" max="4608" width="11.42578125" style="18"/>
    <col min="4609" max="4609" width="2.5703125" style="18" customWidth="1"/>
    <col min="4610" max="4610" width="47.85546875" style="18" customWidth="1"/>
    <col min="4611" max="4611" width="11.42578125" style="18"/>
    <col min="4612" max="4612" width="5.28515625" style="18" customWidth="1"/>
    <col min="4613" max="4864" width="11.42578125" style="18"/>
    <col min="4865" max="4865" width="2.5703125" style="18" customWidth="1"/>
    <col min="4866" max="4866" width="47.85546875" style="18" customWidth="1"/>
    <col min="4867" max="4867" width="11.42578125" style="18"/>
    <col min="4868" max="4868" width="5.28515625" style="18" customWidth="1"/>
    <col min="4869" max="5120" width="11.42578125" style="18"/>
    <col min="5121" max="5121" width="2.5703125" style="18" customWidth="1"/>
    <col min="5122" max="5122" width="47.85546875" style="18" customWidth="1"/>
    <col min="5123" max="5123" width="11.42578125" style="18"/>
    <col min="5124" max="5124" width="5.28515625" style="18" customWidth="1"/>
    <col min="5125" max="5376" width="11.42578125" style="18"/>
    <col min="5377" max="5377" width="2.5703125" style="18" customWidth="1"/>
    <col min="5378" max="5378" width="47.85546875" style="18" customWidth="1"/>
    <col min="5379" max="5379" width="11.42578125" style="18"/>
    <col min="5380" max="5380" width="5.28515625" style="18" customWidth="1"/>
    <col min="5381" max="5632" width="11.42578125" style="18"/>
    <col min="5633" max="5633" width="2.5703125" style="18" customWidth="1"/>
    <col min="5634" max="5634" width="47.85546875" style="18" customWidth="1"/>
    <col min="5635" max="5635" width="11.42578125" style="18"/>
    <col min="5636" max="5636" width="5.28515625" style="18" customWidth="1"/>
    <col min="5637" max="5888" width="11.42578125" style="18"/>
    <col min="5889" max="5889" width="2.5703125" style="18" customWidth="1"/>
    <col min="5890" max="5890" width="47.85546875" style="18" customWidth="1"/>
    <col min="5891" max="5891" width="11.42578125" style="18"/>
    <col min="5892" max="5892" width="5.28515625" style="18" customWidth="1"/>
    <col min="5893" max="6144" width="11.42578125" style="18"/>
    <col min="6145" max="6145" width="2.5703125" style="18" customWidth="1"/>
    <col min="6146" max="6146" width="47.85546875" style="18" customWidth="1"/>
    <col min="6147" max="6147" width="11.42578125" style="18"/>
    <col min="6148" max="6148" width="5.28515625" style="18" customWidth="1"/>
    <col min="6149" max="6400" width="11.42578125" style="18"/>
    <col min="6401" max="6401" width="2.5703125" style="18" customWidth="1"/>
    <col min="6402" max="6402" width="47.85546875" style="18" customWidth="1"/>
    <col min="6403" max="6403" width="11.42578125" style="18"/>
    <col min="6404" max="6404" width="5.28515625" style="18" customWidth="1"/>
    <col min="6405" max="6656" width="11.42578125" style="18"/>
    <col min="6657" max="6657" width="2.5703125" style="18" customWidth="1"/>
    <col min="6658" max="6658" width="47.85546875" style="18" customWidth="1"/>
    <col min="6659" max="6659" width="11.42578125" style="18"/>
    <col min="6660" max="6660" width="5.28515625" style="18" customWidth="1"/>
    <col min="6661" max="6912" width="11.42578125" style="18"/>
    <col min="6913" max="6913" width="2.5703125" style="18" customWidth="1"/>
    <col min="6914" max="6914" width="47.85546875" style="18" customWidth="1"/>
    <col min="6915" max="6915" width="11.42578125" style="18"/>
    <col min="6916" max="6916" width="5.28515625" style="18" customWidth="1"/>
    <col min="6917" max="7168" width="11.42578125" style="18"/>
    <col min="7169" max="7169" width="2.5703125" style="18" customWidth="1"/>
    <col min="7170" max="7170" width="47.85546875" style="18" customWidth="1"/>
    <col min="7171" max="7171" width="11.42578125" style="18"/>
    <col min="7172" max="7172" width="5.28515625" style="18" customWidth="1"/>
    <col min="7173" max="7424" width="11.42578125" style="18"/>
    <col min="7425" max="7425" width="2.5703125" style="18" customWidth="1"/>
    <col min="7426" max="7426" width="47.85546875" style="18" customWidth="1"/>
    <col min="7427" max="7427" width="11.42578125" style="18"/>
    <col min="7428" max="7428" width="5.28515625" style="18" customWidth="1"/>
    <col min="7429" max="7680" width="11.42578125" style="18"/>
    <col min="7681" max="7681" width="2.5703125" style="18" customWidth="1"/>
    <col min="7682" max="7682" width="47.85546875" style="18" customWidth="1"/>
    <col min="7683" max="7683" width="11.42578125" style="18"/>
    <col min="7684" max="7684" width="5.28515625" style="18" customWidth="1"/>
    <col min="7685" max="7936" width="11.42578125" style="18"/>
    <col min="7937" max="7937" width="2.5703125" style="18" customWidth="1"/>
    <col min="7938" max="7938" width="47.85546875" style="18" customWidth="1"/>
    <col min="7939" max="7939" width="11.42578125" style="18"/>
    <col min="7940" max="7940" width="5.28515625" style="18" customWidth="1"/>
    <col min="7941" max="8192" width="11.42578125" style="18"/>
    <col min="8193" max="8193" width="2.5703125" style="18" customWidth="1"/>
    <col min="8194" max="8194" width="47.85546875" style="18" customWidth="1"/>
    <col min="8195" max="8195" width="11.42578125" style="18"/>
    <col min="8196" max="8196" width="5.28515625" style="18" customWidth="1"/>
    <col min="8197" max="8448" width="11.42578125" style="18"/>
    <col min="8449" max="8449" width="2.5703125" style="18" customWidth="1"/>
    <col min="8450" max="8450" width="47.85546875" style="18" customWidth="1"/>
    <col min="8451" max="8451" width="11.42578125" style="18"/>
    <col min="8452" max="8452" width="5.28515625" style="18" customWidth="1"/>
    <col min="8453" max="8704" width="11.42578125" style="18"/>
    <col min="8705" max="8705" width="2.5703125" style="18" customWidth="1"/>
    <col min="8706" max="8706" width="47.85546875" style="18" customWidth="1"/>
    <col min="8707" max="8707" width="11.42578125" style="18"/>
    <col min="8708" max="8708" width="5.28515625" style="18" customWidth="1"/>
    <col min="8709" max="8960" width="11.42578125" style="18"/>
    <col min="8961" max="8961" width="2.5703125" style="18" customWidth="1"/>
    <col min="8962" max="8962" width="47.85546875" style="18" customWidth="1"/>
    <col min="8963" max="8963" width="11.42578125" style="18"/>
    <col min="8964" max="8964" width="5.28515625" style="18" customWidth="1"/>
    <col min="8965" max="9216" width="11.42578125" style="18"/>
    <col min="9217" max="9217" width="2.5703125" style="18" customWidth="1"/>
    <col min="9218" max="9218" width="47.85546875" style="18" customWidth="1"/>
    <col min="9219" max="9219" width="11.42578125" style="18"/>
    <col min="9220" max="9220" width="5.28515625" style="18" customWidth="1"/>
    <col min="9221" max="9472" width="11.42578125" style="18"/>
    <col min="9473" max="9473" width="2.5703125" style="18" customWidth="1"/>
    <col min="9474" max="9474" width="47.85546875" style="18" customWidth="1"/>
    <col min="9475" max="9475" width="11.42578125" style="18"/>
    <col min="9476" max="9476" width="5.28515625" style="18" customWidth="1"/>
    <col min="9477" max="9728" width="11.42578125" style="18"/>
    <col min="9729" max="9729" width="2.5703125" style="18" customWidth="1"/>
    <col min="9730" max="9730" width="47.85546875" style="18" customWidth="1"/>
    <col min="9731" max="9731" width="11.42578125" style="18"/>
    <col min="9732" max="9732" width="5.28515625" style="18" customWidth="1"/>
    <col min="9733" max="9984" width="11.42578125" style="18"/>
    <col min="9985" max="9985" width="2.5703125" style="18" customWidth="1"/>
    <col min="9986" max="9986" width="47.85546875" style="18" customWidth="1"/>
    <col min="9987" max="9987" width="11.42578125" style="18"/>
    <col min="9988" max="9988" width="5.28515625" style="18" customWidth="1"/>
    <col min="9989" max="10240" width="11.42578125" style="18"/>
    <col min="10241" max="10241" width="2.5703125" style="18" customWidth="1"/>
    <col min="10242" max="10242" width="47.85546875" style="18" customWidth="1"/>
    <col min="10243" max="10243" width="11.42578125" style="18"/>
    <col min="10244" max="10244" width="5.28515625" style="18" customWidth="1"/>
    <col min="10245" max="10496" width="11.42578125" style="18"/>
    <col min="10497" max="10497" width="2.5703125" style="18" customWidth="1"/>
    <col min="10498" max="10498" width="47.85546875" style="18" customWidth="1"/>
    <col min="10499" max="10499" width="11.42578125" style="18"/>
    <col min="10500" max="10500" width="5.28515625" style="18" customWidth="1"/>
    <col min="10501" max="10752" width="11.42578125" style="18"/>
    <col min="10753" max="10753" width="2.5703125" style="18" customWidth="1"/>
    <col min="10754" max="10754" width="47.85546875" style="18" customWidth="1"/>
    <col min="10755" max="10755" width="11.42578125" style="18"/>
    <col min="10756" max="10756" width="5.28515625" style="18" customWidth="1"/>
    <col min="10757" max="11008" width="11.42578125" style="18"/>
    <col min="11009" max="11009" width="2.5703125" style="18" customWidth="1"/>
    <col min="11010" max="11010" width="47.85546875" style="18" customWidth="1"/>
    <col min="11011" max="11011" width="11.42578125" style="18"/>
    <col min="11012" max="11012" width="5.28515625" style="18" customWidth="1"/>
    <col min="11013" max="11264" width="11.42578125" style="18"/>
    <col min="11265" max="11265" width="2.5703125" style="18" customWidth="1"/>
    <col min="11266" max="11266" width="47.85546875" style="18" customWidth="1"/>
    <col min="11267" max="11267" width="11.42578125" style="18"/>
    <col min="11268" max="11268" width="5.28515625" style="18" customWidth="1"/>
    <col min="11269" max="11520" width="11.42578125" style="18"/>
    <col min="11521" max="11521" width="2.5703125" style="18" customWidth="1"/>
    <col min="11522" max="11522" width="47.85546875" style="18" customWidth="1"/>
    <col min="11523" max="11523" width="11.42578125" style="18"/>
    <col min="11524" max="11524" width="5.28515625" style="18" customWidth="1"/>
    <col min="11525" max="11776" width="11.42578125" style="18"/>
    <col min="11777" max="11777" width="2.5703125" style="18" customWidth="1"/>
    <col min="11778" max="11778" width="47.85546875" style="18" customWidth="1"/>
    <col min="11779" max="11779" width="11.42578125" style="18"/>
    <col min="11780" max="11780" width="5.28515625" style="18" customWidth="1"/>
    <col min="11781" max="12032" width="11.42578125" style="18"/>
    <col min="12033" max="12033" width="2.5703125" style="18" customWidth="1"/>
    <col min="12034" max="12034" width="47.85546875" style="18" customWidth="1"/>
    <col min="12035" max="12035" width="11.42578125" style="18"/>
    <col min="12036" max="12036" width="5.28515625" style="18" customWidth="1"/>
    <col min="12037" max="12288" width="11.42578125" style="18"/>
    <col min="12289" max="12289" width="2.5703125" style="18" customWidth="1"/>
    <col min="12290" max="12290" width="47.85546875" style="18" customWidth="1"/>
    <col min="12291" max="12291" width="11.42578125" style="18"/>
    <col min="12292" max="12292" width="5.28515625" style="18" customWidth="1"/>
    <col min="12293" max="12544" width="11.42578125" style="18"/>
    <col min="12545" max="12545" width="2.5703125" style="18" customWidth="1"/>
    <col min="12546" max="12546" width="47.85546875" style="18" customWidth="1"/>
    <col min="12547" max="12547" width="11.42578125" style="18"/>
    <col min="12548" max="12548" width="5.28515625" style="18" customWidth="1"/>
    <col min="12549" max="12800" width="11.42578125" style="18"/>
    <col min="12801" max="12801" width="2.5703125" style="18" customWidth="1"/>
    <col min="12802" max="12802" width="47.85546875" style="18" customWidth="1"/>
    <col min="12803" max="12803" width="11.42578125" style="18"/>
    <col min="12804" max="12804" width="5.28515625" style="18" customWidth="1"/>
    <col min="12805" max="13056" width="11.42578125" style="18"/>
    <col min="13057" max="13057" width="2.5703125" style="18" customWidth="1"/>
    <col min="13058" max="13058" width="47.85546875" style="18" customWidth="1"/>
    <col min="13059" max="13059" width="11.42578125" style="18"/>
    <col min="13060" max="13060" width="5.28515625" style="18" customWidth="1"/>
    <col min="13061" max="13312" width="11.42578125" style="18"/>
    <col min="13313" max="13313" width="2.5703125" style="18" customWidth="1"/>
    <col min="13314" max="13314" width="47.85546875" style="18" customWidth="1"/>
    <col min="13315" max="13315" width="11.42578125" style="18"/>
    <col min="13316" max="13316" width="5.28515625" style="18" customWidth="1"/>
    <col min="13317" max="13568" width="11.42578125" style="18"/>
    <col min="13569" max="13569" width="2.5703125" style="18" customWidth="1"/>
    <col min="13570" max="13570" width="47.85546875" style="18" customWidth="1"/>
    <col min="13571" max="13571" width="11.42578125" style="18"/>
    <col min="13572" max="13572" width="5.28515625" style="18" customWidth="1"/>
    <col min="13573" max="13824" width="11.42578125" style="18"/>
    <col min="13825" max="13825" width="2.5703125" style="18" customWidth="1"/>
    <col min="13826" max="13826" width="47.85546875" style="18" customWidth="1"/>
    <col min="13827" max="13827" width="11.42578125" style="18"/>
    <col min="13828" max="13828" width="5.28515625" style="18" customWidth="1"/>
    <col min="13829" max="14080" width="11.42578125" style="18"/>
    <col min="14081" max="14081" width="2.5703125" style="18" customWidth="1"/>
    <col min="14082" max="14082" width="47.85546875" style="18" customWidth="1"/>
    <col min="14083" max="14083" width="11.42578125" style="18"/>
    <col min="14084" max="14084" width="5.28515625" style="18" customWidth="1"/>
    <col min="14085" max="14336" width="11.42578125" style="18"/>
    <col min="14337" max="14337" width="2.5703125" style="18" customWidth="1"/>
    <col min="14338" max="14338" width="47.85546875" style="18" customWidth="1"/>
    <col min="14339" max="14339" width="11.42578125" style="18"/>
    <col min="14340" max="14340" width="5.28515625" style="18" customWidth="1"/>
    <col min="14341" max="14592" width="11.42578125" style="18"/>
    <col min="14593" max="14593" width="2.5703125" style="18" customWidth="1"/>
    <col min="14594" max="14594" width="47.85546875" style="18" customWidth="1"/>
    <col min="14595" max="14595" width="11.42578125" style="18"/>
    <col min="14596" max="14596" width="5.28515625" style="18" customWidth="1"/>
    <col min="14597" max="14848" width="11.42578125" style="18"/>
    <col min="14849" max="14849" width="2.5703125" style="18" customWidth="1"/>
    <col min="14850" max="14850" width="47.85546875" style="18" customWidth="1"/>
    <col min="14851" max="14851" width="11.42578125" style="18"/>
    <col min="14852" max="14852" width="5.28515625" style="18" customWidth="1"/>
    <col min="14853" max="15104" width="11.42578125" style="18"/>
    <col min="15105" max="15105" width="2.5703125" style="18" customWidth="1"/>
    <col min="15106" max="15106" width="47.85546875" style="18" customWidth="1"/>
    <col min="15107" max="15107" width="11.42578125" style="18"/>
    <col min="15108" max="15108" width="5.28515625" style="18" customWidth="1"/>
    <col min="15109" max="15360" width="11.42578125" style="18"/>
    <col min="15361" max="15361" width="2.5703125" style="18" customWidth="1"/>
    <col min="15362" max="15362" width="47.85546875" style="18" customWidth="1"/>
    <col min="15363" max="15363" width="11.42578125" style="18"/>
    <col min="15364" max="15364" width="5.28515625" style="18" customWidth="1"/>
    <col min="15365" max="15616" width="11.42578125" style="18"/>
    <col min="15617" max="15617" width="2.5703125" style="18" customWidth="1"/>
    <col min="15618" max="15618" width="47.85546875" style="18" customWidth="1"/>
    <col min="15619" max="15619" width="11.42578125" style="18"/>
    <col min="15620" max="15620" width="5.28515625" style="18" customWidth="1"/>
    <col min="15621" max="15872" width="11.42578125" style="18"/>
    <col min="15873" max="15873" width="2.5703125" style="18" customWidth="1"/>
    <col min="15874" max="15874" width="47.85546875" style="18" customWidth="1"/>
    <col min="15875" max="15875" width="11.42578125" style="18"/>
    <col min="15876" max="15876" width="5.28515625" style="18" customWidth="1"/>
    <col min="15877" max="16128" width="11.42578125" style="18"/>
    <col min="16129" max="16129" width="2.5703125" style="18" customWidth="1"/>
    <col min="16130" max="16130" width="47.85546875" style="18" customWidth="1"/>
    <col min="16131" max="16131" width="11.42578125" style="18"/>
    <col min="16132" max="16132" width="5.28515625" style="18" customWidth="1"/>
    <col min="16133" max="16384" width="11.42578125" style="18"/>
  </cols>
  <sheetData>
    <row r="2" spans="2:15" x14ac:dyDescent="0.25">
      <c r="B2" s="325" t="s">
        <v>18</v>
      </c>
      <c r="C2" s="325"/>
    </row>
    <row r="3" spans="2:15" s="25" customFormat="1" ht="12.75" x14ac:dyDescent="0.2">
      <c r="B3" s="76" t="s">
        <v>4</v>
      </c>
      <c r="C3" s="76" t="s">
        <v>7</v>
      </c>
      <c r="D3" s="58"/>
      <c r="E3" s="58"/>
      <c r="F3" s="58"/>
      <c r="G3" s="58"/>
      <c r="I3" s="28"/>
      <c r="J3" s="28"/>
      <c r="K3" s="28"/>
      <c r="L3" s="28"/>
      <c r="M3" s="28"/>
      <c r="N3" s="28"/>
      <c r="O3" s="33"/>
    </row>
    <row r="4" spans="2:15" x14ac:dyDescent="0.25">
      <c r="B4" s="54" t="s">
        <v>88</v>
      </c>
      <c r="C4" s="77">
        <v>0</v>
      </c>
      <c r="D4" s="48"/>
      <c r="E4" s="48"/>
      <c r="F4" s="48"/>
      <c r="G4" s="48"/>
      <c r="I4" s="44"/>
      <c r="J4" s="32"/>
      <c r="K4" s="32"/>
      <c r="L4" s="43"/>
      <c r="M4" s="43"/>
      <c r="N4" s="43"/>
      <c r="O4" s="78"/>
    </row>
    <row r="5" spans="2:15" x14ac:dyDescent="0.25">
      <c r="B5" s="54" t="s">
        <v>88</v>
      </c>
      <c r="C5" s="77">
        <v>0</v>
      </c>
      <c r="D5" s="48"/>
      <c r="E5" s="48"/>
      <c r="F5" s="48"/>
      <c r="G5" s="48"/>
      <c r="I5" s="44"/>
      <c r="J5" s="32"/>
      <c r="K5" s="32"/>
      <c r="L5" s="43"/>
      <c r="M5" s="43"/>
      <c r="N5" s="43"/>
      <c r="O5" s="78"/>
    </row>
    <row r="6" spans="2:15" x14ac:dyDescent="0.25">
      <c r="B6" s="67" t="s">
        <v>88</v>
      </c>
      <c r="C6" s="79">
        <v>0</v>
      </c>
      <c r="D6" s="48"/>
      <c r="E6" s="48"/>
      <c r="F6" s="48"/>
      <c r="G6" s="48"/>
      <c r="I6" s="44"/>
      <c r="J6" s="32"/>
      <c r="K6" s="32"/>
      <c r="L6" s="43"/>
      <c r="M6" s="43"/>
      <c r="N6" s="43"/>
      <c r="O6" s="78"/>
    </row>
    <row r="7" spans="2:15" x14ac:dyDescent="0.25">
      <c r="B7" s="10" t="s">
        <v>91</v>
      </c>
      <c r="C7" s="71">
        <v>250</v>
      </c>
      <c r="D7" s="48"/>
      <c r="E7" s="48"/>
      <c r="F7" s="48"/>
      <c r="G7" s="48"/>
      <c r="I7" s="44"/>
      <c r="J7" s="32"/>
      <c r="K7" s="32"/>
      <c r="L7" s="43"/>
      <c r="M7" s="43"/>
      <c r="N7" s="43"/>
      <c r="O7" s="78"/>
    </row>
    <row r="8" spans="2:15" x14ac:dyDescent="0.25">
      <c r="B8" s="80" t="s">
        <v>12</v>
      </c>
      <c r="C8" s="3">
        <v>20</v>
      </c>
      <c r="D8" s="48"/>
      <c r="E8" s="48"/>
      <c r="F8" s="48"/>
      <c r="G8" s="48"/>
      <c r="I8" s="44"/>
      <c r="J8" s="32"/>
      <c r="K8" s="32"/>
      <c r="L8" s="43"/>
      <c r="M8" s="43"/>
      <c r="N8" s="43"/>
      <c r="O8" s="78"/>
    </row>
    <row r="9" spans="2:15" x14ac:dyDescent="0.25">
      <c r="B9" s="80" t="s">
        <v>13</v>
      </c>
      <c r="C9" s="3">
        <v>200</v>
      </c>
      <c r="D9" s="48"/>
      <c r="E9" s="48"/>
      <c r="F9" s="48"/>
      <c r="G9" s="48"/>
      <c r="I9" s="81"/>
      <c r="J9" s="32"/>
      <c r="K9" s="32"/>
      <c r="L9" s="43"/>
      <c r="M9" s="43"/>
      <c r="N9" s="43"/>
      <c r="O9" s="78"/>
    </row>
    <row r="10" spans="2:15" x14ac:dyDescent="0.25">
      <c r="B10" s="80" t="s">
        <v>14</v>
      </c>
      <c r="C10" s="3">
        <v>30</v>
      </c>
      <c r="D10" s="48"/>
      <c r="E10" s="48"/>
      <c r="F10" s="48"/>
      <c r="G10" s="48"/>
      <c r="I10" s="44"/>
      <c r="J10" s="32"/>
      <c r="K10" s="32"/>
      <c r="L10" s="43"/>
      <c r="M10" s="43"/>
      <c r="N10" s="43"/>
      <c r="O10" s="78"/>
    </row>
    <row r="11" spans="2:15" x14ac:dyDescent="0.25">
      <c r="B11" s="80" t="s">
        <v>88</v>
      </c>
      <c r="C11" s="3">
        <v>0</v>
      </c>
      <c r="D11" s="48"/>
      <c r="E11" s="48"/>
      <c r="F11" s="48"/>
      <c r="G11" s="48"/>
      <c r="I11" s="44"/>
      <c r="J11" s="32"/>
      <c r="K11" s="32"/>
      <c r="L11" s="43"/>
      <c r="M11" s="43"/>
      <c r="N11" s="43"/>
      <c r="O11" s="78"/>
    </row>
    <row r="12" spans="2:15" x14ac:dyDescent="0.25">
      <c r="B12" s="80" t="s">
        <v>88</v>
      </c>
      <c r="C12" s="3">
        <v>0</v>
      </c>
      <c r="D12" s="48"/>
      <c r="E12" s="48"/>
      <c r="F12" s="48"/>
      <c r="G12" s="48"/>
      <c r="I12" s="44"/>
      <c r="J12" s="32"/>
      <c r="K12" s="32"/>
      <c r="L12" s="43"/>
      <c r="M12" s="43"/>
      <c r="N12" s="43"/>
      <c r="O12" s="78"/>
    </row>
    <row r="13" spans="2:15" x14ac:dyDescent="0.25">
      <c r="B13" s="82" t="s">
        <v>92</v>
      </c>
      <c r="C13" s="13">
        <f>SUM(C4:C12)</f>
        <v>500</v>
      </c>
      <c r="D13" s="48"/>
      <c r="E13" s="48"/>
      <c r="F13" s="48"/>
      <c r="G13" s="48"/>
    </row>
    <row r="14" spans="2:15" x14ac:dyDescent="0.25">
      <c r="B14" s="324"/>
      <c r="C14" s="324"/>
      <c r="D14" s="48"/>
      <c r="E14" s="48"/>
      <c r="F14" s="48"/>
      <c r="G14" s="48"/>
    </row>
    <row r="15" spans="2:15" x14ac:dyDescent="0.25">
      <c r="B15" s="326"/>
      <c r="C15" s="326"/>
      <c r="D15" s="48"/>
      <c r="E15" s="48"/>
      <c r="F15" s="48"/>
      <c r="G15" s="48"/>
    </row>
    <row r="16" spans="2:15" x14ac:dyDescent="0.25">
      <c r="B16" s="47"/>
      <c r="C16" s="47"/>
      <c r="D16" s="48"/>
      <c r="E16" s="48"/>
      <c r="F16" s="48"/>
      <c r="G16" s="48"/>
    </row>
    <row r="17" spans="2:7" x14ac:dyDescent="0.25">
      <c r="B17" s="47"/>
      <c r="C17" s="47"/>
      <c r="D17" s="48"/>
      <c r="E17" s="48"/>
      <c r="F17" s="48"/>
      <c r="G17" s="48"/>
    </row>
    <row r="18" spans="2:7" x14ac:dyDescent="0.25">
      <c r="B18" s="47"/>
      <c r="C18" s="47"/>
      <c r="D18" s="48"/>
      <c r="E18" s="48"/>
      <c r="F18" s="48"/>
      <c r="G18" s="48"/>
    </row>
    <row r="19" spans="2:7" x14ac:dyDescent="0.25">
      <c r="B19" s="47"/>
      <c r="C19" s="47"/>
      <c r="D19" s="48"/>
      <c r="E19" s="48"/>
      <c r="F19" s="48"/>
      <c r="G19" s="48"/>
    </row>
    <row r="20" spans="2:7" x14ac:dyDescent="0.25">
      <c r="B20" s="47"/>
      <c r="C20" s="47"/>
      <c r="D20" s="48"/>
      <c r="E20" s="48"/>
      <c r="F20" s="48"/>
      <c r="G20" s="48"/>
    </row>
    <row r="21" spans="2:7" x14ac:dyDescent="0.25">
      <c r="B21" s="47"/>
      <c r="C21" s="47"/>
      <c r="D21" s="48"/>
      <c r="E21" s="48"/>
      <c r="F21" s="48"/>
      <c r="G21" s="48"/>
    </row>
    <row r="22" spans="2:7" x14ac:dyDescent="0.25">
      <c r="B22" s="47"/>
      <c r="C22" s="47"/>
      <c r="D22" s="48"/>
      <c r="E22" s="48"/>
      <c r="F22" s="48"/>
      <c r="G22" s="48"/>
    </row>
    <row r="23" spans="2:7" x14ac:dyDescent="0.25">
      <c r="B23" s="47"/>
      <c r="C23" s="47"/>
      <c r="D23" s="48"/>
      <c r="E23" s="48"/>
      <c r="F23" s="48"/>
      <c r="G23" s="48"/>
    </row>
    <row r="24" spans="2:7" x14ac:dyDescent="0.25">
      <c r="B24" s="47"/>
      <c r="C24" s="47"/>
      <c r="D24" s="48"/>
      <c r="E24" s="48"/>
      <c r="F24" s="48"/>
      <c r="G24" s="48"/>
    </row>
    <row r="25" spans="2:7" x14ac:dyDescent="0.25">
      <c r="B25" s="48"/>
      <c r="C25" s="48"/>
      <c r="D25" s="48"/>
      <c r="E25" s="48"/>
      <c r="F25" s="48"/>
      <c r="G25" s="48"/>
    </row>
  </sheetData>
  <mergeCells count="2">
    <mergeCell ref="B2:C2"/>
    <mergeCell ref="B14:C15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28"/>
  <sheetViews>
    <sheetView showGridLines="0" workbookViewId="0">
      <selection activeCell="I4" sqref="I4"/>
    </sheetView>
  </sheetViews>
  <sheetFormatPr baseColWidth="10" defaultRowHeight="15" x14ac:dyDescent="0.25"/>
  <cols>
    <col min="1" max="1" width="4.28515625" style="18" customWidth="1"/>
    <col min="2" max="2" width="26.85546875" style="18" customWidth="1"/>
    <col min="3" max="3" width="15.85546875" style="18" customWidth="1"/>
    <col min="4" max="4" width="11.28515625" style="18" customWidth="1"/>
    <col min="5" max="5" width="10.85546875" style="18" customWidth="1"/>
    <col min="6" max="6" width="10.28515625" style="18" bestFit="1" customWidth="1"/>
    <col min="7" max="7" width="11.28515625" style="18" bestFit="1" customWidth="1"/>
    <col min="8" max="8" width="5.42578125" style="18" customWidth="1"/>
    <col min="9" max="9" width="11.42578125" style="18"/>
    <col min="10" max="10" width="27" style="18" bestFit="1" customWidth="1"/>
    <col min="11" max="256" width="11.42578125" style="18"/>
    <col min="257" max="257" width="4.28515625" style="18" customWidth="1"/>
    <col min="258" max="258" width="26.85546875" style="18" customWidth="1"/>
    <col min="259" max="259" width="15.85546875" style="18" customWidth="1"/>
    <col min="260" max="260" width="11.28515625" style="18" customWidth="1"/>
    <col min="261" max="261" width="10.85546875" style="18" customWidth="1"/>
    <col min="262" max="262" width="10.28515625" style="18" bestFit="1" customWidth="1"/>
    <col min="263" max="263" width="11.28515625" style="18" bestFit="1" customWidth="1"/>
    <col min="264" max="264" width="5.42578125" style="18" customWidth="1"/>
    <col min="265" max="512" width="11.42578125" style="18"/>
    <col min="513" max="513" width="4.28515625" style="18" customWidth="1"/>
    <col min="514" max="514" width="26.85546875" style="18" customWidth="1"/>
    <col min="515" max="515" width="15.85546875" style="18" customWidth="1"/>
    <col min="516" max="516" width="11.28515625" style="18" customWidth="1"/>
    <col min="517" max="517" width="10.85546875" style="18" customWidth="1"/>
    <col min="518" max="518" width="10.28515625" style="18" bestFit="1" customWidth="1"/>
    <col min="519" max="519" width="11.28515625" style="18" bestFit="1" customWidth="1"/>
    <col min="520" max="520" width="5.42578125" style="18" customWidth="1"/>
    <col min="521" max="768" width="11.42578125" style="18"/>
    <col min="769" max="769" width="4.28515625" style="18" customWidth="1"/>
    <col min="770" max="770" width="26.85546875" style="18" customWidth="1"/>
    <col min="771" max="771" width="15.85546875" style="18" customWidth="1"/>
    <col min="772" max="772" width="11.28515625" style="18" customWidth="1"/>
    <col min="773" max="773" width="10.85546875" style="18" customWidth="1"/>
    <col min="774" max="774" width="10.28515625" style="18" bestFit="1" customWidth="1"/>
    <col min="775" max="775" width="11.28515625" style="18" bestFit="1" customWidth="1"/>
    <col min="776" max="776" width="5.42578125" style="18" customWidth="1"/>
    <col min="777" max="1024" width="11.42578125" style="18"/>
    <col min="1025" max="1025" width="4.28515625" style="18" customWidth="1"/>
    <col min="1026" max="1026" width="26.85546875" style="18" customWidth="1"/>
    <col min="1027" max="1027" width="15.85546875" style="18" customWidth="1"/>
    <col min="1028" max="1028" width="11.28515625" style="18" customWidth="1"/>
    <col min="1029" max="1029" width="10.85546875" style="18" customWidth="1"/>
    <col min="1030" max="1030" width="10.28515625" style="18" bestFit="1" customWidth="1"/>
    <col min="1031" max="1031" width="11.28515625" style="18" bestFit="1" customWidth="1"/>
    <col min="1032" max="1032" width="5.42578125" style="18" customWidth="1"/>
    <col min="1033" max="1280" width="11.42578125" style="18"/>
    <col min="1281" max="1281" width="4.28515625" style="18" customWidth="1"/>
    <col min="1282" max="1282" width="26.85546875" style="18" customWidth="1"/>
    <col min="1283" max="1283" width="15.85546875" style="18" customWidth="1"/>
    <col min="1284" max="1284" width="11.28515625" style="18" customWidth="1"/>
    <col min="1285" max="1285" width="10.85546875" style="18" customWidth="1"/>
    <col min="1286" max="1286" width="10.28515625" style="18" bestFit="1" customWidth="1"/>
    <col min="1287" max="1287" width="11.28515625" style="18" bestFit="1" customWidth="1"/>
    <col min="1288" max="1288" width="5.42578125" style="18" customWidth="1"/>
    <col min="1289" max="1536" width="11.42578125" style="18"/>
    <col min="1537" max="1537" width="4.28515625" style="18" customWidth="1"/>
    <col min="1538" max="1538" width="26.85546875" style="18" customWidth="1"/>
    <col min="1539" max="1539" width="15.85546875" style="18" customWidth="1"/>
    <col min="1540" max="1540" width="11.28515625" style="18" customWidth="1"/>
    <col min="1541" max="1541" width="10.85546875" style="18" customWidth="1"/>
    <col min="1542" max="1542" width="10.28515625" style="18" bestFit="1" customWidth="1"/>
    <col min="1543" max="1543" width="11.28515625" style="18" bestFit="1" customWidth="1"/>
    <col min="1544" max="1544" width="5.42578125" style="18" customWidth="1"/>
    <col min="1545" max="1792" width="11.42578125" style="18"/>
    <col min="1793" max="1793" width="4.28515625" style="18" customWidth="1"/>
    <col min="1794" max="1794" width="26.85546875" style="18" customWidth="1"/>
    <col min="1795" max="1795" width="15.85546875" style="18" customWidth="1"/>
    <col min="1796" max="1796" width="11.28515625" style="18" customWidth="1"/>
    <col min="1797" max="1797" width="10.85546875" style="18" customWidth="1"/>
    <col min="1798" max="1798" width="10.28515625" style="18" bestFit="1" customWidth="1"/>
    <col min="1799" max="1799" width="11.28515625" style="18" bestFit="1" customWidth="1"/>
    <col min="1800" max="1800" width="5.42578125" style="18" customWidth="1"/>
    <col min="1801" max="2048" width="11.42578125" style="18"/>
    <col min="2049" max="2049" width="4.28515625" style="18" customWidth="1"/>
    <col min="2050" max="2050" width="26.85546875" style="18" customWidth="1"/>
    <col min="2051" max="2051" width="15.85546875" style="18" customWidth="1"/>
    <col min="2052" max="2052" width="11.28515625" style="18" customWidth="1"/>
    <col min="2053" max="2053" width="10.85546875" style="18" customWidth="1"/>
    <col min="2054" max="2054" width="10.28515625" style="18" bestFit="1" customWidth="1"/>
    <col min="2055" max="2055" width="11.28515625" style="18" bestFit="1" customWidth="1"/>
    <col min="2056" max="2056" width="5.42578125" style="18" customWidth="1"/>
    <col min="2057" max="2304" width="11.42578125" style="18"/>
    <col min="2305" max="2305" width="4.28515625" style="18" customWidth="1"/>
    <col min="2306" max="2306" width="26.85546875" style="18" customWidth="1"/>
    <col min="2307" max="2307" width="15.85546875" style="18" customWidth="1"/>
    <col min="2308" max="2308" width="11.28515625" style="18" customWidth="1"/>
    <col min="2309" max="2309" width="10.85546875" style="18" customWidth="1"/>
    <col min="2310" max="2310" width="10.28515625" style="18" bestFit="1" customWidth="1"/>
    <col min="2311" max="2311" width="11.28515625" style="18" bestFit="1" customWidth="1"/>
    <col min="2312" max="2312" width="5.42578125" style="18" customWidth="1"/>
    <col min="2313" max="2560" width="11.42578125" style="18"/>
    <col min="2561" max="2561" width="4.28515625" style="18" customWidth="1"/>
    <col min="2562" max="2562" width="26.85546875" style="18" customWidth="1"/>
    <col min="2563" max="2563" width="15.85546875" style="18" customWidth="1"/>
    <col min="2564" max="2564" width="11.28515625" style="18" customWidth="1"/>
    <col min="2565" max="2565" width="10.85546875" style="18" customWidth="1"/>
    <col min="2566" max="2566" width="10.28515625" style="18" bestFit="1" customWidth="1"/>
    <col min="2567" max="2567" width="11.28515625" style="18" bestFit="1" customWidth="1"/>
    <col min="2568" max="2568" width="5.42578125" style="18" customWidth="1"/>
    <col min="2569" max="2816" width="11.42578125" style="18"/>
    <col min="2817" max="2817" width="4.28515625" style="18" customWidth="1"/>
    <col min="2818" max="2818" width="26.85546875" style="18" customWidth="1"/>
    <col min="2819" max="2819" width="15.85546875" style="18" customWidth="1"/>
    <col min="2820" max="2820" width="11.28515625" style="18" customWidth="1"/>
    <col min="2821" max="2821" width="10.85546875" style="18" customWidth="1"/>
    <col min="2822" max="2822" width="10.28515625" style="18" bestFit="1" customWidth="1"/>
    <col min="2823" max="2823" width="11.28515625" style="18" bestFit="1" customWidth="1"/>
    <col min="2824" max="2824" width="5.42578125" style="18" customWidth="1"/>
    <col min="2825" max="3072" width="11.42578125" style="18"/>
    <col min="3073" max="3073" width="4.28515625" style="18" customWidth="1"/>
    <col min="3074" max="3074" width="26.85546875" style="18" customWidth="1"/>
    <col min="3075" max="3075" width="15.85546875" style="18" customWidth="1"/>
    <col min="3076" max="3076" width="11.28515625" style="18" customWidth="1"/>
    <col min="3077" max="3077" width="10.85546875" style="18" customWidth="1"/>
    <col min="3078" max="3078" width="10.28515625" style="18" bestFit="1" customWidth="1"/>
    <col min="3079" max="3079" width="11.28515625" style="18" bestFit="1" customWidth="1"/>
    <col min="3080" max="3080" width="5.42578125" style="18" customWidth="1"/>
    <col min="3081" max="3328" width="11.42578125" style="18"/>
    <col min="3329" max="3329" width="4.28515625" style="18" customWidth="1"/>
    <col min="3330" max="3330" width="26.85546875" style="18" customWidth="1"/>
    <col min="3331" max="3331" width="15.85546875" style="18" customWidth="1"/>
    <col min="3332" max="3332" width="11.28515625" style="18" customWidth="1"/>
    <col min="3333" max="3333" width="10.85546875" style="18" customWidth="1"/>
    <col min="3334" max="3334" width="10.28515625" style="18" bestFit="1" customWidth="1"/>
    <col min="3335" max="3335" width="11.28515625" style="18" bestFit="1" customWidth="1"/>
    <col min="3336" max="3336" width="5.42578125" style="18" customWidth="1"/>
    <col min="3337" max="3584" width="11.42578125" style="18"/>
    <col min="3585" max="3585" width="4.28515625" style="18" customWidth="1"/>
    <col min="3586" max="3586" width="26.85546875" style="18" customWidth="1"/>
    <col min="3587" max="3587" width="15.85546875" style="18" customWidth="1"/>
    <col min="3588" max="3588" width="11.28515625" style="18" customWidth="1"/>
    <col min="3589" max="3589" width="10.85546875" style="18" customWidth="1"/>
    <col min="3590" max="3590" width="10.28515625" style="18" bestFit="1" customWidth="1"/>
    <col min="3591" max="3591" width="11.28515625" style="18" bestFit="1" customWidth="1"/>
    <col min="3592" max="3592" width="5.42578125" style="18" customWidth="1"/>
    <col min="3593" max="3840" width="11.42578125" style="18"/>
    <col min="3841" max="3841" width="4.28515625" style="18" customWidth="1"/>
    <col min="3842" max="3842" width="26.85546875" style="18" customWidth="1"/>
    <col min="3843" max="3843" width="15.85546875" style="18" customWidth="1"/>
    <col min="3844" max="3844" width="11.28515625" style="18" customWidth="1"/>
    <col min="3845" max="3845" width="10.85546875" style="18" customWidth="1"/>
    <col min="3846" max="3846" width="10.28515625" style="18" bestFit="1" customWidth="1"/>
    <col min="3847" max="3847" width="11.28515625" style="18" bestFit="1" customWidth="1"/>
    <col min="3848" max="3848" width="5.42578125" style="18" customWidth="1"/>
    <col min="3849" max="4096" width="11.42578125" style="18"/>
    <col min="4097" max="4097" width="4.28515625" style="18" customWidth="1"/>
    <col min="4098" max="4098" width="26.85546875" style="18" customWidth="1"/>
    <col min="4099" max="4099" width="15.85546875" style="18" customWidth="1"/>
    <col min="4100" max="4100" width="11.28515625" style="18" customWidth="1"/>
    <col min="4101" max="4101" width="10.85546875" style="18" customWidth="1"/>
    <col min="4102" max="4102" width="10.28515625" style="18" bestFit="1" customWidth="1"/>
    <col min="4103" max="4103" width="11.28515625" style="18" bestFit="1" customWidth="1"/>
    <col min="4104" max="4104" width="5.42578125" style="18" customWidth="1"/>
    <col min="4105" max="4352" width="11.42578125" style="18"/>
    <col min="4353" max="4353" width="4.28515625" style="18" customWidth="1"/>
    <col min="4354" max="4354" width="26.85546875" style="18" customWidth="1"/>
    <col min="4355" max="4355" width="15.85546875" style="18" customWidth="1"/>
    <col min="4356" max="4356" width="11.28515625" style="18" customWidth="1"/>
    <col min="4357" max="4357" width="10.85546875" style="18" customWidth="1"/>
    <col min="4358" max="4358" width="10.28515625" style="18" bestFit="1" customWidth="1"/>
    <col min="4359" max="4359" width="11.28515625" style="18" bestFit="1" customWidth="1"/>
    <col min="4360" max="4360" width="5.42578125" style="18" customWidth="1"/>
    <col min="4361" max="4608" width="11.42578125" style="18"/>
    <col min="4609" max="4609" width="4.28515625" style="18" customWidth="1"/>
    <col min="4610" max="4610" width="26.85546875" style="18" customWidth="1"/>
    <col min="4611" max="4611" width="15.85546875" style="18" customWidth="1"/>
    <col min="4612" max="4612" width="11.28515625" style="18" customWidth="1"/>
    <col min="4613" max="4613" width="10.85546875" style="18" customWidth="1"/>
    <col min="4614" max="4614" width="10.28515625" style="18" bestFit="1" customWidth="1"/>
    <col min="4615" max="4615" width="11.28515625" style="18" bestFit="1" customWidth="1"/>
    <col min="4616" max="4616" width="5.42578125" style="18" customWidth="1"/>
    <col min="4617" max="4864" width="11.42578125" style="18"/>
    <col min="4865" max="4865" width="4.28515625" style="18" customWidth="1"/>
    <col min="4866" max="4866" width="26.85546875" style="18" customWidth="1"/>
    <col min="4867" max="4867" width="15.85546875" style="18" customWidth="1"/>
    <col min="4868" max="4868" width="11.28515625" style="18" customWidth="1"/>
    <col min="4869" max="4869" width="10.85546875" style="18" customWidth="1"/>
    <col min="4870" max="4870" width="10.28515625" style="18" bestFit="1" customWidth="1"/>
    <col min="4871" max="4871" width="11.28515625" style="18" bestFit="1" customWidth="1"/>
    <col min="4872" max="4872" width="5.42578125" style="18" customWidth="1"/>
    <col min="4873" max="5120" width="11.42578125" style="18"/>
    <col min="5121" max="5121" width="4.28515625" style="18" customWidth="1"/>
    <col min="5122" max="5122" width="26.85546875" style="18" customWidth="1"/>
    <col min="5123" max="5123" width="15.85546875" style="18" customWidth="1"/>
    <col min="5124" max="5124" width="11.28515625" style="18" customWidth="1"/>
    <col min="5125" max="5125" width="10.85546875" style="18" customWidth="1"/>
    <col min="5126" max="5126" width="10.28515625" style="18" bestFit="1" customWidth="1"/>
    <col min="5127" max="5127" width="11.28515625" style="18" bestFit="1" customWidth="1"/>
    <col min="5128" max="5128" width="5.42578125" style="18" customWidth="1"/>
    <col min="5129" max="5376" width="11.42578125" style="18"/>
    <col min="5377" max="5377" width="4.28515625" style="18" customWidth="1"/>
    <col min="5378" max="5378" width="26.85546875" style="18" customWidth="1"/>
    <col min="5379" max="5379" width="15.85546875" style="18" customWidth="1"/>
    <col min="5380" max="5380" width="11.28515625" style="18" customWidth="1"/>
    <col min="5381" max="5381" width="10.85546875" style="18" customWidth="1"/>
    <col min="5382" max="5382" width="10.28515625" style="18" bestFit="1" customWidth="1"/>
    <col min="5383" max="5383" width="11.28515625" style="18" bestFit="1" customWidth="1"/>
    <col min="5384" max="5384" width="5.42578125" style="18" customWidth="1"/>
    <col min="5385" max="5632" width="11.42578125" style="18"/>
    <col min="5633" max="5633" width="4.28515625" style="18" customWidth="1"/>
    <col min="5634" max="5634" width="26.85546875" style="18" customWidth="1"/>
    <col min="5635" max="5635" width="15.85546875" style="18" customWidth="1"/>
    <col min="5636" max="5636" width="11.28515625" style="18" customWidth="1"/>
    <col min="5637" max="5637" width="10.85546875" style="18" customWidth="1"/>
    <col min="5638" max="5638" width="10.28515625" style="18" bestFit="1" customWidth="1"/>
    <col min="5639" max="5639" width="11.28515625" style="18" bestFit="1" customWidth="1"/>
    <col min="5640" max="5640" width="5.42578125" style="18" customWidth="1"/>
    <col min="5641" max="5888" width="11.42578125" style="18"/>
    <col min="5889" max="5889" width="4.28515625" style="18" customWidth="1"/>
    <col min="5890" max="5890" width="26.85546875" style="18" customWidth="1"/>
    <col min="5891" max="5891" width="15.85546875" style="18" customWidth="1"/>
    <col min="5892" max="5892" width="11.28515625" style="18" customWidth="1"/>
    <col min="5893" max="5893" width="10.85546875" style="18" customWidth="1"/>
    <col min="5894" max="5894" width="10.28515625" style="18" bestFit="1" customWidth="1"/>
    <col min="5895" max="5895" width="11.28515625" style="18" bestFit="1" customWidth="1"/>
    <col min="5896" max="5896" width="5.42578125" style="18" customWidth="1"/>
    <col min="5897" max="6144" width="11.42578125" style="18"/>
    <col min="6145" max="6145" width="4.28515625" style="18" customWidth="1"/>
    <col min="6146" max="6146" width="26.85546875" style="18" customWidth="1"/>
    <col min="6147" max="6147" width="15.85546875" style="18" customWidth="1"/>
    <col min="6148" max="6148" width="11.28515625" style="18" customWidth="1"/>
    <col min="6149" max="6149" width="10.85546875" style="18" customWidth="1"/>
    <col min="6150" max="6150" width="10.28515625" style="18" bestFit="1" customWidth="1"/>
    <col min="6151" max="6151" width="11.28515625" style="18" bestFit="1" customWidth="1"/>
    <col min="6152" max="6152" width="5.42578125" style="18" customWidth="1"/>
    <col min="6153" max="6400" width="11.42578125" style="18"/>
    <col min="6401" max="6401" width="4.28515625" style="18" customWidth="1"/>
    <col min="6402" max="6402" width="26.85546875" style="18" customWidth="1"/>
    <col min="6403" max="6403" width="15.85546875" style="18" customWidth="1"/>
    <col min="6404" max="6404" width="11.28515625" style="18" customWidth="1"/>
    <col min="6405" max="6405" width="10.85546875" style="18" customWidth="1"/>
    <col min="6406" max="6406" width="10.28515625" style="18" bestFit="1" customWidth="1"/>
    <col min="6407" max="6407" width="11.28515625" style="18" bestFit="1" customWidth="1"/>
    <col min="6408" max="6408" width="5.42578125" style="18" customWidth="1"/>
    <col min="6409" max="6656" width="11.42578125" style="18"/>
    <col min="6657" max="6657" width="4.28515625" style="18" customWidth="1"/>
    <col min="6658" max="6658" width="26.85546875" style="18" customWidth="1"/>
    <col min="6659" max="6659" width="15.85546875" style="18" customWidth="1"/>
    <col min="6660" max="6660" width="11.28515625" style="18" customWidth="1"/>
    <col min="6661" max="6661" width="10.85546875" style="18" customWidth="1"/>
    <col min="6662" max="6662" width="10.28515625" style="18" bestFit="1" customWidth="1"/>
    <col min="6663" max="6663" width="11.28515625" style="18" bestFit="1" customWidth="1"/>
    <col min="6664" max="6664" width="5.42578125" style="18" customWidth="1"/>
    <col min="6665" max="6912" width="11.42578125" style="18"/>
    <col min="6913" max="6913" width="4.28515625" style="18" customWidth="1"/>
    <col min="6914" max="6914" width="26.85546875" style="18" customWidth="1"/>
    <col min="6915" max="6915" width="15.85546875" style="18" customWidth="1"/>
    <col min="6916" max="6916" width="11.28515625" style="18" customWidth="1"/>
    <col min="6917" max="6917" width="10.85546875" style="18" customWidth="1"/>
    <col min="6918" max="6918" width="10.28515625" style="18" bestFit="1" customWidth="1"/>
    <col min="6919" max="6919" width="11.28515625" style="18" bestFit="1" customWidth="1"/>
    <col min="6920" max="6920" width="5.42578125" style="18" customWidth="1"/>
    <col min="6921" max="7168" width="11.42578125" style="18"/>
    <col min="7169" max="7169" width="4.28515625" style="18" customWidth="1"/>
    <col min="7170" max="7170" width="26.85546875" style="18" customWidth="1"/>
    <col min="7171" max="7171" width="15.85546875" style="18" customWidth="1"/>
    <col min="7172" max="7172" width="11.28515625" style="18" customWidth="1"/>
    <col min="7173" max="7173" width="10.85546875" style="18" customWidth="1"/>
    <col min="7174" max="7174" width="10.28515625" style="18" bestFit="1" customWidth="1"/>
    <col min="7175" max="7175" width="11.28515625" style="18" bestFit="1" customWidth="1"/>
    <col min="7176" max="7176" width="5.42578125" style="18" customWidth="1"/>
    <col min="7177" max="7424" width="11.42578125" style="18"/>
    <col min="7425" max="7425" width="4.28515625" style="18" customWidth="1"/>
    <col min="7426" max="7426" width="26.85546875" style="18" customWidth="1"/>
    <col min="7427" max="7427" width="15.85546875" style="18" customWidth="1"/>
    <col min="7428" max="7428" width="11.28515625" style="18" customWidth="1"/>
    <col min="7429" max="7429" width="10.85546875" style="18" customWidth="1"/>
    <col min="7430" max="7430" width="10.28515625" style="18" bestFit="1" customWidth="1"/>
    <col min="7431" max="7431" width="11.28515625" style="18" bestFit="1" customWidth="1"/>
    <col min="7432" max="7432" width="5.42578125" style="18" customWidth="1"/>
    <col min="7433" max="7680" width="11.42578125" style="18"/>
    <col min="7681" max="7681" width="4.28515625" style="18" customWidth="1"/>
    <col min="7682" max="7682" width="26.85546875" style="18" customWidth="1"/>
    <col min="7683" max="7683" width="15.85546875" style="18" customWidth="1"/>
    <col min="7684" max="7684" width="11.28515625" style="18" customWidth="1"/>
    <col min="7685" max="7685" width="10.85546875" style="18" customWidth="1"/>
    <col min="7686" max="7686" width="10.28515625" style="18" bestFit="1" customWidth="1"/>
    <col min="7687" max="7687" width="11.28515625" style="18" bestFit="1" customWidth="1"/>
    <col min="7688" max="7688" width="5.42578125" style="18" customWidth="1"/>
    <col min="7689" max="7936" width="11.42578125" style="18"/>
    <col min="7937" max="7937" width="4.28515625" style="18" customWidth="1"/>
    <col min="7938" max="7938" width="26.85546875" style="18" customWidth="1"/>
    <col min="7939" max="7939" width="15.85546875" style="18" customWidth="1"/>
    <col min="7940" max="7940" width="11.28515625" style="18" customWidth="1"/>
    <col min="7941" max="7941" width="10.85546875" style="18" customWidth="1"/>
    <col min="7942" max="7942" width="10.28515625" style="18" bestFit="1" customWidth="1"/>
    <col min="7943" max="7943" width="11.28515625" style="18" bestFit="1" customWidth="1"/>
    <col min="7944" max="7944" width="5.42578125" style="18" customWidth="1"/>
    <col min="7945" max="8192" width="11.42578125" style="18"/>
    <col min="8193" max="8193" width="4.28515625" style="18" customWidth="1"/>
    <col min="8194" max="8194" width="26.85546875" style="18" customWidth="1"/>
    <col min="8195" max="8195" width="15.85546875" style="18" customWidth="1"/>
    <col min="8196" max="8196" width="11.28515625" style="18" customWidth="1"/>
    <col min="8197" max="8197" width="10.85546875" style="18" customWidth="1"/>
    <col min="8198" max="8198" width="10.28515625" style="18" bestFit="1" customWidth="1"/>
    <col min="8199" max="8199" width="11.28515625" style="18" bestFit="1" customWidth="1"/>
    <col min="8200" max="8200" width="5.42578125" style="18" customWidth="1"/>
    <col min="8201" max="8448" width="11.42578125" style="18"/>
    <col min="8449" max="8449" width="4.28515625" style="18" customWidth="1"/>
    <col min="8450" max="8450" width="26.85546875" style="18" customWidth="1"/>
    <col min="8451" max="8451" width="15.85546875" style="18" customWidth="1"/>
    <col min="8452" max="8452" width="11.28515625" style="18" customWidth="1"/>
    <col min="8453" max="8453" width="10.85546875" style="18" customWidth="1"/>
    <col min="8454" max="8454" width="10.28515625" style="18" bestFit="1" customWidth="1"/>
    <col min="8455" max="8455" width="11.28515625" style="18" bestFit="1" customWidth="1"/>
    <col min="8456" max="8456" width="5.42578125" style="18" customWidth="1"/>
    <col min="8457" max="8704" width="11.42578125" style="18"/>
    <col min="8705" max="8705" width="4.28515625" style="18" customWidth="1"/>
    <col min="8706" max="8706" width="26.85546875" style="18" customWidth="1"/>
    <col min="8707" max="8707" width="15.85546875" style="18" customWidth="1"/>
    <col min="8708" max="8708" width="11.28515625" style="18" customWidth="1"/>
    <col min="8709" max="8709" width="10.85546875" style="18" customWidth="1"/>
    <col min="8710" max="8710" width="10.28515625" style="18" bestFit="1" customWidth="1"/>
    <col min="8711" max="8711" width="11.28515625" style="18" bestFit="1" customWidth="1"/>
    <col min="8712" max="8712" width="5.42578125" style="18" customWidth="1"/>
    <col min="8713" max="8960" width="11.42578125" style="18"/>
    <col min="8961" max="8961" width="4.28515625" style="18" customWidth="1"/>
    <col min="8962" max="8962" width="26.85546875" style="18" customWidth="1"/>
    <col min="8963" max="8963" width="15.85546875" style="18" customWidth="1"/>
    <col min="8964" max="8964" width="11.28515625" style="18" customWidth="1"/>
    <col min="8965" max="8965" width="10.85546875" style="18" customWidth="1"/>
    <col min="8966" max="8966" width="10.28515625" style="18" bestFit="1" customWidth="1"/>
    <col min="8967" max="8967" width="11.28515625" style="18" bestFit="1" customWidth="1"/>
    <col min="8968" max="8968" width="5.42578125" style="18" customWidth="1"/>
    <col min="8969" max="9216" width="11.42578125" style="18"/>
    <col min="9217" max="9217" width="4.28515625" style="18" customWidth="1"/>
    <col min="9218" max="9218" width="26.85546875" style="18" customWidth="1"/>
    <col min="9219" max="9219" width="15.85546875" style="18" customWidth="1"/>
    <col min="9220" max="9220" width="11.28515625" style="18" customWidth="1"/>
    <col min="9221" max="9221" width="10.85546875" style="18" customWidth="1"/>
    <col min="9222" max="9222" width="10.28515625" style="18" bestFit="1" customWidth="1"/>
    <col min="9223" max="9223" width="11.28515625" style="18" bestFit="1" customWidth="1"/>
    <col min="9224" max="9224" width="5.42578125" style="18" customWidth="1"/>
    <col min="9225" max="9472" width="11.42578125" style="18"/>
    <col min="9473" max="9473" width="4.28515625" style="18" customWidth="1"/>
    <col min="9474" max="9474" width="26.85546875" style="18" customWidth="1"/>
    <col min="9475" max="9475" width="15.85546875" style="18" customWidth="1"/>
    <col min="9476" max="9476" width="11.28515625" style="18" customWidth="1"/>
    <col min="9477" max="9477" width="10.85546875" style="18" customWidth="1"/>
    <col min="9478" max="9478" width="10.28515625" style="18" bestFit="1" customWidth="1"/>
    <col min="9479" max="9479" width="11.28515625" style="18" bestFit="1" customWidth="1"/>
    <col min="9480" max="9480" width="5.42578125" style="18" customWidth="1"/>
    <col min="9481" max="9728" width="11.42578125" style="18"/>
    <col min="9729" max="9729" width="4.28515625" style="18" customWidth="1"/>
    <col min="9730" max="9730" width="26.85546875" style="18" customWidth="1"/>
    <col min="9731" max="9731" width="15.85546875" style="18" customWidth="1"/>
    <col min="9732" max="9732" width="11.28515625" style="18" customWidth="1"/>
    <col min="9733" max="9733" width="10.85546875" style="18" customWidth="1"/>
    <col min="9734" max="9734" width="10.28515625" style="18" bestFit="1" customWidth="1"/>
    <col min="9735" max="9735" width="11.28515625" style="18" bestFit="1" customWidth="1"/>
    <col min="9736" max="9736" width="5.42578125" style="18" customWidth="1"/>
    <col min="9737" max="9984" width="11.42578125" style="18"/>
    <col min="9985" max="9985" width="4.28515625" style="18" customWidth="1"/>
    <col min="9986" max="9986" width="26.85546875" style="18" customWidth="1"/>
    <col min="9987" max="9987" width="15.85546875" style="18" customWidth="1"/>
    <col min="9988" max="9988" width="11.28515625" style="18" customWidth="1"/>
    <col min="9989" max="9989" width="10.85546875" style="18" customWidth="1"/>
    <col min="9990" max="9990" width="10.28515625" style="18" bestFit="1" customWidth="1"/>
    <col min="9991" max="9991" width="11.28515625" style="18" bestFit="1" customWidth="1"/>
    <col min="9992" max="9992" width="5.42578125" style="18" customWidth="1"/>
    <col min="9993" max="10240" width="11.42578125" style="18"/>
    <col min="10241" max="10241" width="4.28515625" style="18" customWidth="1"/>
    <col min="10242" max="10242" width="26.85546875" style="18" customWidth="1"/>
    <col min="10243" max="10243" width="15.85546875" style="18" customWidth="1"/>
    <col min="10244" max="10244" width="11.28515625" style="18" customWidth="1"/>
    <col min="10245" max="10245" width="10.85546875" style="18" customWidth="1"/>
    <col min="10246" max="10246" width="10.28515625" style="18" bestFit="1" customWidth="1"/>
    <col min="10247" max="10247" width="11.28515625" style="18" bestFit="1" customWidth="1"/>
    <col min="10248" max="10248" width="5.42578125" style="18" customWidth="1"/>
    <col min="10249" max="10496" width="11.42578125" style="18"/>
    <col min="10497" max="10497" width="4.28515625" style="18" customWidth="1"/>
    <col min="10498" max="10498" width="26.85546875" style="18" customWidth="1"/>
    <col min="10499" max="10499" width="15.85546875" style="18" customWidth="1"/>
    <col min="10500" max="10500" width="11.28515625" style="18" customWidth="1"/>
    <col min="10501" max="10501" width="10.85546875" style="18" customWidth="1"/>
    <col min="10502" max="10502" width="10.28515625" style="18" bestFit="1" customWidth="1"/>
    <col min="10503" max="10503" width="11.28515625" style="18" bestFit="1" customWidth="1"/>
    <col min="10504" max="10504" width="5.42578125" style="18" customWidth="1"/>
    <col min="10505" max="10752" width="11.42578125" style="18"/>
    <col min="10753" max="10753" width="4.28515625" style="18" customWidth="1"/>
    <col min="10754" max="10754" width="26.85546875" style="18" customWidth="1"/>
    <col min="10755" max="10755" width="15.85546875" style="18" customWidth="1"/>
    <col min="10756" max="10756" width="11.28515625" style="18" customWidth="1"/>
    <col min="10757" max="10757" width="10.85546875" style="18" customWidth="1"/>
    <col min="10758" max="10758" width="10.28515625" style="18" bestFit="1" customWidth="1"/>
    <col min="10759" max="10759" width="11.28515625" style="18" bestFit="1" customWidth="1"/>
    <col min="10760" max="10760" width="5.42578125" style="18" customWidth="1"/>
    <col min="10761" max="11008" width="11.42578125" style="18"/>
    <col min="11009" max="11009" width="4.28515625" style="18" customWidth="1"/>
    <col min="11010" max="11010" width="26.85546875" style="18" customWidth="1"/>
    <col min="11011" max="11011" width="15.85546875" style="18" customWidth="1"/>
    <col min="11012" max="11012" width="11.28515625" style="18" customWidth="1"/>
    <col min="11013" max="11013" width="10.85546875" style="18" customWidth="1"/>
    <col min="11014" max="11014" width="10.28515625" style="18" bestFit="1" customWidth="1"/>
    <col min="11015" max="11015" width="11.28515625" style="18" bestFit="1" customWidth="1"/>
    <col min="11016" max="11016" width="5.42578125" style="18" customWidth="1"/>
    <col min="11017" max="11264" width="11.42578125" style="18"/>
    <col min="11265" max="11265" width="4.28515625" style="18" customWidth="1"/>
    <col min="11266" max="11266" width="26.85546875" style="18" customWidth="1"/>
    <col min="11267" max="11267" width="15.85546875" style="18" customWidth="1"/>
    <col min="11268" max="11268" width="11.28515625" style="18" customWidth="1"/>
    <col min="11269" max="11269" width="10.85546875" style="18" customWidth="1"/>
    <col min="11270" max="11270" width="10.28515625" style="18" bestFit="1" customWidth="1"/>
    <col min="11271" max="11271" width="11.28515625" style="18" bestFit="1" customWidth="1"/>
    <col min="11272" max="11272" width="5.42578125" style="18" customWidth="1"/>
    <col min="11273" max="11520" width="11.42578125" style="18"/>
    <col min="11521" max="11521" width="4.28515625" style="18" customWidth="1"/>
    <col min="11522" max="11522" width="26.85546875" style="18" customWidth="1"/>
    <col min="11523" max="11523" width="15.85546875" style="18" customWidth="1"/>
    <col min="11524" max="11524" width="11.28515625" style="18" customWidth="1"/>
    <col min="11525" max="11525" width="10.85546875" style="18" customWidth="1"/>
    <col min="11526" max="11526" width="10.28515625" style="18" bestFit="1" customWidth="1"/>
    <col min="11527" max="11527" width="11.28515625" style="18" bestFit="1" customWidth="1"/>
    <col min="11528" max="11528" width="5.42578125" style="18" customWidth="1"/>
    <col min="11529" max="11776" width="11.42578125" style="18"/>
    <col min="11777" max="11777" width="4.28515625" style="18" customWidth="1"/>
    <col min="11778" max="11778" width="26.85546875" style="18" customWidth="1"/>
    <col min="11779" max="11779" width="15.85546875" style="18" customWidth="1"/>
    <col min="11780" max="11780" width="11.28515625" style="18" customWidth="1"/>
    <col min="11781" max="11781" width="10.85546875" style="18" customWidth="1"/>
    <col min="11782" max="11782" width="10.28515625" style="18" bestFit="1" customWidth="1"/>
    <col min="11783" max="11783" width="11.28515625" style="18" bestFit="1" customWidth="1"/>
    <col min="11784" max="11784" width="5.42578125" style="18" customWidth="1"/>
    <col min="11785" max="12032" width="11.42578125" style="18"/>
    <col min="12033" max="12033" width="4.28515625" style="18" customWidth="1"/>
    <col min="12034" max="12034" width="26.85546875" style="18" customWidth="1"/>
    <col min="12035" max="12035" width="15.85546875" style="18" customWidth="1"/>
    <col min="12036" max="12036" width="11.28515625" style="18" customWidth="1"/>
    <col min="12037" max="12037" width="10.85546875" style="18" customWidth="1"/>
    <col min="12038" max="12038" width="10.28515625" style="18" bestFit="1" customWidth="1"/>
    <col min="12039" max="12039" width="11.28515625" style="18" bestFit="1" customWidth="1"/>
    <col min="12040" max="12040" width="5.42578125" style="18" customWidth="1"/>
    <col min="12041" max="12288" width="11.42578125" style="18"/>
    <col min="12289" max="12289" width="4.28515625" style="18" customWidth="1"/>
    <col min="12290" max="12290" width="26.85546875" style="18" customWidth="1"/>
    <col min="12291" max="12291" width="15.85546875" style="18" customWidth="1"/>
    <col min="12292" max="12292" width="11.28515625" style="18" customWidth="1"/>
    <col min="12293" max="12293" width="10.85546875" style="18" customWidth="1"/>
    <col min="12294" max="12294" width="10.28515625" style="18" bestFit="1" customWidth="1"/>
    <col min="12295" max="12295" width="11.28515625" style="18" bestFit="1" customWidth="1"/>
    <col min="12296" max="12296" width="5.42578125" style="18" customWidth="1"/>
    <col min="12297" max="12544" width="11.42578125" style="18"/>
    <col min="12545" max="12545" width="4.28515625" style="18" customWidth="1"/>
    <col min="12546" max="12546" width="26.85546875" style="18" customWidth="1"/>
    <col min="12547" max="12547" width="15.85546875" style="18" customWidth="1"/>
    <col min="12548" max="12548" width="11.28515625" style="18" customWidth="1"/>
    <col min="12549" max="12549" width="10.85546875" style="18" customWidth="1"/>
    <col min="12550" max="12550" width="10.28515625" style="18" bestFit="1" customWidth="1"/>
    <col min="12551" max="12551" width="11.28515625" style="18" bestFit="1" customWidth="1"/>
    <col min="12552" max="12552" width="5.42578125" style="18" customWidth="1"/>
    <col min="12553" max="12800" width="11.42578125" style="18"/>
    <col min="12801" max="12801" width="4.28515625" style="18" customWidth="1"/>
    <col min="12802" max="12802" width="26.85546875" style="18" customWidth="1"/>
    <col min="12803" max="12803" width="15.85546875" style="18" customWidth="1"/>
    <col min="12804" max="12804" width="11.28515625" style="18" customWidth="1"/>
    <col min="12805" max="12805" width="10.85546875" style="18" customWidth="1"/>
    <col min="12806" max="12806" width="10.28515625" style="18" bestFit="1" customWidth="1"/>
    <col min="12807" max="12807" width="11.28515625" style="18" bestFit="1" customWidth="1"/>
    <col min="12808" max="12808" width="5.42578125" style="18" customWidth="1"/>
    <col min="12809" max="13056" width="11.42578125" style="18"/>
    <col min="13057" max="13057" width="4.28515625" style="18" customWidth="1"/>
    <col min="13058" max="13058" width="26.85546875" style="18" customWidth="1"/>
    <col min="13059" max="13059" width="15.85546875" style="18" customWidth="1"/>
    <col min="13060" max="13060" width="11.28515625" style="18" customWidth="1"/>
    <col min="13061" max="13061" width="10.85546875" style="18" customWidth="1"/>
    <col min="13062" max="13062" width="10.28515625" style="18" bestFit="1" customWidth="1"/>
    <col min="13063" max="13063" width="11.28515625" style="18" bestFit="1" customWidth="1"/>
    <col min="13064" max="13064" width="5.42578125" style="18" customWidth="1"/>
    <col min="13065" max="13312" width="11.42578125" style="18"/>
    <col min="13313" max="13313" width="4.28515625" style="18" customWidth="1"/>
    <col min="13314" max="13314" width="26.85546875" style="18" customWidth="1"/>
    <col min="13315" max="13315" width="15.85546875" style="18" customWidth="1"/>
    <col min="13316" max="13316" width="11.28515625" style="18" customWidth="1"/>
    <col min="13317" max="13317" width="10.85546875" style="18" customWidth="1"/>
    <col min="13318" max="13318" width="10.28515625" style="18" bestFit="1" customWidth="1"/>
    <col min="13319" max="13319" width="11.28515625" style="18" bestFit="1" customWidth="1"/>
    <col min="13320" max="13320" width="5.42578125" style="18" customWidth="1"/>
    <col min="13321" max="13568" width="11.42578125" style="18"/>
    <col min="13569" max="13569" width="4.28515625" style="18" customWidth="1"/>
    <col min="13570" max="13570" width="26.85546875" style="18" customWidth="1"/>
    <col min="13571" max="13571" width="15.85546875" style="18" customWidth="1"/>
    <col min="13572" max="13572" width="11.28515625" style="18" customWidth="1"/>
    <col min="13573" max="13573" width="10.85546875" style="18" customWidth="1"/>
    <col min="13574" max="13574" width="10.28515625" style="18" bestFit="1" customWidth="1"/>
    <col min="13575" max="13575" width="11.28515625" style="18" bestFit="1" customWidth="1"/>
    <col min="13576" max="13576" width="5.42578125" style="18" customWidth="1"/>
    <col min="13577" max="13824" width="11.42578125" style="18"/>
    <col min="13825" max="13825" width="4.28515625" style="18" customWidth="1"/>
    <col min="13826" max="13826" width="26.85546875" style="18" customWidth="1"/>
    <col min="13827" max="13827" width="15.85546875" style="18" customWidth="1"/>
    <col min="13828" max="13828" width="11.28515625" style="18" customWidth="1"/>
    <col min="13829" max="13829" width="10.85546875" style="18" customWidth="1"/>
    <col min="13830" max="13830" width="10.28515625" style="18" bestFit="1" customWidth="1"/>
    <col min="13831" max="13831" width="11.28515625" style="18" bestFit="1" customWidth="1"/>
    <col min="13832" max="13832" width="5.42578125" style="18" customWidth="1"/>
    <col min="13833" max="14080" width="11.42578125" style="18"/>
    <col min="14081" max="14081" width="4.28515625" style="18" customWidth="1"/>
    <col min="14082" max="14082" width="26.85546875" style="18" customWidth="1"/>
    <col min="14083" max="14083" width="15.85546875" style="18" customWidth="1"/>
    <col min="14084" max="14084" width="11.28515625" style="18" customWidth="1"/>
    <col min="14085" max="14085" width="10.85546875" style="18" customWidth="1"/>
    <col min="14086" max="14086" width="10.28515625" style="18" bestFit="1" customWidth="1"/>
    <col min="14087" max="14087" width="11.28515625" style="18" bestFit="1" customWidth="1"/>
    <col min="14088" max="14088" width="5.42578125" style="18" customWidth="1"/>
    <col min="14089" max="14336" width="11.42578125" style="18"/>
    <col min="14337" max="14337" width="4.28515625" style="18" customWidth="1"/>
    <col min="14338" max="14338" width="26.85546875" style="18" customWidth="1"/>
    <col min="14339" max="14339" width="15.85546875" style="18" customWidth="1"/>
    <col min="14340" max="14340" width="11.28515625" style="18" customWidth="1"/>
    <col min="14341" max="14341" width="10.85546875" style="18" customWidth="1"/>
    <col min="14342" max="14342" width="10.28515625" style="18" bestFit="1" customWidth="1"/>
    <col min="14343" max="14343" width="11.28515625" style="18" bestFit="1" customWidth="1"/>
    <col min="14344" max="14344" width="5.42578125" style="18" customWidth="1"/>
    <col min="14345" max="14592" width="11.42578125" style="18"/>
    <col min="14593" max="14593" width="4.28515625" style="18" customWidth="1"/>
    <col min="14594" max="14594" width="26.85546875" style="18" customWidth="1"/>
    <col min="14595" max="14595" width="15.85546875" style="18" customWidth="1"/>
    <col min="14596" max="14596" width="11.28515625" style="18" customWidth="1"/>
    <col min="14597" max="14597" width="10.85546875" style="18" customWidth="1"/>
    <col min="14598" max="14598" width="10.28515625" style="18" bestFit="1" customWidth="1"/>
    <col min="14599" max="14599" width="11.28515625" style="18" bestFit="1" customWidth="1"/>
    <col min="14600" max="14600" width="5.42578125" style="18" customWidth="1"/>
    <col min="14601" max="14848" width="11.42578125" style="18"/>
    <col min="14849" max="14849" width="4.28515625" style="18" customWidth="1"/>
    <col min="14850" max="14850" width="26.85546875" style="18" customWidth="1"/>
    <col min="14851" max="14851" width="15.85546875" style="18" customWidth="1"/>
    <col min="14852" max="14852" width="11.28515625" style="18" customWidth="1"/>
    <col min="14853" max="14853" width="10.85546875" style="18" customWidth="1"/>
    <col min="14854" max="14854" width="10.28515625" style="18" bestFit="1" customWidth="1"/>
    <col min="14855" max="14855" width="11.28515625" style="18" bestFit="1" customWidth="1"/>
    <col min="14856" max="14856" width="5.42578125" style="18" customWidth="1"/>
    <col min="14857" max="15104" width="11.42578125" style="18"/>
    <col min="15105" max="15105" width="4.28515625" style="18" customWidth="1"/>
    <col min="15106" max="15106" width="26.85546875" style="18" customWidth="1"/>
    <col min="15107" max="15107" width="15.85546875" style="18" customWidth="1"/>
    <col min="15108" max="15108" width="11.28515625" style="18" customWidth="1"/>
    <col min="15109" max="15109" width="10.85546875" style="18" customWidth="1"/>
    <col min="15110" max="15110" width="10.28515625" style="18" bestFit="1" customWidth="1"/>
    <col min="15111" max="15111" width="11.28515625" style="18" bestFit="1" customWidth="1"/>
    <col min="15112" max="15112" width="5.42578125" style="18" customWidth="1"/>
    <col min="15113" max="15360" width="11.42578125" style="18"/>
    <col min="15361" max="15361" width="4.28515625" style="18" customWidth="1"/>
    <col min="15362" max="15362" width="26.85546875" style="18" customWidth="1"/>
    <col min="15363" max="15363" width="15.85546875" style="18" customWidth="1"/>
    <col min="15364" max="15364" width="11.28515625" style="18" customWidth="1"/>
    <col min="15365" max="15365" width="10.85546875" style="18" customWidth="1"/>
    <col min="15366" max="15366" width="10.28515625" style="18" bestFit="1" customWidth="1"/>
    <col min="15367" max="15367" width="11.28515625" style="18" bestFit="1" customWidth="1"/>
    <col min="15368" max="15368" width="5.42578125" style="18" customWidth="1"/>
    <col min="15369" max="15616" width="11.42578125" style="18"/>
    <col min="15617" max="15617" width="4.28515625" style="18" customWidth="1"/>
    <col min="15618" max="15618" width="26.85546875" style="18" customWidth="1"/>
    <col min="15619" max="15619" width="15.85546875" style="18" customWidth="1"/>
    <col min="15620" max="15620" width="11.28515625" style="18" customWidth="1"/>
    <col min="15621" max="15621" width="10.85546875" style="18" customWidth="1"/>
    <col min="15622" max="15622" width="10.28515625" style="18" bestFit="1" customWidth="1"/>
    <col min="15623" max="15623" width="11.28515625" style="18" bestFit="1" customWidth="1"/>
    <col min="15624" max="15624" width="5.42578125" style="18" customWidth="1"/>
    <col min="15625" max="15872" width="11.42578125" style="18"/>
    <col min="15873" max="15873" width="4.28515625" style="18" customWidth="1"/>
    <col min="15874" max="15874" width="26.85546875" style="18" customWidth="1"/>
    <col min="15875" max="15875" width="15.85546875" style="18" customWidth="1"/>
    <col min="15876" max="15876" width="11.28515625" style="18" customWidth="1"/>
    <col min="15877" max="15877" width="10.85546875" style="18" customWidth="1"/>
    <col min="15878" max="15878" width="10.28515625" style="18" bestFit="1" customWidth="1"/>
    <col min="15879" max="15879" width="11.28515625" style="18" bestFit="1" customWidth="1"/>
    <col min="15880" max="15880" width="5.42578125" style="18" customWidth="1"/>
    <col min="15881" max="16128" width="11.42578125" style="18"/>
    <col min="16129" max="16129" width="4.28515625" style="18" customWidth="1"/>
    <col min="16130" max="16130" width="26.85546875" style="18" customWidth="1"/>
    <col min="16131" max="16131" width="15.85546875" style="18" customWidth="1"/>
    <col min="16132" max="16132" width="11.28515625" style="18" customWidth="1"/>
    <col min="16133" max="16133" width="10.85546875" style="18" customWidth="1"/>
    <col min="16134" max="16134" width="10.28515625" style="18" bestFit="1" customWidth="1"/>
    <col min="16135" max="16135" width="11.28515625" style="18" bestFit="1" customWidth="1"/>
    <col min="16136" max="16136" width="5.42578125" style="18" customWidth="1"/>
    <col min="16137" max="16384" width="11.42578125" style="18"/>
  </cols>
  <sheetData>
    <row r="2" spans="2:15" x14ac:dyDescent="0.25">
      <c r="B2" s="325" t="s">
        <v>20</v>
      </c>
      <c r="C2" s="325"/>
      <c r="D2" s="325"/>
      <c r="E2" s="325"/>
      <c r="F2" s="325"/>
      <c r="G2" s="325"/>
    </row>
    <row r="3" spans="2:15" s="20" customFormat="1" ht="39" x14ac:dyDescent="0.25">
      <c r="B3" s="21" t="s">
        <v>21</v>
      </c>
      <c r="C3" s="21" t="s">
        <v>94</v>
      </c>
      <c r="D3" s="21" t="s">
        <v>5</v>
      </c>
      <c r="E3" s="83" t="s">
        <v>22</v>
      </c>
      <c r="F3" s="21" t="s">
        <v>23</v>
      </c>
      <c r="G3" s="21" t="s">
        <v>95</v>
      </c>
      <c r="I3" s="18"/>
      <c r="J3" s="18"/>
      <c r="K3" s="18"/>
      <c r="L3" s="18"/>
      <c r="M3" s="18"/>
      <c r="N3" s="18"/>
      <c r="O3" s="18"/>
    </row>
    <row r="4" spans="2:15" s="25" customFormat="1" x14ac:dyDescent="0.25">
      <c r="B4" s="7" t="s">
        <v>24</v>
      </c>
      <c r="C4" s="7"/>
      <c r="D4" s="7"/>
      <c r="E4" s="8"/>
      <c r="F4" s="9">
        <f>SUM(F5:F6)</f>
        <v>2500</v>
      </c>
      <c r="G4" s="84">
        <f>SUM(G5:G6)</f>
        <v>30000</v>
      </c>
      <c r="I4" s="18"/>
      <c r="J4" s="18"/>
      <c r="K4" s="18"/>
      <c r="L4" s="18"/>
      <c r="M4" s="18"/>
      <c r="N4" s="18"/>
      <c r="O4" s="18"/>
    </row>
    <row r="5" spans="2:15" x14ac:dyDescent="0.25">
      <c r="B5" s="10" t="s">
        <v>29</v>
      </c>
      <c r="C5" s="4">
        <v>1</v>
      </c>
      <c r="D5" s="85">
        <v>2</v>
      </c>
      <c r="E5" s="85">
        <v>1250</v>
      </c>
      <c r="F5" s="86">
        <f>D5*E5*C5</f>
        <v>2500</v>
      </c>
      <c r="G5" s="86">
        <f>F5*12</f>
        <v>30000</v>
      </c>
    </row>
    <row r="6" spans="2:15" x14ac:dyDescent="0.25">
      <c r="B6" s="10" t="s">
        <v>88</v>
      </c>
      <c r="C6" s="4">
        <v>0</v>
      </c>
      <c r="D6" s="85">
        <v>0</v>
      </c>
      <c r="E6" s="85">
        <v>0</v>
      </c>
      <c r="F6" s="86">
        <f>D6*E6*C6</f>
        <v>0</v>
      </c>
      <c r="G6" s="86">
        <f>F6*12</f>
        <v>0</v>
      </c>
    </row>
    <row r="7" spans="2:15" s="25" customFormat="1" x14ac:dyDescent="0.25">
      <c r="B7" s="8" t="s">
        <v>25</v>
      </c>
      <c r="C7" s="8"/>
      <c r="D7" s="11"/>
      <c r="E7" s="8"/>
      <c r="F7" s="12">
        <f>SUM(F8:F12)</f>
        <v>1025</v>
      </c>
      <c r="G7" s="12">
        <f>SUM(G8:G12)</f>
        <v>12300</v>
      </c>
      <c r="I7" s="18"/>
      <c r="J7" s="18"/>
      <c r="K7" s="18"/>
      <c r="L7" s="18"/>
      <c r="M7" s="18"/>
      <c r="N7" s="18"/>
      <c r="O7" s="18"/>
    </row>
    <row r="8" spans="2:15" x14ac:dyDescent="0.25">
      <c r="B8" s="10" t="s">
        <v>31</v>
      </c>
      <c r="C8" s="4">
        <v>1</v>
      </c>
      <c r="D8" s="85">
        <v>1</v>
      </c>
      <c r="E8" s="85">
        <v>1025</v>
      </c>
      <c r="F8" s="86">
        <f>D8*E8*C8</f>
        <v>1025</v>
      </c>
      <c r="G8" s="86">
        <f>F8*12</f>
        <v>12300</v>
      </c>
    </row>
    <row r="9" spans="2:15" x14ac:dyDescent="0.25">
      <c r="B9" s="10" t="s">
        <v>88</v>
      </c>
      <c r="C9" s="4">
        <v>0</v>
      </c>
      <c r="D9" s="85">
        <v>0</v>
      </c>
      <c r="E9" s="85">
        <v>0</v>
      </c>
      <c r="F9" s="86">
        <f>D9*E9*C9</f>
        <v>0</v>
      </c>
      <c r="G9" s="86">
        <f t="shared" ref="G9:G12" si="0">F9*12</f>
        <v>0</v>
      </c>
    </row>
    <row r="10" spans="2:15" x14ac:dyDescent="0.25">
      <c r="B10" s="10" t="s">
        <v>88</v>
      </c>
      <c r="C10" s="4">
        <v>0</v>
      </c>
      <c r="D10" s="85">
        <v>0</v>
      </c>
      <c r="E10" s="85">
        <v>0</v>
      </c>
      <c r="F10" s="86">
        <f>D10*E10*C10</f>
        <v>0</v>
      </c>
      <c r="G10" s="86">
        <f t="shared" si="0"/>
        <v>0</v>
      </c>
    </row>
    <row r="11" spans="2:15" x14ac:dyDescent="0.25">
      <c r="B11" s="10" t="s">
        <v>88</v>
      </c>
      <c r="C11" s="4">
        <v>0</v>
      </c>
      <c r="D11" s="85">
        <v>0</v>
      </c>
      <c r="E11" s="85">
        <v>0</v>
      </c>
      <c r="F11" s="86">
        <f>D11*E11*C11</f>
        <v>0</v>
      </c>
      <c r="G11" s="86">
        <f t="shared" si="0"/>
        <v>0</v>
      </c>
    </row>
    <row r="12" spans="2:15" x14ac:dyDescent="0.25">
      <c r="B12" s="87" t="s">
        <v>88</v>
      </c>
      <c r="C12" s="88">
        <v>0</v>
      </c>
      <c r="D12" s="85">
        <v>0</v>
      </c>
      <c r="E12" s="85">
        <v>0</v>
      </c>
      <c r="F12" s="86">
        <f>D12*E12*C12</f>
        <v>0</v>
      </c>
      <c r="G12" s="86">
        <f t="shared" si="0"/>
        <v>0</v>
      </c>
    </row>
    <row r="13" spans="2:15" x14ac:dyDescent="0.25">
      <c r="B13" s="8" t="s">
        <v>26</v>
      </c>
      <c r="C13" s="8"/>
      <c r="D13" s="11"/>
      <c r="E13" s="74"/>
      <c r="F13" s="12">
        <f>SUM(F14:F14)</f>
        <v>1025</v>
      </c>
      <c r="G13" s="12">
        <f>SUM(G14:G14)</f>
        <v>12300</v>
      </c>
    </row>
    <row r="14" spans="2:15" x14ac:dyDescent="0.25">
      <c r="B14" s="10" t="s">
        <v>30</v>
      </c>
      <c r="C14" s="4">
        <v>1</v>
      </c>
      <c r="D14" s="85">
        <v>1</v>
      </c>
      <c r="E14" s="85">
        <v>1025</v>
      </c>
      <c r="F14" s="86">
        <f>D14*E14*C14</f>
        <v>1025</v>
      </c>
      <c r="G14" s="86">
        <f>F14*12</f>
        <v>12300</v>
      </c>
    </row>
    <row r="15" spans="2:15" s="25" customFormat="1" ht="12.75" x14ac:dyDescent="0.2">
      <c r="B15" s="8" t="s">
        <v>27</v>
      </c>
      <c r="C15" s="8"/>
      <c r="D15" s="11"/>
      <c r="E15" s="8"/>
      <c r="F15" s="12">
        <f>SUM(F16:F19)</f>
        <v>1025</v>
      </c>
      <c r="G15" s="12">
        <f>SUM(G16:G19)</f>
        <v>12300</v>
      </c>
    </row>
    <row r="16" spans="2:15" x14ac:dyDescent="0.25">
      <c r="B16" s="10" t="s">
        <v>88</v>
      </c>
      <c r="C16" s="4">
        <v>0</v>
      </c>
      <c r="D16" s="85">
        <v>0</v>
      </c>
      <c r="E16" s="85">
        <v>0</v>
      </c>
      <c r="F16" s="86">
        <f>D16*E16*C16</f>
        <v>0</v>
      </c>
      <c r="G16" s="86">
        <f>F16*12</f>
        <v>0</v>
      </c>
    </row>
    <row r="17" spans="2:8" x14ac:dyDescent="0.25">
      <c r="B17" s="10" t="s">
        <v>96</v>
      </c>
      <c r="C17" s="4">
        <v>1</v>
      </c>
      <c r="D17" s="85">
        <v>1</v>
      </c>
      <c r="E17" s="85">
        <v>1025</v>
      </c>
      <c r="F17" s="86">
        <f>D17*E17*C17</f>
        <v>1025</v>
      </c>
      <c r="G17" s="86">
        <f t="shared" ref="G17:G19" si="1">F17*12</f>
        <v>12300</v>
      </c>
    </row>
    <row r="18" spans="2:8" x14ac:dyDescent="0.25">
      <c r="B18" s="10" t="s">
        <v>88</v>
      </c>
      <c r="C18" s="4">
        <v>0</v>
      </c>
      <c r="D18" s="85">
        <v>0</v>
      </c>
      <c r="E18" s="85">
        <v>0</v>
      </c>
      <c r="F18" s="86">
        <f>D18*E18*C18</f>
        <v>0</v>
      </c>
      <c r="G18" s="86">
        <f t="shared" si="1"/>
        <v>0</v>
      </c>
    </row>
    <row r="19" spans="2:8" x14ac:dyDescent="0.25">
      <c r="B19" s="10" t="s">
        <v>88</v>
      </c>
      <c r="C19" s="4">
        <v>0</v>
      </c>
      <c r="D19" s="85">
        <v>0</v>
      </c>
      <c r="E19" s="85">
        <v>0</v>
      </c>
      <c r="F19" s="86">
        <f>D19*E19*C19</f>
        <v>0</v>
      </c>
      <c r="G19" s="86">
        <f t="shared" si="1"/>
        <v>0</v>
      </c>
    </row>
    <row r="20" spans="2:8" s="25" customFormat="1" ht="12.75" x14ac:dyDescent="0.2">
      <c r="B20" s="321" t="s">
        <v>28</v>
      </c>
      <c r="C20" s="322"/>
      <c r="D20" s="322"/>
      <c r="E20" s="323"/>
      <c r="F20" s="13">
        <f>F15+F7+F4+F13</f>
        <v>5575</v>
      </c>
      <c r="G20" s="13">
        <f>G15+G7+G4+G13</f>
        <v>66900</v>
      </c>
    </row>
    <row r="21" spans="2:8" x14ac:dyDescent="0.25">
      <c r="B21" s="48"/>
      <c r="C21" s="48"/>
      <c r="D21" s="48"/>
      <c r="E21" s="48"/>
      <c r="F21" s="48"/>
      <c r="G21" s="48"/>
      <c r="H21" s="48"/>
    </row>
    <row r="22" spans="2:8" x14ac:dyDescent="0.25">
      <c r="B22" s="326"/>
      <c r="C22" s="326"/>
      <c r="D22" s="326"/>
      <c r="E22" s="326"/>
      <c r="F22" s="326"/>
      <c r="G22" s="326"/>
      <c r="H22" s="48"/>
    </row>
    <row r="23" spans="2:8" x14ac:dyDescent="0.25">
      <c r="B23" s="326"/>
      <c r="C23" s="326"/>
      <c r="D23" s="326"/>
      <c r="E23" s="326"/>
      <c r="F23" s="326"/>
      <c r="G23" s="326"/>
      <c r="H23" s="48"/>
    </row>
    <row r="24" spans="2:8" x14ac:dyDescent="0.25">
      <c r="B24" s="48"/>
      <c r="C24" s="48"/>
      <c r="D24" s="48"/>
      <c r="E24" s="48"/>
      <c r="F24" s="48"/>
      <c r="G24" s="48"/>
      <c r="H24" s="48"/>
    </row>
    <row r="25" spans="2:8" x14ac:dyDescent="0.25">
      <c r="B25" s="48"/>
      <c r="C25" s="48"/>
      <c r="D25" s="48"/>
      <c r="E25" s="48"/>
      <c r="F25" s="48"/>
      <c r="G25" s="48"/>
      <c r="H25" s="48"/>
    </row>
    <row r="26" spans="2:8" x14ac:dyDescent="0.25">
      <c r="B26" s="48"/>
      <c r="C26" s="48"/>
      <c r="D26" s="48"/>
      <c r="E26" s="48"/>
      <c r="F26" s="48"/>
      <c r="G26" s="48"/>
      <c r="H26" s="48"/>
    </row>
    <row r="27" spans="2:8" x14ac:dyDescent="0.25">
      <c r="B27" s="48"/>
      <c r="C27" s="48"/>
      <c r="D27" s="48"/>
      <c r="E27" s="48"/>
      <c r="F27" s="48"/>
      <c r="G27" s="48"/>
      <c r="H27" s="48"/>
    </row>
    <row r="28" spans="2:8" x14ac:dyDescent="0.25">
      <c r="B28" s="48"/>
      <c r="C28" s="48"/>
      <c r="D28" s="48"/>
      <c r="E28" s="48"/>
      <c r="F28" s="48"/>
      <c r="G28" s="48"/>
      <c r="H28" s="48"/>
    </row>
  </sheetData>
  <mergeCells count="3">
    <mergeCell ref="B2:G2"/>
    <mergeCell ref="B20:E20"/>
    <mergeCell ref="B22:G23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73"/>
  <sheetViews>
    <sheetView topLeftCell="A10" workbookViewId="0">
      <selection activeCell="K39" sqref="K39"/>
    </sheetView>
  </sheetViews>
  <sheetFormatPr baseColWidth="10" defaultRowHeight="15" x14ac:dyDescent="0.25"/>
  <cols>
    <col min="1" max="1" width="2" style="18" customWidth="1"/>
    <col min="2" max="2" width="33.28515625" style="18" customWidth="1"/>
    <col min="3" max="3" width="10.140625" style="91" customWidth="1"/>
    <col min="4" max="4" width="12.140625" style="18" customWidth="1"/>
    <col min="5" max="5" width="5.28515625" style="154" customWidth="1"/>
    <col min="6" max="6" width="33.28515625" style="18" customWidth="1"/>
    <col min="7" max="7" width="12.5703125" style="18" customWidth="1"/>
    <col min="8" max="12" width="11.42578125" style="18"/>
    <col min="13" max="13" width="5.28515625" style="18" customWidth="1"/>
    <col min="14" max="256" width="11.42578125" style="18"/>
    <col min="257" max="257" width="2" style="18" customWidth="1"/>
    <col min="258" max="258" width="33.28515625" style="18" customWidth="1"/>
    <col min="259" max="259" width="10.140625" style="18" customWidth="1"/>
    <col min="260" max="260" width="12.140625" style="18" customWidth="1"/>
    <col min="261" max="261" width="5.28515625" style="18" customWidth="1"/>
    <col min="262" max="262" width="33.28515625" style="18" customWidth="1"/>
    <col min="263" max="263" width="12.5703125" style="18" customWidth="1"/>
    <col min="264" max="268" width="11.42578125" style="18"/>
    <col min="269" max="269" width="5.28515625" style="18" customWidth="1"/>
    <col min="270" max="512" width="11.42578125" style="18"/>
    <col min="513" max="513" width="2" style="18" customWidth="1"/>
    <col min="514" max="514" width="33.28515625" style="18" customWidth="1"/>
    <col min="515" max="515" width="10.140625" style="18" customWidth="1"/>
    <col min="516" max="516" width="12.140625" style="18" customWidth="1"/>
    <col min="517" max="517" width="5.28515625" style="18" customWidth="1"/>
    <col min="518" max="518" width="33.28515625" style="18" customWidth="1"/>
    <col min="519" max="519" width="12.5703125" style="18" customWidth="1"/>
    <col min="520" max="524" width="11.42578125" style="18"/>
    <col min="525" max="525" width="5.28515625" style="18" customWidth="1"/>
    <col min="526" max="768" width="11.42578125" style="18"/>
    <col min="769" max="769" width="2" style="18" customWidth="1"/>
    <col min="770" max="770" width="33.28515625" style="18" customWidth="1"/>
    <col min="771" max="771" width="10.140625" style="18" customWidth="1"/>
    <col min="772" max="772" width="12.140625" style="18" customWidth="1"/>
    <col min="773" max="773" width="5.28515625" style="18" customWidth="1"/>
    <col min="774" max="774" width="33.28515625" style="18" customWidth="1"/>
    <col min="775" max="775" width="12.5703125" style="18" customWidth="1"/>
    <col min="776" max="780" width="11.42578125" style="18"/>
    <col min="781" max="781" width="5.28515625" style="18" customWidth="1"/>
    <col min="782" max="1024" width="11.42578125" style="18"/>
    <col min="1025" max="1025" width="2" style="18" customWidth="1"/>
    <col min="1026" max="1026" width="33.28515625" style="18" customWidth="1"/>
    <col min="1027" max="1027" width="10.140625" style="18" customWidth="1"/>
    <col min="1028" max="1028" width="12.140625" style="18" customWidth="1"/>
    <col min="1029" max="1029" width="5.28515625" style="18" customWidth="1"/>
    <col min="1030" max="1030" width="33.28515625" style="18" customWidth="1"/>
    <col min="1031" max="1031" width="12.5703125" style="18" customWidth="1"/>
    <col min="1032" max="1036" width="11.42578125" style="18"/>
    <col min="1037" max="1037" width="5.28515625" style="18" customWidth="1"/>
    <col min="1038" max="1280" width="11.42578125" style="18"/>
    <col min="1281" max="1281" width="2" style="18" customWidth="1"/>
    <col min="1282" max="1282" width="33.28515625" style="18" customWidth="1"/>
    <col min="1283" max="1283" width="10.140625" style="18" customWidth="1"/>
    <col min="1284" max="1284" width="12.140625" style="18" customWidth="1"/>
    <col min="1285" max="1285" width="5.28515625" style="18" customWidth="1"/>
    <col min="1286" max="1286" width="33.28515625" style="18" customWidth="1"/>
    <col min="1287" max="1287" width="12.5703125" style="18" customWidth="1"/>
    <col min="1288" max="1292" width="11.42578125" style="18"/>
    <col min="1293" max="1293" width="5.28515625" style="18" customWidth="1"/>
    <col min="1294" max="1536" width="11.42578125" style="18"/>
    <col min="1537" max="1537" width="2" style="18" customWidth="1"/>
    <col min="1538" max="1538" width="33.28515625" style="18" customWidth="1"/>
    <col min="1539" max="1539" width="10.140625" style="18" customWidth="1"/>
    <col min="1540" max="1540" width="12.140625" style="18" customWidth="1"/>
    <col min="1541" max="1541" width="5.28515625" style="18" customWidth="1"/>
    <col min="1542" max="1542" width="33.28515625" style="18" customWidth="1"/>
    <col min="1543" max="1543" width="12.5703125" style="18" customWidth="1"/>
    <col min="1544" max="1548" width="11.42578125" style="18"/>
    <col min="1549" max="1549" width="5.28515625" style="18" customWidth="1"/>
    <col min="1550" max="1792" width="11.42578125" style="18"/>
    <col min="1793" max="1793" width="2" style="18" customWidth="1"/>
    <col min="1794" max="1794" width="33.28515625" style="18" customWidth="1"/>
    <col min="1795" max="1795" width="10.140625" style="18" customWidth="1"/>
    <col min="1796" max="1796" width="12.140625" style="18" customWidth="1"/>
    <col min="1797" max="1797" width="5.28515625" style="18" customWidth="1"/>
    <col min="1798" max="1798" width="33.28515625" style="18" customWidth="1"/>
    <col min="1799" max="1799" width="12.5703125" style="18" customWidth="1"/>
    <col min="1800" max="1804" width="11.42578125" style="18"/>
    <col min="1805" max="1805" width="5.28515625" style="18" customWidth="1"/>
    <col min="1806" max="2048" width="11.42578125" style="18"/>
    <col min="2049" max="2049" width="2" style="18" customWidth="1"/>
    <col min="2050" max="2050" width="33.28515625" style="18" customWidth="1"/>
    <col min="2051" max="2051" width="10.140625" style="18" customWidth="1"/>
    <col min="2052" max="2052" width="12.140625" style="18" customWidth="1"/>
    <col min="2053" max="2053" width="5.28515625" style="18" customWidth="1"/>
    <col min="2054" max="2054" width="33.28515625" style="18" customWidth="1"/>
    <col min="2055" max="2055" width="12.5703125" style="18" customWidth="1"/>
    <col min="2056" max="2060" width="11.42578125" style="18"/>
    <col min="2061" max="2061" width="5.28515625" style="18" customWidth="1"/>
    <col min="2062" max="2304" width="11.42578125" style="18"/>
    <col min="2305" max="2305" width="2" style="18" customWidth="1"/>
    <col min="2306" max="2306" width="33.28515625" style="18" customWidth="1"/>
    <col min="2307" max="2307" width="10.140625" style="18" customWidth="1"/>
    <col min="2308" max="2308" width="12.140625" style="18" customWidth="1"/>
    <col min="2309" max="2309" width="5.28515625" style="18" customWidth="1"/>
    <col min="2310" max="2310" width="33.28515625" style="18" customWidth="1"/>
    <col min="2311" max="2311" width="12.5703125" style="18" customWidth="1"/>
    <col min="2312" max="2316" width="11.42578125" style="18"/>
    <col min="2317" max="2317" width="5.28515625" style="18" customWidth="1"/>
    <col min="2318" max="2560" width="11.42578125" style="18"/>
    <col min="2561" max="2561" width="2" style="18" customWidth="1"/>
    <col min="2562" max="2562" width="33.28515625" style="18" customWidth="1"/>
    <col min="2563" max="2563" width="10.140625" style="18" customWidth="1"/>
    <col min="2564" max="2564" width="12.140625" style="18" customWidth="1"/>
    <col min="2565" max="2565" width="5.28515625" style="18" customWidth="1"/>
    <col min="2566" max="2566" width="33.28515625" style="18" customWidth="1"/>
    <col min="2567" max="2567" width="12.5703125" style="18" customWidth="1"/>
    <col min="2568" max="2572" width="11.42578125" style="18"/>
    <col min="2573" max="2573" width="5.28515625" style="18" customWidth="1"/>
    <col min="2574" max="2816" width="11.42578125" style="18"/>
    <col min="2817" max="2817" width="2" style="18" customWidth="1"/>
    <col min="2818" max="2818" width="33.28515625" style="18" customWidth="1"/>
    <col min="2819" max="2819" width="10.140625" style="18" customWidth="1"/>
    <col min="2820" max="2820" width="12.140625" style="18" customWidth="1"/>
    <col min="2821" max="2821" width="5.28515625" style="18" customWidth="1"/>
    <col min="2822" max="2822" width="33.28515625" style="18" customWidth="1"/>
    <col min="2823" max="2823" width="12.5703125" style="18" customWidth="1"/>
    <col min="2824" max="2828" width="11.42578125" style="18"/>
    <col min="2829" max="2829" width="5.28515625" style="18" customWidth="1"/>
    <col min="2830" max="3072" width="11.42578125" style="18"/>
    <col min="3073" max="3073" width="2" style="18" customWidth="1"/>
    <col min="3074" max="3074" width="33.28515625" style="18" customWidth="1"/>
    <col min="3075" max="3075" width="10.140625" style="18" customWidth="1"/>
    <col min="3076" max="3076" width="12.140625" style="18" customWidth="1"/>
    <col min="3077" max="3077" width="5.28515625" style="18" customWidth="1"/>
    <col min="3078" max="3078" width="33.28515625" style="18" customWidth="1"/>
    <col min="3079" max="3079" width="12.5703125" style="18" customWidth="1"/>
    <col min="3080" max="3084" width="11.42578125" style="18"/>
    <col min="3085" max="3085" width="5.28515625" style="18" customWidth="1"/>
    <col min="3086" max="3328" width="11.42578125" style="18"/>
    <col min="3329" max="3329" width="2" style="18" customWidth="1"/>
    <col min="3330" max="3330" width="33.28515625" style="18" customWidth="1"/>
    <col min="3331" max="3331" width="10.140625" style="18" customWidth="1"/>
    <col min="3332" max="3332" width="12.140625" style="18" customWidth="1"/>
    <col min="3333" max="3333" width="5.28515625" style="18" customWidth="1"/>
    <col min="3334" max="3334" width="33.28515625" style="18" customWidth="1"/>
    <col min="3335" max="3335" width="12.5703125" style="18" customWidth="1"/>
    <col min="3336" max="3340" width="11.42578125" style="18"/>
    <col min="3341" max="3341" width="5.28515625" style="18" customWidth="1"/>
    <col min="3342" max="3584" width="11.42578125" style="18"/>
    <col min="3585" max="3585" width="2" style="18" customWidth="1"/>
    <col min="3586" max="3586" width="33.28515625" style="18" customWidth="1"/>
    <col min="3587" max="3587" width="10.140625" style="18" customWidth="1"/>
    <col min="3588" max="3588" width="12.140625" style="18" customWidth="1"/>
    <col min="3589" max="3589" width="5.28515625" style="18" customWidth="1"/>
    <col min="3590" max="3590" width="33.28515625" style="18" customWidth="1"/>
    <col min="3591" max="3591" width="12.5703125" style="18" customWidth="1"/>
    <col min="3592" max="3596" width="11.42578125" style="18"/>
    <col min="3597" max="3597" width="5.28515625" style="18" customWidth="1"/>
    <col min="3598" max="3840" width="11.42578125" style="18"/>
    <col min="3841" max="3841" width="2" style="18" customWidth="1"/>
    <col min="3842" max="3842" width="33.28515625" style="18" customWidth="1"/>
    <col min="3843" max="3843" width="10.140625" style="18" customWidth="1"/>
    <col min="3844" max="3844" width="12.140625" style="18" customWidth="1"/>
    <col min="3845" max="3845" width="5.28515625" style="18" customWidth="1"/>
    <col min="3846" max="3846" width="33.28515625" style="18" customWidth="1"/>
    <col min="3847" max="3847" width="12.5703125" style="18" customWidth="1"/>
    <col min="3848" max="3852" width="11.42578125" style="18"/>
    <col min="3853" max="3853" width="5.28515625" style="18" customWidth="1"/>
    <col min="3854" max="4096" width="11.42578125" style="18"/>
    <col min="4097" max="4097" width="2" style="18" customWidth="1"/>
    <col min="4098" max="4098" width="33.28515625" style="18" customWidth="1"/>
    <col min="4099" max="4099" width="10.140625" style="18" customWidth="1"/>
    <col min="4100" max="4100" width="12.140625" style="18" customWidth="1"/>
    <col min="4101" max="4101" width="5.28515625" style="18" customWidth="1"/>
    <col min="4102" max="4102" width="33.28515625" style="18" customWidth="1"/>
    <col min="4103" max="4103" width="12.5703125" style="18" customWidth="1"/>
    <col min="4104" max="4108" width="11.42578125" style="18"/>
    <col min="4109" max="4109" width="5.28515625" style="18" customWidth="1"/>
    <col min="4110" max="4352" width="11.42578125" style="18"/>
    <col min="4353" max="4353" width="2" style="18" customWidth="1"/>
    <col min="4354" max="4354" width="33.28515625" style="18" customWidth="1"/>
    <col min="4355" max="4355" width="10.140625" style="18" customWidth="1"/>
    <col min="4356" max="4356" width="12.140625" style="18" customWidth="1"/>
    <col min="4357" max="4357" width="5.28515625" style="18" customWidth="1"/>
    <col min="4358" max="4358" width="33.28515625" style="18" customWidth="1"/>
    <col min="4359" max="4359" width="12.5703125" style="18" customWidth="1"/>
    <col min="4360" max="4364" width="11.42578125" style="18"/>
    <col min="4365" max="4365" width="5.28515625" style="18" customWidth="1"/>
    <col min="4366" max="4608" width="11.42578125" style="18"/>
    <col min="4609" max="4609" width="2" style="18" customWidth="1"/>
    <col min="4610" max="4610" width="33.28515625" style="18" customWidth="1"/>
    <col min="4611" max="4611" width="10.140625" style="18" customWidth="1"/>
    <col min="4612" max="4612" width="12.140625" style="18" customWidth="1"/>
    <col min="4613" max="4613" width="5.28515625" style="18" customWidth="1"/>
    <col min="4614" max="4614" width="33.28515625" style="18" customWidth="1"/>
    <col min="4615" max="4615" width="12.5703125" style="18" customWidth="1"/>
    <col min="4616" max="4620" width="11.42578125" style="18"/>
    <col min="4621" max="4621" width="5.28515625" style="18" customWidth="1"/>
    <col min="4622" max="4864" width="11.42578125" style="18"/>
    <col min="4865" max="4865" width="2" style="18" customWidth="1"/>
    <col min="4866" max="4866" width="33.28515625" style="18" customWidth="1"/>
    <col min="4867" max="4867" width="10.140625" style="18" customWidth="1"/>
    <col min="4868" max="4868" width="12.140625" style="18" customWidth="1"/>
    <col min="4869" max="4869" width="5.28515625" style="18" customWidth="1"/>
    <col min="4870" max="4870" width="33.28515625" style="18" customWidth="1"/>
    <col min="4871" max="4871" width="12.5703125" style="18" customWidth="1"/>
    <col min="4872" max="4876" width="11.42578125" style="18"/>
    <col min="4877" max="4877" width="5.28515625" style="18" customWidth="1"/>
    <col min="4878" max="5120" width="11.42578125" style="18"/>
    <col min="5121" max="5121" width="2" style="18" customWidth="1"/>
    <col min="5122" max="5122" width="33.28515625" style="18" customWidth="1"/>
    <col min="5123" max="5123" width="10.140625" style="18" customWidth="1"/>
    <col min="5124" max="5124" width="12.140625" style="18" customWidth="1"/>
    <col min="5125" max="5125" width="5.28515625" style="18" customWidth="1"/>
    <col min="5126" max="5126" width="33.28515625" style="18" customWidth="1"/>
    <col min="5127" max="5127" width="12.5703125" style="18" customWidth="1"/>
    <col min="5128" max="5132" width="11.42578125" style="18"/>
    <col min="5133" max="5133" width="5.28515625" style="18" customWidth="1"/>
    <col min="5134" max="5376" width="11.42578125" style="18"/>
    <col min="5377" max="5377" width="2" style="18" customWidth="1"/>
    <col min="5378" max="5378" width="33.28515625" style="18" customWidth="1"/>
    <col min="5379" max="5379" width="10.140625" style="18" customWidth="1"/>
    <col min="5380" max="5380" width="12.140625" style="18" customWidth="1"/>
    <col min="5381" max="5381" width="5.28515625" style="18" customWidth="1"/>
    <col min="5382" max="5382" width="33.28515625" style="18" customWidth="1"/>
    <col min="5383" max="5383" width="12.5703125" style="18" customWidth="1"/>
    <col min="5384" max="5388" width="11.42578125" style="18"/>
    <col min="5389" max="5389" width="5.28515625" style="18" customWidth="1"/>
    <col min="5390" max="5632" width="11.42578125" style="18"/>
    <col min="5633" max="5633" width="2" style="18" customWidth="1"/>
    <col min="5634" max="5634" width="33.28515625" style="18" customWidth="1"/>
    <col min="5635" max="5635" width="10.140625" style="18" customWidth="1"/>
    <col min="5636" max="5636" width="12.140625" style="18" customWidth="1"/>
    <col min="5637" max="5637" width="5.28515625" style="18" customWidth="1"/>
    <col min="5638" max="5638" width="33.28515625" style="18" customWidth="1"/>
    <col min="5639" max="5639" width="12.5703125" style="18" customWidth="1"/>
    <col min="5640" max="5644" width="11.42578125" style="18"/>
    <col min="5645" max="5645" width="5.28515625" style="18" customWidth="1"/>
    <col min="5646" max="5888" width="11.42578125" style="18"/>
    <col min="5889" max="5889" width="2" style="18" customWidth="1"/>
    <col min="5890" max="5890" width="33.28515625" style="18" customWidth="1"/>
    <col min="5891" max="5891" width="10.140625" style="18" customWidth="1"/>
    <col min="5892" max="5892" width="12.140625" style="18" customWidth="1"/>
    <col min="5893" max="5893" width="5.28515625" style="18" customWidth="1"/>
    <col min="5894" max="5894" width="33.28515625" style="18" customWidth="1"/>
    <col min="5895" max="5895" width="12.5703125" style="18" customWidth="1"/>
    <col min="5896" max="5900" width="11.42578125" style="18"/>
    <col min="5901" max="5901" width="5.28515625" style="18" customWidth="1"/>
    <col min="5902" max="6144" width="11.42578125" style="18"/>
    <col min="6145" max="6145" width="2" style="18" customWidth="1"/>
    <col min="6146" max="6146" width="33.28515625" style="18" customWidth="1"/>
    <col min="6147" max="6147" width="10.140625" style="18" customWidth="1"/>
    <col min="6148" max="6148" width="12.140625" style="18" customWidth="1"/>
    <col min="6149" max="6149" width="5.28515625" style="18" customWidth="1"/>
    <col min="6150" max="6150" width="33.28515625" style="18" customWidth="1"/>
    <col min="6151" max="6151" width="12.5703125" style="18" customWidth="1"/>
    <col min="6152" max="6156" width="11.42578125" style="18"/>
    <col min="6157" max="6157" width="5.28515625" style="18" customWidth="1"/>
    <col min="6158" max="6400" width="11.42578125" style="18"/>
    <col min="6401" max="6401" width="2" style="18" customWidth="1"/>
    <col min="6402" max="6402" width="33.28515625" style="18" customWidth="1"/>
    <col min="6403" max="6403" width="10.140625" style="18" customWidth="1"/>
    <col min="6404" max="6404" width="12.140625" style="18" customWidth="1"/>
    <col min="6405" max="6405" width="5.28515625" style="18" customWidth="1"/>
    <col min="6406" max="6406" width="33.28515625" style="18" customWidth="1"/>
    <col min="6407" max="6407" width="12.5703125" style="18" customWidth="1"/>
    <col min="6408" max="6412" width="11.42578125" style="18"/>
    <col min="6413" max="6413" width="5.28515625" style="18" customWidth="1"/>
    <col min="6414" max="6656" width="11.42578125" style="18"/>
    <col min="6657" max="6657" width="2" style="18" customWidth="1"/>
    <col min="6658" max="6658" width="33.28515625" style="18" customWidth="1"/>
    <col min="6659" max="6659" width="10.140625" style="18" customWidth="1"/>
    <col min="6660" max="6660" width="12.140625" style="18" customWidth="1"/>
    <col min="6661" max="6661" width="5.28515625" style="18" customWidth="1"/>
    <col min="6662" max="6662" width="33.28515625" style="18" customWidth="1"/>
    <col min="6663" max="6663" width="12.5703125" style="18" customWidth="1"/>
    <col min="6664" max="6668" width="11.42578125" style="18"/>
    <col min="6669" max="6669" width="5.28515625" style="18" customWidth="1"/>
    <col min="6670" max="6912" width="11.42578125" style="18"/>
    <col min="6913" max="6913" width="2" style="18" customWidth="1"/>
    <col min="6914" max="6914" width="33.28515625" style="18" customWidth="1"/>
    <col min="6915" max="6915" width="10.140625" style="18" customWidth="1"/>
    <col min="6916" max="6916" width="12.140625" style="18" customWidth="1"/>
    <col min="6917" max="6917" width="5.28515625" style="18" customWidth="1"/>
    <col min="6918" max="6918" width="33.28515625" style="18" customWidth="1"/>
    <col min="6919" max="6919" width="12.5703125" style="18" customWidth="1"/>
    <col min="6920" max="6924" width="11.42578125" style="18"/>
    <col min="6925" max="6925" width="5.28515625" style="18" customWidth="1"/>
    <col min="6926" max="7168" width="11.42578125" style="18"/>
    <col min="7169" max="7169" width="2" style="18" customWidth="1"/>
    <col min="7170" max="7170" width="33.28515625" style="18" customWidth="1"/>
    <col min="7171" max="7171" width="10.140625" style="18" customWidth="1"/>
    <col min="7172" max="7172" width="12.140625" style="18" customWidth="1"/>
    <col min="7173" max="7173" width="5.28515625" style="18" customWidth="1"/>
    <col min="7174" max="7174" width="33.28515625" style="18" customWidth="1"/>
    <col min="7175" max="7175" width="12.5703125" style="18" customWidth="1"/>
    <col min="7176" max="7180" width="11.42578125" style="18"/>
    <col min="7181" max="7181" width="5.28515625" style="18" customWidth="1"/>
    <col min="7182" max="7424" width="11.42578125" style="18"/>
    <col min="7425" max="7425" width="2" style="18" customWidth="1"/>
    <col min="7426" max="7426" width="33.28515625" style="18" customWidth="1"/>
    <col min="7427" max="7427" width="10.140625" style="18" customWidth="1"/>
    <col min="7428" max="7428" width="12.140625" style="18" customWidth="1"/>
    <col min="7429" max="7429" width="5.28515625" style="18" customWidth="1"/>
    <col min="7430" max="7430" width="33.28515625" style="18" customWidth="1"/>
    <col min="7431" max="7431" width="12.5703125" style="18" customWidth="1"/>
    <col min="7432" max="7436" width="11.42578125" style="18"/>
    <col min="7437" max="7437" width="5.28515625" style="18" customWidth="1"/>
    <col min="7438" max="7680" width="11.42578125" style="18"/>
    <col min="7681" max="7681" width="2" style="18" customWidth="1"/>
    <col min="7682" max="7682" width="33.28515625" style="18" customWidth="1"/>
    <col min="7683" max="7683" width="10.140625" style="18" customWidth="1"/>
    <col min="7684" max="7684" width="12.140625" style="18" customWidth="1"/>
    <col min="7685" max="7685" width="5.28515625" style="18" customWidth="1"/>
    <col min="7686" max="7686" width="33.28515625" style="18" customWidth="1"/>
    <col min="7687" max="7687" width="12.5703125" style="18" customWidth="1"/>
    <col min="7688" max="7692" width="11.42578125" style="18"/>
    <col min="7693" max="7693" width="5.28515625" style="18" customWidth="1"/>
    <col min="7694" max="7936" width="11.42578125" style="18"/>
    <col min="7937" max="7937" width="2" style="18" customWidth="1"/>
    <col min="7938" max="7938" width="33.28515625" style="18" customWidth="1"/>
    <col min="7939" max="7939" width="10.140625" style="18" customWidth="1"/>
    <col min="7940" max="7940" width="12.140625" style="18" customWidth="1"/>
    <col min="7941" max="7941" width="5.28515625" style="18" customWidth="1"/>
    <col min="7942" max="7942" width="33.28515625" style="18" customWidth="1"/>
    <col min="7943" max="7943" width="12.5703125" style="18" customWidth="1"/>
    <col min="7944" max="7948" width="11.42578125" style="18"/>
    <col min="7949" max="7949" width="5.28515625" style="18" customWidth="1"/>
    <col min="7950" max="8192" width="11.42578125" style="18"/>
    <col min="8193" max="8193" width="2" style="18" customWidth="1"/>
    <col min="8194" max="8194" width="33.28515625" style="18" customWidth="1"/>
    <col min="8195" max="8195" width="10.140625" style="18" customWidth="1"/>
    <col min="8196" max="8196" width="12.140625" style="18" customWidth="1"/>
    <col min="8197" max="8197" width="5.28515625" style="18" customWidth="1"/>
    <col min="8198" max="8198" width="33.28515625" style="18" customWidth="1"/>
    <col min="8199" max="8199" width="12.5703125" style="18" customWidth="1"/>
    <col min="8200" max="8204" width="11.42578125" style="18"/>
    <col min="8205" max="8205" width="5.28515625" style="18" customWidth="1"/>
    <col min="8206" max="8448" width="11.42578125" style="18"/>
    <col min="8449" max="8449" width="2" style="18" customWidth="1"/>
    <col min="8450" max="8450" width="33.28515625" style="18" customWidth="1"/>
    <col min="8451" max="8451" width="10.140625" style="18" customWidth="1"/>
    <col min="8452" max="8452" width="12.140625" style="18" customWidth="1"/>
    <col min="8453" max="8453" width="5.28515625" style="18" customWidth="1"/>
    <col min="8454" max="8454" width="33.28515625" style="18" customWidth="1"/>
    <col min="8455" max="8455" width="12.5703125" style="18" customWidth="1"/>
    <col min="8456" max="8460" width="11.42578125" style="18"/>
    <col min="8461" max="8461" width="5.28515625" style="18" customWidth="1"/>
    <col min="8462" max="8704" width="11.42578125" style="18"/>
    <col min="8705" max="8705" width="2" style="18" customWidth="1"/>
    <col min="8706" max="8706" width="33.28515625" style="18" customWidth="1"/>
    <col min="8707" max="8707" width="10.140625" style="18" customWidth="1"/>
    <col min="8708" max="8708" width="12.140625" style="18" customWidth="1"/>
    <col min="8709" max="8709" width="5.28515625" style="18" customWidth="1"/>
    <col min="8710" max="8710" width="33.28515625" style="18" customWidth="1"/>
    <col min="8711" max="8711" width="12.5703125" style="18" customWidth="1"/>
    <col min="8712" max="8716" width="11.42578125" style="18"/>
    <col min="8717" max="8717" width="5.28515625" style="18" customWidth="1"/>
    <col min="8718" max="8960" width="11.42578125" style="18"/>
    <col min="8961" max="8961" width="2" style="18" customWidth="1"/>
    <col min="8962" max="8962" width="33.28515625" style="18" customWidth="1"/>
    <col min="8963" max="8963" width="10.140625" style="18" customWidth="1"/>
    <col min="8964" max="8964" width="12.140625" style="18" customWidth="1"/>
    <col min="8965" max="8965" width="5.28515625" style="18" customWidth="1"/>
    <col min="8966" max="8966" width="33.28515625" style="18" customWidth="1"/>
    <col min="8967" max="8967" width="12.5703125" style="18" customWidth="1"/>
    <col min="8968" max="8972" width="11.42578125" style="18"/>
    <col min="8973" max="8973" width="5.28515625" style="18" customWidth="1"/>
    <col min="8974" max="9216" width="11.42578125" style="18"/>
    <col min="9217" max="9217" width="2" style="18" customWidth="1"/>
    <col min="9218" max="9218" width="33.28515625" style="18" customWidth="1"/>
    <col min="9219" max="9219" width="10.140625" style="18" customWidth="1"/>
    <col min="9220" max="9220" width="12.140625" style="18" customWidth="1"/>
    <col min="9221" max="9221" width="5.28515625" style="18" customWidth="1"/>
    <col min="9222" max="9222" width="33.28515625" style="18" customWidth="1"/>
    <col min="9223" max="9223" width="12.5703125" style="18" customWidth="1"/>
    <col min="9224" max="9228" width="11.42578125" style="18"/>
    <col min="9229" max="9229" width="5.28515625" style="18" customWidth="1"/>
    <col min="9230" max="9472" width="11.42578125" style="18"/>
    <col min="9473" max="9473" width="2" style="18" customWidth="1"/>
    <col min="9474" max="9474" width="33.28515625" style="18" customWidth="1"/>
    <col min="9475" max="9475" width="10.140625" style="18" customWidth="1"/>
    <col min="9476" max="9476" width="12.140625" style="18" customWidth="1"/>
    <col min="9477" max="9477" width="5.28515625" style="18" customWidth="1"/>
    <col min="9478" max="9478" width="33.28515625" style="18" customWidth="1"/>
    <col min="9479" max="9479" width="12.5703125" style="18" customWidth="1"/>
    <col min="9480" max="9484" width="11.42578125" style="18"/>
    <col min="9485" max="9485" width="5.28515625" style="18" customWidth="1"/>
    <col min="9486" max="9728" width="11.42578125" style="18"/>
    <col min="9729" max="9729" width="2" style="18" customWidth="1"/>
    <col min="9730" max="9730" width="33.28515625" style="18" customWidth="1"/>
    <col min="9731" max="9731" width="10.140625" style="18" customWidth="1"/>
    <col min="9732" max="9732" width="12.140625" style="18" customWidth="1"/>
    <col min="9733" max="9733" width="5.28515625" style="18" customWidth="1"/>
    <col min="9734" max="9734" width="33.28515625" style="18" customWidth="1"/>
    <col min="9735" max="9735" width="12.5703125" style="18" customWidth="1"/>
    <col min="9736" max="9740" width="11.42578125" style="18"/>
    <col min="9741" max="9741" width="5.28515625" style="18" customWidth="1"/>
    <col min="9742" max="9984" width="11.42578125" style="18"/>
    <col min="9985" max="9985" width="2" style="18" customWidth="1"/>
    <col min="9986" max="9986" width="33.28515625" style="18" customWidth="1"/>
    <col min="9987" max="9987" width="10.140625" style="18" customWidth="1"/>
    <col min="9988" max="9988" width="12.140625" style="18" customWidth="1"/>
    <col min="9989" max="9989" width="5.28515625" style="18" customWidth="1"/>
    <col min="9990" max="9990" width="33.28515625" style="18" customWidth="1"/>
    <col min="9991" max="9991" width="12.5703125" style="18" customWidth="1"/>
    <col min="9992" max="9996" width="11.42578125" style="18"/>
    <col min="9997" max="9997" width="5.28515625" style="18" customWidth="1"/>
    <col min="9998" max="10240" width="11.42578125" style="18"/>
    <col min="10241" max="10241" width="2" style="18" customWidth="1"/>
    <col min="10242" max="10242" width="33.28515625" style="18" customWidth="1"/>
    <col min="10243" max="10243" width="10.140625" style="18" customWidth="1"/>
    <col min="10244" max="10244" width="12.140625" style="18" customWidth="1"/>
    <col min="10245" max="10245" width="5.28515625" style="18" customWidth="1"/>
    <col min="10246" max="10246" width="33.28515625" style="18" customWidth="1"/>
    <col min="10247" max="10247" width="12.5703125" style="18" customWidth="1"/>
    <col min="10248" max="10252" width="11.42578125" style="18"/>
    <col min="10253" max="10253" width="5.28515625" style="18" customWidth="1"/>
    <col min="10254" max="10496" width="11.42578125" style="18"/>
    <col min="10497" max="10497" width="2" style="18" customWidth="1"/>
    <col min="10498" max="10498" width="33.28515625" style="18" customWidth="1"/>
    <col min="10499" max="10499" width="10.140625" style="18" customWidth="1"/>
    <col min="10500" max="10500" width="12.140625" style="18" customWidth="1"/>
    <col min="10501" max="10501" width="5.28515625" style="18" customWidth="1"/>
    <col min="10502" max="10502" width="33.28515625" style="18" customWidth="1"/>
    <col min="10503" max="10503" width="12.5703125" style="18" customWidth="1"/>
    <col min="10504" max="10508" width="11.42578125" style="18"/>
    <col min="10509" max="10509" width="5.28515625" style="18" customWidth="1"/>
    <col min="10510" max="10752" width="11.42578125" style="18"/>
    <col min="10753" max="10753" width="2" style="18" customWidth="1"/>
    <col min="10754" max="10754" width="33.28515625" style="18" customWidth="1"/>
    <col min="10755" max="10755" width="10.140625" style="18" customWidth="1"/>
    <col min="10756" max="10756" width="12.140625" style="18" customWidth="1"/>
    <col min="10757" max="10757" width="5.28515625" style="18" customWidth="1"/>
    <col min="10758" max="10758" width="33.28515625" style="18" customWidth="1"/>
    <col min="10759" max="10759" width="12.5703125" style="18" customWidth="1"/>
    <col min="10760" max="10764" width="11.42578125" style="18"/>
    <col min="10765" max="10765" width="5.28515625" style="18" customWidth="1"/>
    <col min="10766" max="11008" width="11.42578125" style="18"/>
    <col min="11009" max="11009" width="2" style="18" customWidth="1"/>
    <col min="11010" max="11010" width="33.28515625" style="18" customWidth="1"/>
    <col min="11011" max="11011" width="10.140625" style="18" customWidth="1"/>
    <col min="11012" max="11012" width="12.140625" style="18" customWidth="1"/>
    <col min="11013" max="11013" width="5.28515625" style="18" customWidth="1"/>
    <col min="11014" max="11014" width="33.28515625" style="18" customWidth="1"/>
    <col min="11015" max="11015" width="12.5703125" style="18" customWidth="1"/>
    <col min="11016" max="11020" width="11.42578125" style="18"/>
    <col min="11021" max="11021" width="5.28515625" style="18" customWidth="1"/>
    <col min="11022" max="11264" width="11.42578125" style="18"/>
    <col min="11265" max="11265" width="2" style="18" customWidth="1"/>
    <col min="11266" max="11266" width="33.28515625" style="18" customWidth="1"/>
    <col min="11267" max="11267" width="10.140625" style="18" customWidth="1"/>
    <col min="11268" max="11268" width="12.140625" style="18" customWidth="1"/>
    <col min="11269" max="11269" width="5.28515625" style="18" customWidth="1"/>
    <col min="11270" max="11270" width="33.28515625" style="18" customWidth="1"/>
    <col min="11271" max="11271" width="12.5703125" style="18" customWidth="1"/>
    <col min="11272" max="11276" width="11.42578125" style="18"/>
    <col min="11277" max="11277" width="5.28515625" style="18" customWidth="1"/>
    <col min="11278" max="11520" width="11.42578125" style="18"/>
    <col min="11521" max="11521" width="2" style="18" customWidth="1"/>
    <col min="11522" max="11522" width="33.28515625" style="18" customWidth="1"/>
    <col min="11523" max="11523" width="10.140625" style="18" customWidth="1"/>
    <col min="11524" max="11524" width="12.140625" style="18" customWidth="1"/>
    <col min="11525" max="11525" width="5.28515625" style="18" customWidth="1"/>
    <col min="11526" max="11526" width="33.28515625" style="18" customWidth="1"/>
    <col min="11527" max="11527" width="12.5703125" style="18" customWidth="1"/>
    <col min="11528" max="11532" width="11.42578125" style="18"/>
    <col min="11533" max="11533" width="5.28515625" style="18" customWidth="1"/>
    <col min="11534" max="11776" width="11.42578125" style="18"/>
    <col min="11777" max="11777" width="2" style="18" customWidth="1"/>
    <col min="11778" max="11778" width="33.28515625" style="18" customWidth="1"/>
    <col min="11779" max="11779" width="10.140625" style="18" customWidth="1"/>
    <col min="11780" max="11780" width="12.140625" style="18" customWidth="1"/>
    <col min="11781" max="11781" width="5.28515625" style="18" customWidth="1"/>
    <col min="11782" max="11782" width="33.28515625" style="18" customWidth="1"/>
    <col min="11783" max="11783" width="12.5703125" style="18" customWidth="1"/>
    <col min="11784" max="11788" width="11.42578125" style="18"/>
    <col min="11789" max="11789" width="5.28515625" style="18" customWidth="1"/>
    <col min="11790" max="12032" width="11.42578125" style="18"/>
    <col min="12033" max="12033" width="2" style="18" customWidth="1"/>
    <col min="12034" max="12034" width="33.28515625" style="18" customWidth="1"/>
    <col min="12035" max="12035" width="10.140625" style="18" customWidth="1"/>
    <col min="12036" max="12036" width="12.140625" style="18" customWidth="1"/>
    <col min="12037" max="12037" width="5.28515625" style="18" customWidth="1"/>
    <col min="12038" max="12038" width="33.28515625" style="18" customWidth="1"/>
    <col min="12039" max="12039" width="12.5703125" style="18" customWidth="1"/>
    <col min="12040" max="12044" width="11.42578125" style="18"/>
    <col min="12045" max="12045" width="5.28515625" style="18" customWidth="1"/>
    <col min="12046" max="12288" width="11.42578125" style="18"/>
    <col min="12289" max="12289" width="2" style="18" customWidth="1"/>
    <col min="12290" max="12290" width="33.28515625" style="18" customWidth="1"/>
    <col min="12291" max="12291" width="10.140625" style="18" customWidth="1"/>
    <col min="12292" max="12292" width="12.140625" style="18" customWidth="1"/>
    <col min="12293" max="12293" width="5.28515625" style="18" customWidth="1"/>
    <col min="12294" max="12294" width="33.28515625" style="18" customWidth="1"/>
    <col min="12295" max="12295" width="12.5703125" style="18" customWidth="1"/>
    <col min="12296" max="12300" width="11.42578125" style="18"/>
    <col min="12301" max="12301" width="5.28515625" style="18" customWidth="1"/>
    <col min="12302" max="12544" width="11.42578125" style="18"/>
    <col min="12545" max="12545" width="2" style="18" customWidth="1"/>
    <col min="12546" max="12546" width="33.28515625" style="18" customWidth="1"/>
    <col min="12547" max="12547" width="10.140625" style="18" customWidth="1"/>
    <col min="12548" max="12548" width="12.140625" style="18" customWidth="1"/>
    <col min="12549" max="12549" width="5.28515625" style="18" customWidth="1"/>
    <col min="12550" max="12550" width="33.28515625" style="18" customWidth="1"/>
    <col min="12551" max="12551" width="12.5703125" style="18" customWidth="1"/>
    <col min="12552" max="12556" width="11.42578125" style="18"/>
    <col min="12557" max="12557" width="5.28515625" style="18" customWidth="1"/>
    <col min="12558" max="12800" width="11.42578125" style="18"/>
    <col min="12801" max="12801" width="2" style="18" customWidth="1"/>
    <col min="12802" max="12802" width="33.28515625" style="18" customWidth="1"/>
    <col min="12803" max="12803" width="10.140625" style="18" customWidth="1"/>
    <col min="12804" max="12804" width="12.140625" style="18" customWidth="1"/>
    <col min="12805" max="12805" width="5.28515625" style="18" customWidth="1"/>
    <col min="12806" max="12806" width="33.28515625" style="18" customWidth="1"/>
    <col min="12807" max="12807" width="12.5703125" style="18" customWidth="1"/>
    <col min="12808" max="12812" width="11.42578125" style="18"/>
    <col min="12813" max="12813" width="5.28515625" style="18" customWidth="1"/>
    <col min="12814" max="13056" width="11.42578125" style="18"/>
    <col min="13057" max="13057" width="2" style="18" customWidth="1"/>
    <col min="13058" max="13058" width="33.28515625" style="18" customWidth="1"/>
    <col min="13059" max="13059" width="10.140625" style="18" customWidth="1"/>
    <col min="13060" max="13060" width="12.140625" style="18" customWidth="1"/>
    <col min="13061" max="13061" width="5.28515625" style="18" customWidth="1"/>
    <col min="13062" max="13062" width="33.28515625" style="18" customWidth="1"/>
    <col min="13063" max="13063" width="12.5703125" style="18" customWidth="1"/>
    <col min="13064" max="13068" width="11.42578125" style="18"/>
    <col min="13069" max="13069" width="5.28515625" style="18" customWidth="1"/>
    <col min="13070" max="13312" width="11.42578125" style="18"/>
    <col min="13313" max="13313" width="2" style="18" customWidth="1"/>
    <col min="13314" max="13314" width="33.28515625" style="18" customWidth="1"/>
    <col min="13315" max="13315" width="10.140625" style="18" customWidth="1"/>
    <col min="13316" max="13316" width="12.140625" style="18" customWidth="1"/>
    <col min="13317" max="13317" width="5.28515625" style="18" customWidth="1"/>
    <col min="13318" max="13318" width="33.28515625" style="18" customWidth="1"/>
    <col min="13319" max="13319" width="12.5703125" style="18" customWidth="1"/>
    <col min="13320" max="13324" width="11.42578125" style="18"/>
    <col min="13325" max="13325" width="5.28515625" style="18" customWidth="1"/>
    <col min="13326" max="13568" width="11.42578125" style="18"/>
    <col min="13569" max="13569" width="2" style="18" customWidth="1"/>
    <col min="13570" max="13570" width="33.28515625" style="18" customWidth="1"/>
    <col min="13571" max="13571" width="10.140625" style="18" customWidth="1"/>
    <col min="13572" max="13572" width="12.140625" style="18" customWidth="1"/>
    <col min="13573" max="13573" width="5.28515625" style="18" customWidth="1"/>
    <col min="13574" max="13574" width="33.28515625" style="18" customWidth="1"/>
    <col min="13575" max="13575" width="12.5703125" style="18" customWidth="1"/>
    <col min="13576" max="13580" width="11.42578125" style="18"/>
    <col min="13581" max="13581" width="5.28515625" style="18" customWidth="1"/>
    <col min="13582" max="13824" width="11.42578125" style="18"/>
    <col min="13825" max="13825" width="2" style="18" customWidth="1"/>
    <col min="13826" max="13826" width="33.28515625" style="18" customWidth="1"/>
    <col min="13827" max="13827" width="10.140625" style="18" customWidth="1"/>
    <col min="13828" max="13828" width="12.140625" style="18" customWidth="1"/>
    <col min="13829" max="13829" width="5.28515625" style="18" customWidth="1"/>
    <col min="13830" max="13830" width="33.28515625" style="18" customWidth="1"/>
    <col min="13831" max="13831" width="12.5703125" style="18" customWidth="1"/>
    <col min="13832" max="13836" width="11.42578125" style="18"/>
    <col min="13837" max="13837" width="5.28515625" style="18" customWidth="1"/>
    <col min="13838" max="14080" width="11.42578125" style="18"/>
    <col min="14081" max="14081" width="2" style="18" customWidth="1"/>
    <col min="14082" max="14082" width="33.28515625" style="18" customWidth="1"/>
    <col min="14083" max="14083" width="10.140625" style="18" customWidth="1"/>
    <col min="14084" max="14084" width="12.140625" style="18" customWidth="1"/>
    <col min="14085" max="14085" width="5.28515625" style="18" customWidth="1"/>
    <col min="14086" max="14086" width="33.28515625" style="18" customWidth="1"/>
    <col min="14087" max="14087" width="12.5703125" style="18" customWidth="1"/>
    <col min="14088" max="14092" width="11.42578125" style="18"/>
    <col min="14093" max="14093" width="5.28515625" style="18" customWidth="1"/>
    <col min="14094" max="14336" width="11.42578125" style="18"/>
    <col min="14337" max="14337" width="2" style="18" customWidth="1"/>
    <col min="14338" max="14338" width="33.28515625" style="18" customWidth="1"/>
    <col min="14339" max="14339" width="10.140625" style="18" customWidth="1"/>
    <col min="14340" max="14340" width="12.140625" style="18" customWidth="1"/>
    <col min="14341" max="14341" width="5.28515625" style="18" customWidth="1"/>
    <col min="14342" max="14342" width="33.28515625" style="18" customWidth="1"/>
    <col min="14343" max="14343" width="12.5703125" style="18" customWidth="1"/>
    <col min="14344" max="14348" width="11.42578125" style="18"/>
    <col min="14349" max="14349" width="5.28515625" style="18" customWidth="1"/>
    <col min="14350" max="14592" width="11.42578125" style="18"/>
    <col min="14593" max="14593" width="2" style="18" customWidth="1"/>
    <col min="14594" max="14594" width="33.28515625" style="18" customWidth="1"/>
    <col min="14595" max="14595" width="10.140625" style="18" customWidth="1"/>
    <col min="14596" max="14596" width="12.140625" style="18" customWidth="1"/>
    <col min="14597" max="14597" width="5.28515625" style="18" customWidth="1"/>
    <col min="14598" max="14598" width="33.28515625" style="18" customWidth="1"/>
    <col min="14599" max="14599" width="12.5703125" style="18" customWidth="1"/>
    <col min="14600" max="14604" width="11.42578125" style="18"/>
    <col min="14605" max="14605" width="5.28515625" style="18" customWidth="1"/>
    <col min="14606" max="14848" width="11.42578125" style="18"/>
    <col min="14849" max="14849" width="2" style="18" customWidth="1"/>
    <col min="14850" max="14850" width="33.28515625" style="18" customWidth="1"/>
    <col min="14851" max="14851" width="10.140625" style="18" customWidth="1"/>
    <col min="14852" max="14852" width="12.140625" style="18" customWidth="1"/>
    <col min="14853" max="14853" width="5.28515625" style="18" customWidth="1"/>
    <col min="14854" max="14854" width="33.28515625" style="18" customWidth="1"/>
    <col min="14855" max="14855" width="12.5703125" style="18" customWidth="1"/>
    <col min="14856" max="14860" width="11.42578125" style="18"/>
    <col min="14861" max="14861" width="5.28515625" style="18" customWidth="1"/>
    <col min="14862" max="15104" width="11.42578125" style="18"/>
    <col min="15105" max="15105" width="2" style="18" customWidth="1"/>
    <col min="15106" max="15106" width="33.28515625" style="18" customWidth="1"/>
    <col min="15107" max="15107" width="10.140625" style="18" customWidth="1"/>
    <col min="15108" max="15108" width="12.140625" style="18" customWidth="1"/>
    <col min="15109" max="15109" width="5.28515625" style="18" customWidth="1"/>
    <col min="15110" max="15110" width="33.28515625" style="18" customWidth="1"/>
    <col min="15111" max="15111" width="12.5703125" style="18" customWidth="1"/>
    <col min="15112" max="15116" width="11.42578125" style="18"/>
    <col min="15117" max="15117" width="5.28515625" style="18" customWidth="1"/>
    <col min="15118" max="15360" width="11.42578125" style="18"/>
    <col min="15361" max="15361" width="2" style="18" customWidth="1"/>
    <col min="15362" max="15362" width="33.28515625" style="18" customWidth="1"/>
    <col min="15363" max="15363" width="10.140625" style="18" customWidth="1"/>
    <col min="15364" max="15364" width="12.140625" style="18" customWidth="1"/>
    <col min="15365" max="15365" width="5.28515625" style="18" customWidth="1"/>
    <col min="15366" max="15366" width="33.28515625" style="18" customWidth="1"/>
    <col min="15367" max="15367" width="12.5703125" style="18" customWidth="1"/>
    <col min="15368" max="15372" width="11.42578125" style="18"/>
    <col min="15373" max="15373" width="5.28515625" style="18" customWidth="1"/>
    <col min="15374" max="15616" width="11.42578125" style="18"/>
    <col min="15617" max="15617" width="2" style="18" customWidth="1"/>
    <col min="15618" max="15618" width="33.28515625" style="18" customWidth="1"/>
    <col min="15619" max="15619" width="10.140625" style="18" customWidth="1"/>
    <col min="15620" max="15620" width="12.140625" style="18" customWidth="1"/>
    <col min="15621" max="15621" width="5.28515625" style="18" customWidth="1"/>
    <col min="15622" max="15622" width="33.28515625" style="18" customWidth="1"/>
    <col min="15623" max="15623" width="12.5703125" style="18" customWidth="1"/>
    <col min="15624" max="15628" width="11.42578125" style="18"/>
    <col min="15629" max="15629" width="5.28515625" style="18" customWidth="1"/>
    <col min="15630" max="15872" width="11.42578125" style="18"/>
    <col min="15873" max="15873" width="2" style="18" customWidth="1"/>
    <col min="15874" max="15874" width="33.28515625" style="18" customWidth="1"/>
    <col min="15875" max="15875" width="10.140625" style="18" customWidth="1"/>
    <col min="15876" max="15876" width="12.140625" style="18" customWidth="1"/>
    <col min="15877" max="15877" width="5.28515625" style="18" customWidth="1"/>
    <col min="15878" max="15878" width="33.28515625" style="18" customWidth="1"/>
    <col min="15879" max="15879" width="12.5703125" style="18" customWidth="1"/>
    <col min="15880" max="15884" width="11.42578125" style="18"/>
    <col min="15885" max="15885" width="5.28515625" style="18" customWidth="1"/>
    <col min="15886" max="16128" width="11.42578125" style="18"/>
    <col min="16129" max="16129" width="2" style="18" customWidth="1"/>
    <col min="16130" max="16130" width="33.28515625" style="18" customWidth="1"/>
    <col min="16131" max="16131" width="10.140625" style="18" customWidth="1"/>
    <col min="16132" max="16132" width="12.140625" style="18" customWidth="1"/>
    <col min="16133" max="16133" width="5.28515625" style="18" customWidth="1"/>
    <col min="16134" max="16134" width="33.28515625" style="18" customWidth="1"/>
    <col min="16135" max="16135" width="12.5703125" style="18" customWidth="1"/>
    <col min="16136" max="16140" width="11.42578125" style="18"/>
    <col min="16141" max="16141" width="5.28515625" style="18" customWidth="1"/>
    <col min="16142" max="16384" width="11.42578125" style="18"/>
  </cols>
  <sheetData>
    <row r="2" spans="2:12" x14ac:dyDescent="0.25">
      <c r="B2" s="328" t="s">
        <v>32</v>
      </c>
      <c r="C2" s="328"/>
    </row>
    <row r="3" spans="2:12" x14ac:dyDescent="0.25">
      <c r="B3" s="155" t="s">
        <v>33</v>
      </c>
      <c r="C3" s="156">
        <v>3</v>
      </c>
      <c r="D3" s="14" t="s">
        <v>34</v>
      </c>
    </row>
    <row r="4" spans="2:12" x14ac:dyDescent="0.25">
      <c r="B4" s="155" t="s">
        <v>35</v>
      </c>
      <c r="C4" s="156">
        <v>30</v>
      </c>
      <c r="D4" s="14" t="s">
        <v>36</v>
      </c>
    </row>
    <row r="5" spans="2:12" x14ac:dyDescent="0.25">
      <c r="B5" s="155" t="s">
        <v>37</v>
      </c>
      <c r="C5" s="156">
        <v>0</v>
      </c>
      <c r="D5" s="14" t="s">
        <v>38</v>
      </c>
    </row>
    <row r="6" spans="2:12" x14ac:dyDescent="0.25">
      <c r="B6" s="155" t="s">
        <v>39</v>
      </c>
      <c r="C6" s="85">
        <f>C3+C4-C5</f>
        <v>33</v>
      </c>
      <c r="D6" s="14" t="s">
        <v>40</v>
      </c>
    </row>
    <row r="7" spans="2:12" x14ac:dyDescent="0.25">
      <c r="B7" s="155" t="s">
        <v>41</v>
      </c>
      <c r="C7" s="85">
        <f>C6/360</f>
        <v>9.166666666666666E-2</v>
      </c>
      <c r="D7" s="14" t="s">
        <v>133</v>
      </c>
    </row>
    <row r="9" spans="2:12" x14ac:dyDescent="0.25">
      <c r="B9" s="58"/>
      <c r="C9" s="75"/>
      <c r="D9" s="48"/>
      <c r="E9" s="157"/>
    </row>
    <row r="10" spans="2:12" x14ac:dyDescent="0.25">
      <c r="B10" s="329" t="s">
        <v>42</v>
      </c>
      <c r="C10" s="330"/>
      <c r="D10" s="331"/>
      <c r="E10" s="18"/>
      <c r="F10" s="332" t="s">
        <v>43</v>
      </c>
      <c r="G10" s="327" t="s">
        <v>44</v>
      </c>
      <c r="H10" s="327"/>
      <c r="I10" s="327"/>
      <c r="J10" s="327"/>
      <c r="K10" s="327"/>
      <c r="L10" s="327"/>
    </row>
    <row r="11" spans="2:12" ht="38.25" x14ac:dyDescent="0.25">
      <c r="B11" s="159" t="s">
        <v>43</v>
      </c>
      <c r="C11" s="160" t="s">
        <v>1</v>
      </c>
      <c r="D11" s="161" t="s">
        <v>45</v>
      </c>
      <c r="E11" s="18"/>
      <c r="F11" s="332"/>
      <c r="G11" s="162">
        <v>0</v>
      </c>
      <c r="H11" s="162">
        <v>1</v>
      </c>
      <c r="I11" s="162">
        <v>2</v>
      </c>
      <c r="J11" s="162">
        <v>3</v>
      </c>
      <c r="K11" s="162">
        <v>4</v>
      </c>
      <c r="L11" s="162">
        <v>5</v>
      </c>
    </row>
    <row r="12" spans="2:12" x14ac:dyDescent="0.25">
      <c r="B12" s="8" t="s">
        <v>46</v>
      </c>
      <c r="C12" s="37"/>
      <c r="D12" s="53">
        <f>SUM(D13:D15)</f>
        <v>0</v>
      </c>
      <c r="E12" s="18"/>
      <c r="F12" s="163" t="s">
        <v>47</v>
      </c>
      <c r="G12" s="164">
        <f t="shared" ref="G12:L12" si="0">SUM(G13:G15)</f>
        <v>0</v>
      </c>
      <c r="H12" s="164">
        <f t="shared" si="0"/>
        <v>0</v>
      </c>
      <c r="I12" s="164">
        <f t="shared" si="0"/>
        <v>0</v>
      </c>
      <c r="J12" s="164">
        <f t="shared" si="0"/>
        <v>0</v>
      </c>
      <c r="K12" s="164">
        <f t="shared" si="0"/>
        <v>0</v>
      </c>
      <c r="L12" s="164">
        <f t="shared" si="0"/>
        <v>0</v>
      </c>
    </row>
    <row r="13" spans="2:12" ht="12.75" customHeight="1" x14ac:dyDescent="0.25">
      <c r="B13" s="10" t="s">
        <v>88</v>
      </c>
      <c r="C13" s="4" t="s">
        <v>88</v>
      </c>
      <c r="D13" s="56">
        <f>+'COSTO PROD Y OPER'!I71*$C$7</f>
        <v>0</v>
      </c>
      <c r="E13" s="18"/>
      <c r="F13" s="10" t="str">
        <f>B13</f>
        <v>-</v>
      </c>
      <c r="G13" s="165">
        <f>D13</f>
        <v>0</v>
      </c>
      <c r="H13" s="166">
        <f>G13*0.37</f>
        <v>0</v>
      </c>
      <c r="I13" s="166">
        <f>H13*1.02</f>
        <v>0</v>
      </c>
      <c r="J13" s="166">
        <f>I13*1.25</f>
        <v>0</v>
      </c>
      <c r="K13" s="166">
        <f>J13*1.13</f>
        <v>0</v>
      </c>
      <c r="L13" s="166">
        <f>+K13</f>
        <v>0</v>
      </c>
    </row>
    <row r="14" spans="2:12" x14ac:dyDescent="0.25">
      <c r="B14" s="10" t="s">
        <v>88</v>
      </c>
      <c r="C14" s="4" t="s">
        <v>88</v>
      </c>
      <c r="D14" s="56">
        <f>+'COSTO PROD Y OPER'!I72*$C$7</f>
        <v>0</v>
      </c>
      <c r="E14" s="18"/>
      <c r="F14" s="10" t="str">
        <f t="shared" ref="F14:F15" si="1">B14</f>
        <v>-</v>
      </c>
      <c r="G14" s="165">
        <f>D14</f>
        <v>0</v>
      </c>
      <c r="H14" s="166">
        <f>G14*0.37</f>
        <v>0</v>
      </c>
      <c r="I14" s="166">
        <f>H14*1.02</f>
        <v>0</v>
      </c>
      <c r="J14" s="166">
        <f>I14*1.25</f>
        <v>0</v>
      </c>
      <c r="K14" s="166">
        <f>J14*1.13</f>
        <v>0</v>
      </c>
      <c r="L14" s="166">
        <f>+K14</f>
        <v>0</v>
      </c>
    </row>
    <row r="15" spans="2:12" x14ac:dyDescent="0.25">
      <c r="B15" s="80" t="s">
        <v>88</v>
      </c>
      <c r="C15" s="4" t="s">
        <v>88</v>
      </c>
      <c r="D15" s="56">
        <f>+'COSTO PROD Y OPER'!I73*$C$7</f>
        <v>0</v>
      </c>
      <c r="E15" s="18"/>
      <c r="F15" s="10" t="str">
        <f t="shared" si="1"/>
        <v>-</v>
      </c>
      <c r="G15" s="165">
        <f>D15</f>
        <v>0</v>
      </c>
      <c r="H15" s="166">
        <f>G15*0.37</f>
        <v>0</v>
      </c>
      <c r="I15" s="166">
        <f>H15*1.02</f>
        <v>0</v>
      </c>
      <c r="J15" s="166">
        <f>I15*1.25</f>
        <v>0</v>
      </c>
      <c r="K15" s="166">
        <f>J15*1.13</f>
        <v>0</v>
      </c>
      <c r="L15" s="166">
        <f>+K15</f>
        <v>0</v>
      </c>
    </row>
    <row r="16" spans="2:12" x14ac:dyDescent="0.25">
      <c r="B16" s="8" t="s">
        <v>49</v>
      </c>
      <c r="C16" s="37"/>
      <c r="D16" s="53">
        <f>D17+D18+D19+D20</f>
        <v>6132.5</v>
      </c>
      <c r="E16" s="18"/>
      <c r="F16" s="167" t="s">
        <v>49</v>
      </c>
      <c r="G16" s="27">
        <f>SUM(G17:G20)</f>
        <v>6132.5</v>
      </c>
      <c r="H16" s="12">
        <f t="shared" ref="H16:L16" si="2">SUM(H17:H20)</f>
        <v>4290</v>
      </c>
      <c r="I16" s="12">
        <f t="shared" si="2"/>
        <v>4764.3749999999991</v>
      </c>
      <c r="J16" s="12">
        <f t="shared" si="2"/>
        <v>5309.9062499999982</v>
      </c>
      <c r="K16" s="12">
        <f t="shared" si="2"/>
        <v>5937.2671874999978</v>
      </c>
      <c r="L16" s="12">
        <f t="shared" si="2"/>
        <v>5937.2671874999978</v>
      </c>
    </row>
    <row r="17" spans="2:12" x14ac:dyDescent="0.25">
      <c r="B17" s="168" t="s">
        <v>114</v>
      </c>
      <c r="C17" s="37"/>
      <c r="D17" s="56">
        <f>+REMUNERACION!G4*'CAP TRABAJ'!C7</f>
        <v>2750</v>
      </c>
      <c r="E17" s="18"/>
      <c r="F17" s="168" t="str">
        <f>B17</f>
        <v>Mano de Obra Directa</v>
      </c>
      <c r="G17" s="165">
        <f>D17</f>
        <v>2750</v>
      </c>
      <c r="H17" s="40">
        <f>G17*1.15</f>
        <v>3162.4999999999995</v>
      </c>
      <c r="I17" s="166">
        <f>H17*1.15</f>
        <v>3636.8749999999991</v>
      </c>
      <c r="J17" s="166">
        <f>I17*1.15</f>
        <v>4182.4062499999982</v>
      </c>
      <c r="K17" s="166">
        <f>J17*1.15</f>
        <v>4809.7671874999978</v>
      </c>
      <c r="L17" s="166">
        <f>+K17</f>
        <v>4809.7671874999978</v>
      </c>
    </row>
    <row r="18" spans="2:12" x14ac:dyDescent="0.25">
      <c r="B18" s="168" t="s">
        <v>116</v>
      </c>
      <c r="C18" s="37"/>
      <c r="D18" s="56">
        <f>+REMUNERACION!G7*'CAP TRABAJ'!C7</f>
        <v>1127.5</v>
      </c>
      <c r="E18" s="18"/>
      <c r="F18" s="168" t="str">
        <f t="shared" ref="F18:F20" si="3">B18</f>
        <v>Mano de Obra Indirecta</v>
      </c>
      <c r="G18" s="165">
        <f>D18</f>
        <v>1127.5</v>
      </c>
      <c r="H18" s="165">
        <f>G18</f>
        <v>1127.5</v>
      </c>
      <c r="I18" s="165">
        <f t="shared" ref="I18:L18" si="4">H18</f>
        <v>1127.5</v>
      </c>
      <c r="J18" s="165">
        <f t="shared" si="4"/>
        <v>1127.5</v>
      </c>
      <c r="K18" s="165">
        <f t="shared" si="4"/>
        <v>1127.5</v>
      </c>
      <c r="L18" s="165">
        <f t="shared" si="4"/>
        <v>1127.5</v>
      </c>
    </row>
    <row r="19" spans="2:12" x14ac:dyDescent="0.25">
      <c r="B19" s="10" t="s">
        <v>30</v>
      </c>
      <c r="C19" s="37"/>
      <c r="D19" s="56">
        <f>+REMUNERACION!G13*'CAP TRABAJ'!C7</f>
        <v>1127.5</v>
      </c>
      <c r="E19" s="18"/>
      <c r="F19" s="168" t="str">
        <f t="shared" si="3"/>
        <v>Atencion al cliente</v>
      </c>
      <c r="G19" s="165">
        <f>D19</f>
        <v>1127.5</v>
      </c>
      <c r="H19" s="166"/>
      <c r="I19" s="166">
        <f t="shared" ref="I19:L19" si="5">H19*1.15</f>
        <v>0</v>
      </c>
      <c r="J19" s="166">
        <f t="shared" si="5"/>
        <v>0</v>
      </c>
      <c r="K19" s="166">
        <f t="shared" si="5"/>
        <v>0</v>
      </c>
      <c r="L19" s="166">
        <f t="shared" si="5"/>
        <v>0</v>
      </c>
    </row>
    <row r="20" spans="2:12" ht="13.5" customHeight="1" x14ac:dyDescent="0.25">
      <c r="B20" s="168" t="s">
        <v>50</v>
      </c>
      <c r="C20" s="37"/>
      <c r="D20" s="56">
        <f>+REMUNERACION!G15*C7</f>
        <v>1127.5</v>
      </c>
      <c r="E20" s="18"/>
      <c r="F20" s="168" t="str">
        <f t="shared" si="3"/>
        <v>Administración</v>
      </c>
      <c r="G20" s="165">
        <f>D20</f>
        <v>1127.5</v>
      </c>
      <c r="H20" s="74"/>
      <c r="I20" s="74"/>
      <c r="J20" s="74"/>
      <c r="K20" s="74"/>
      <c r="L20" s="74"/>
    </row>
    <row r="21" spans="2:12" ht="13.5" customHeight="1" x14ac:dyDescent="0.25">
      <c r="B21" s="8" t="s">
        <v>51</v>
      </c>
      <c r="C21" s="37"/>
      <c r="D21" s="53">
        <f>SUM(D22:D30)</f>
        <v>419.86999999999995</v>
      </c>
      <c r="E21" s="18"/>
      <c r="F21" s="167" t="s">
        <v>51</v>
      </c>
      <c r="G21" s="27">
        <f>SUM(G22:G30)</f>
        <v>419.86999999999995</v>
      </c>
      <c r="H21" s="27">
        <f t="shared" ref="H21:L21" si="6">SUM(H22:H30)</f>
        <v>389.2405</v>
      </c>
      <c r="I21" s="27">
        <f t="shared" si="6"/>
        <v>395.25557499999996</v>
      </c>
      <c r="J21" s="27">
        <f t="shared" si="6"/>
        <v>402.17291124999991</v>
      </c>
      <c r="K21" s="27">
        <f t="shared" si="6"/>
        <v>410.12784793749995</v>
      </c>
      <c r="L21" s="27">
        <f t="shared" si="6"/>
        <v>419.2760251281249</v>
      </c>
    </row>
    <row r="22" spans="2:12" ht="13.5" customHeight="1" x14ac:dyDescent="0.25">
      <c r="B22" s="168" t="s">
        <v>121</v>
      </c>
      <c r="C22" s="37" t="s">
        <v>130</v>
      </c>
      <c r="D22" s="169">
        <f>+'COSTO PROD Y OPER'!E58*'CAP TRABAJ'!C7</f>
        <v>219.99999999999997</v>
      </c>
      <c r="E22" s="18"/>
      <c r="F22" s="168" t="str">
        <f>B22</f>
        <v>Publicidad</v>
      </c>
      <c r="G22" s="165">
        <f>D22</f>
        <v>219.99999999999997</v>
      </c>
      <c r="H22" s="166">
        <f>G22</f>
        <v>219.99999999999997</v>
      </c>
      <c r="I22" s="166">
        <f t="shared" ref="I22:L22" si="7">H22</f>
        <v>219.99999999999997</v>
      </c>
      <c r="J22" s="166">
        <f t="shared" si="7"/>
        <v>219.99999999999997</v>
      </c>
      <c r="K22" s="166">
        <f t="shared" si="7"/>
        <v>219.99999999999997</v>
      </c>
      <c r="L22" s="166">
        <f t="shared" si="7"/>
        <v>219.99999999999997</v>
      </c>
    </row>
    <row r="23" spans="2:12" ht="13.5" customHeight="1" x14ac:dyDescent="0.25">
      <c r="B23" s="168" t="s">
        <v>93</v>
      </c>
      <c r="C23" s="37" t="s">
        <v>130</v>
      </c>
      <c r="D23" s="169">
        <f>+'COSTO PROD Y OPER'!E75*'CAP TRABAJ'!C7</f>
        <v>33</v>
      </c>
      <c r="E23" s="18"/>
      <c r="F23" s="168" t="str">
        <f t="shared" ref="F23:F30" si="8">B23</f>
        <v>Hosting</v>
      </c>
      <c r="G23" s="165">
        <f>D23</f>
        <v>33</v>
      </c>
      <c r="H23" s="166">
        <f>G23*1.15</f>
        <v>37.949999999999996</v>
      </c>
      <c r="I23" s="166">
        <f t="shared" ref="I23:L23" si="9">H23*1.15</f>
        <v>43.642499999999991</v>
      </c>
      <c r="J23" s="166">
        <f t="shared" si="9"/>
        <v>50.188874999999989</v>
      </c>
      <c r="K23" s="166">
        <f t="shared" si="9"/>
        <v>57.717206249999983</v>
      </c>
      <c r="L23" s="166">
        <f t="shared" si="9"/>
        <v>66.374787187499976</v>
      </c>
    </row>
    <row r="24" spans="2:12" ht="13.5" customHeight="1" x14ac:dyDescent="0.25">
      <c r="B24" s="168" t="s">
        <v>11</v>
      </c>
      <c r="C24" s="37" t="s">
        <v>130</v>
      </c>
      <c r="D24" s="169">
        <f>+'COSTO PROD Y OPER'!E76*'CAP TRABAJ'!C7</f>
        <v>1.8699999999999997</v>
      </c>
      <c r="E24" s="18"/>
      <c r="F24" s="168" t="str">
        <f t="shared" si="8"/>
        <v>Dominio web</v>
      </c>
      <c r="G24" s="165">
        <f>D24</f>
        <v>1.8699999999999997</v>
      </c>
      <c r="H24" s="166">
        <f>G24*1.15</f>
        <v>2.1504999999999996</v>
      </c>
      <c r="I24" s="166">
        <f t="shared" ref="I24:L24" si="10">H24*1.15</f>
        <v>2.4730749999999992</v>
      </c>
      <c r="J24" s="166">
        <f t="shared" si="10"/>
        <v>2.8440362499999989</v>
      </c>
      <c r="K24" s="166">
        <f t="shared" si="10"/>
        <v>3.2706416874999986</v>
      </c>
      <c r="L24" s="166">
        <f t="shared" si="10"/>
        <v>3.7612379406249983</v>
      </c>
    </row>
    <row r="25" spans="2:12" ht="13.5" customHeight="1" x14ac:dyDescent="0.25">
      <c r="B25" s="168" t="s">
        <v>56</v>
      </c>
      <c r="C25" s="37" t="s">
        <v>130</v>
      </c>
      <c r="D25" s="169">
        <f>+'COSTO PROD Y OPER'!E78*'CAP TRABAJ'!C7</f>
        <v>54.999999999999993</v>
      </c>
      <c r="E25" s="18"/>
      <c r="F25" s="168" t="str">
        <f t="shared" si="8"/>
        <v>Internet</v>
      </c>
      <c r="G25" s="165">
        <f t="shared" ref="G25:G30" si="11">D25</f>
        <v>54.999999999999993</v>
      </c>
      <c r="H25" s="165">
        <f>G25</f>
        <v>54.999999999999993</v>
      </c>
      <c r="I25" s="165">
        <f t="shared" ref="I25:L25" si="12">H25</f>
        <v>54.999999999999993</v>
      </c>
      <c r="J25" s="165">
        <f t="shared" si="12"/>
        <v>54.999999999999993</v>
      </c>
      <c r="K25" s="165">
        <f t="shared" si="12"/>
        <v>54.999999999999993</v>
      </c>
      <c r="L25" s="165">
        <f t="shared" si="12"/>
        <v>54.999999999999993</v>
      </c>
    </row>
    <row r="26" spans="2:12" ht="13.5" customHeight="1" x14ac:dyDescent="0.25">
      <c r="B26" s="170" t="s">
        <v>53</v>
      </c>
      <c r="C26" s="37" t="s">
        <v>130</v>
      </c>
      <c r="D26" s="169">
        <f>+'COSTO PROD Y OPER'!E77*'CAP TRABAJ'!C7</f>
        <v>11</v>
      </c>
      <c r="E26" s="18"/>
      <c r="F26" s="168" t="str">
        <f t="shared" si="8"/>
        <v>Luz</v>
      </c>
      <c r="G26" s="165">
        <f>D26</f>
        <v>11</v>
      </c>
      <c r="H26" s="166">
        <f>G26</f>
        <v>11</v>
      </c>
      <c r="I26" s="166">
        <f t="shared" ref="I26:K27" si="13">H26</f>
        <v>11</v>
      </c>
      <c r="J26" s="166">
        <f t="shared" si="13"/>
        <v>11</v>
      </c>
      <c r="K26" s="166">
        <f t="shared" si="13"/>
        <v>11</v>
      </c>
      <c r="L26" s="166">
        <f>+K26</f>
        <v>11</v>
      </c>
    </row>
    <row r="27" spans="2:12" x14ac:dyDescent="0.25">
      <c r="B27" s="170" t="s">
        <v>131</v>
      </c>
      <c r="C27" s="37" t="s">
        <v>130</v>
      </c>
      <c r="D27" s="169">
        <f>+'COSTO PROD Y OPER'!E79*'CAP TRABAJ'!C7</f>
        <v>22</v>
      </c>
      <c r="E27" s="18"/>
      <c r="F27" s="168" t="str">
        <f t="shared" si="8"/>
        <v xml:space="preserve">Mantenimiento y reparaciones </v>
      </c>
      <c r="G27" s="165">
        <f t="shared" si="11"/>
        <v>22</v>
      </c>
      <c r="H27" s="166">
        <f>G27*0.37</f>
        <v>8.14</v>
      </c>
      <c r="I27" s="166">
        <f t="shared" si="13"/>
        <v>8.14</v>
      </c>
      <c r="J27" s="166">
        <f t="shared" si="13"/>
        <v>8.14</v>
      </c>
      <c r="K27" s="166">
        <f t="shared" si="13"/>
        <v>8.14</v>
      </c>
      <c r="L27" s="166">
        <f>+K27</f>
        <v>8.14</v>
      </c>
    </row>
    <row r="28" spans="2:12" x14ac:dyDescent="0.25">
      <c r="B28" s="170" t="s">
        <v>55</v>
      </c>
      <c r="C28" s="37" t="s">
        <v>130</v>
      </c>
      <c r="D28" s="169">
        <f>+'COSTO PROD Y OPER'!E61*'CAP TRABAJ'!C7</f>
        <v>54.999999999999993</v>
      </c>
      <c r="E28" s="18"/>
      <c r="F28" s="168" t="str">
        <f t="shared" si="8"/>
        <v>Telefonia</v>
      </c>
      <c r="G28" s="165">
        <f t="shared" si="11"/>
        <v>54.999999999999993</v>
      </c>
      <c r="H28" s="165">
        <f>G28</f>
        <v>54.999999999999993</v>
      </c>
      <c r="I28" s="165">
        <f t="shared" ref="I28:L28" si="14">H28</f>
        <v>54.999999999999993</v>
      </c>
      <c r="J28" s="165">
        <f t="shared" si="14"/>
        <v>54.999999999999993</v>
      </c>
      <c r="K28" s="165">
        <f t="shared" si="14"/>
        <v>54.999999999999993</v>
      </c>
      <c r="L28" s="165">
        <f t="shared" si="14"/>
        <v>54.999999999999993</v>
      </c>
    </row>
    <row r="29" spans="2:12" x14ac:dyDescent="0.25">
      <c r="B29" s="171" t="s">
        <v>54</v>
      </c>
      <c r="C29" s="37" t="s">
        <v>130</v>
      </c>
      <c r="D29" s="169">
        <f>+'COSTO PROD Y OPER'!E62*'CAP TRABAJ'!C7</f>
        <v>11</v>
      </c>
      <c r="E29" s="18"/>
      <c r="F29" s="168" t="str">
        <f t="shared" si="8"/>
        <v>Agua</v>
      </c>
      <c r="G29" s="165">
        <f t="shared" si="11"/>
        <v>11</v>
      </c>
      <c r="H29" s="74"/>
      <c r="I29" s="74"/>
      <c r="J29" s="74"/>
      <c r="K29" s="74"/>
      <c r="L29" s="74"/>
    </row>
    <row r="30" spans="2:12" x14ac:dyDescent="0.25">
      <c r="B30" s="168" t="s">
        <v>57</v>
      </c>
      <c r="C30" s="37" t="s">
        <v>132</v>
      </c>
      <c r="D30" s="169">
        <f>+'COSTO PROD Y OPER'!E63*'CAP TRABAJ'!C7</f>
        <v>11</v>
      </c>
      <c r="E30" s="18"/>
      <c r="F30" s="168" t="str">
        <f t="shared" si="8"/>
        <v>Utiles de oficina y limpieza</v>
      </c>
      <c r="G30" s="165">
        <f t="shared" si="11"/>
        <v>11</v>
      </c>
      <c r="H30" s="74"/>
      <c r="I30" s="74"/>
      <c r="J30" s="74"/>
      <c r="K30" s="74"/>
      <c r="L30" s="74"/>
    </row>
    <row r="31" spans="2:12" x14ac:dyDescent="0.25">
      <c r="B31" s="172" t="s">
        <v>58</v>
      </c>
      <c r="C31" s="173"/>
      <c r="D31" s="61">
        <f>D12+D16+D21</f>
        <v>6552.37</v>
      </c>
      <c r="E31" s="18"/>
      <c r="F31" s="174" t="s">
        <v>58</v>
      </c>
      <c r="G31" s="13">
        <f>G12+G16+G21</f>
        <v>6552.37</v>
      </c>
      <c r="H31" s="13">
        <f t="shared" ref="H31:L31" si="15">H12+H16+H21</f>
        <v>4679.2404999999999</v>
      </c>
      <c r="I31" s="13">
        <f t="shared" si="15"/>
        <v>5159.6305749999992</v>
      </c>
      <c r="J31" s="13">
        <f t="shared" si="15"/>
        <v>5712.0791612499979</v>
      </c>
      <c r="K31" s="13">
        <f t="shared" si="15"/>
        <v>6347.3950354374974</v>
      </c>
      <c r="L31" s="13">
        <f t="shared" si="15"/>
        <v>6356.543212628123</v>
      </c>
    </row>
    <row r="32" spans="2:12" x14ac:dyDescent="0.25">
      <c r="B32" s="48"/>
      <c r="C32" s="75"/>
      <c r="D32" s="48"/>
      <c r="E32" s="157"/>
    </row>
    <row r="33" spans="2:13" x14ac:dyDescent="0.25">
      <c r="B33" s="48"/>
      <c r="C33" s="75"/>
      <c r="D33" s="48"/>
      <c r="E33" s="157"/>
      <c r="I33" s="175"/>
    </row>
    <row r="34" spans="2:13" x14ac:dyDescent="0.25">
      <c r="B34" s="48"/>
      <c r="C34" s="75"/>
      <c r="D34" s="48"/>
      <c r="E34" s="157"/>
      <c r="I34" s="175"/>
    </row>
    <row r="35" spans="2:13" x14ac:dyDescent="0.25">
      <c r="B35" s="48"/>
      <c r="C35" s="75"/>
      <c r="D35" s="48"/>
      <c r="E35" s="157"/>
      <c r="I35" s="176"/>
    </row>
    <row r="36" spans="2:13" x14ac:dyDescent="0.25">
      <c r="B36" s="48"/>
      <c r="C36" s="75"/>
      <c r="D36" s="48"/>
      <c r="E36" s="157"/>
      <c r="I36" s="175"/>
    </row>
    <row r="37" spans="2:13" x14ac:dyDescent="0.25">
      <c r="B37" s="48"/>
      <c r="C37" s="75"/>
      <c r="D37" s="48"/>
      <c r="E37" s="157"/>
      <c r="L37" s="25"/>
      <c r="M37" s="25"/>
    </row>
    <row r="38" spans="2:13" x14ac:dyDescent="0.25">
      <c r="B38" s="48"/>
      <c r="C38" s="75"/>
      <c r="D38" s="48"/>
      <c r="E38" s="157"/>
    </row>
    <row r="39" spans="2:13" x14ac:dyDescent="0.25">
      <c r="B39" s="48"/>
      <c r="C39" s="75"/>
      <c r="D39" s="48"/>
      <c r="E39" s="157"/>
    </row>
    <row r="40" spans="2:13" x14ac:dyDescent="0.25">
      <c r="B40" s="48"/>
      <c r="C40" s="75"/>
      <c r="D40" s="48"/>
      <c r="E40" s="157"/>
    </row>
    <row r="41" spans="2:13" x14ac:dyDescent="0.25">
      <c r="B41" s="48"/>
      <c r="C41" s="75"/>
      <c r="D41" s="48"/>
      <c r="E41" s="157"/>
    </row>
    <row r="42" spans="2:13" x14ac:dyDescent="0.25">
      <c r="B42" s="48"/>
      <c r="C42" s="75"/>
      <c r="D42" s="48"/>
      <c r="E42" s="157"/>
    </row>
    <row r="43" spans="2:13" x14ac:dyDescent="0.25">
      <c r="B43" s="48"/>
      <c r="C43" s="75"/>
      <c r="D43" s="48"/>
      <c r="E43" s="157"/>
    </row>
    <row r="44" spans="2:13" x14ac:dyDescent="0.25">
      <c r="B44" s="48"/>
      <c r="C44" s="75"/>
      <c r="D44" s="48"/>
      <c r="E44" s="157"/>
    </row>
    <row r="45" spans="2:13" x14ac:dyDescent="0.25">
      <c r="B45" s="48"/>
      <c r="C45" s="75"/>
      <c r="D45" s="48"/>
      <c r="E45" s="157"/>
    </row>
    <row r="46" spans="2:13" x14ac:dyDescent="0.25">
      <c r="B46" s="48"/>
      <c r="C46" s="75"/>
      <c r="D46" s="48"/>
      <c r="E46" s="157"/>
    </row>
    <row r="47" spans="2:13" x14ac:dyDescent="0.25">
      <c r="B47" s="48"/>
      <c r="C47" s="75"/>
      <c r="D47" s="48"/>
      <c r="E47" s="157"/>
    </row>
    <row r="48" spans="2:13" x14ac:dyDescent="0.25">
      <c r="B48" s="48"/>
      <c r="C48" s="75"/>
      <c r="D48" s="48"/>
      <c r="E48" s="157"/>
    </row>
    <row r="49" spans="2:5" x14ac:dyDescent="0.25">
      <c r="B49" s="48"/>
      <c r="C49" s="75"/>
      <c r="D49" s="48"/>
      <c r="E49" s="157"/>
    </row>
    <row r="50" spans="2:5" x14ac:dyDescent="0.25">
      <c r="B50" s="48"/>
      <c r="C50" s="75"/>
      <c r="D50" s="48"/>
      <c r="E50" s="157"/>
    </row>
    <row r="51" spans="2:5" x14ac:dyDescent="0.25">
      <c r="B51" s="48"/>
      <c r="C51" s="75"/>
      <c r="D51" s="48"/>
      <c r="E51" s="157"/>
    </row>
    <row r="52" spans="2:5" x14ac:dyDescent="0.25">
      <c r="B52" s="48"/>
      <c r="C52" s="75"/>
      <c r="D52" s="48"/>
      <c r="E52" s="157"/>
    </row>
    <row r="53" spans="2:5" x14ac:dyDescent="0.25">
      <c r="B53" s="48"/>
      <c r="C53" s="75"/>
      <c r="D53" s="48"/>
      <c r="E53" s="157"/>
    </row>
    <row r="54" spans="2:5" x14ac:dyDescent="0.25">
      <c r="B54" s="48"/>
      <c r="C54" s="75"/>
      <c r="D54" s="48"/>
      <c r="E54" s="157"/>
    </row>
    <row r="55" spans="2:5" x14ac:dyDescent="0.25">
      <c r="B55" s="48"/>
      <c r="C55" s="75"/>
      <c r="D55" s="48"/>
      <c r="E55" s="157"/>
    </row>
    <row r="56" spans="2:5" x14ac:dyDescent="0.25">
      <c r="B56" s="48"/>
      <c r="C56" s="75"/>
      <c r="D56" s="48"/>
      <c r="E56" s="157"/>
    </row>
    <row r="57" spans="2:5" x14ac:dyDescent="0.25">
      <c r="B57" s="48"/>
      <c r="C57" s="75"/>
      <c r="D57" s="48"/>
      <c r="E57" s="157"/>
    </row>
    <row r="58" spans="2:5" x14ac:dyDescent="0.25">
      <c r="B58" s="48"/>
      <c r="C58" s="75"/>
      <c r="D58" s="48"/>
      <c r="E58" s="157"/>
    </row>
    <row r="59" spans="2:5" x14ac:dyDescent="0.25">
      <c r="B59" s="48"/>
      <c r="C59" s="75"/>
      <c r="D59" s="48"/>
      <c r="E59" s="157"/>
    </row>
    <row r="60" spans="2:5" x14ac:dyDescent="0.25">
      <c r="B60" s="48"/>
      <c r="C60" s="75"/>
      <c r="D60" s="48"/>
      <c r="E60" s="157"/>
    </row>
    <row r="61" spans="2:5" x14ac:dyDescent="0.25">
      <c r="B61" s="48"/>
      <c r="C61" s="75"/>
      <c r="D61" s="48"/>
      <c r="E61" s="157"/>
    </row>
    <row r="62" spans="2:5" x14ac:dyDescent="0.25">
      <c r="B62" s="48"/>
      <c r="C62" s="75"/>
      <c r="D62" s="48"/>
      <c r="E62" s="157"/>
    </row>
    <row r="63" spans="2:5" x14ac:dyDescent="0.25">
      <c r="B63" s="48"/>
      <c r="C63" s="75"/>
      <c r="D63" s="48"/>
      <c r="E63" s="157"/>
    </row>
    <row r="64" spans="2:5" x14ac:dyDescent="0.25">
      <c r="B64" s="48"/>
      <c r="C64" s="75"/>
      <c r="D64" s="48"/>
      <c r="E64" s="157"/>
    </row>
    <row r="65" spans="2:5" x14ac:dyDescent="0.25">
      <c r="B65" s="48"/>
      <c r="C65" s="75"/>
      <c r="D65" s="48"/>
      <c r="E65" s="157"/>
    </row>
    <row r="66" spans="2:5" x14ac:dyDescent="0.25">
      <c r="B66" s="48"/>
      <c r="C66" s="75"/>
      <c r="D66" s="48"/>
      <c r="E66" s="157"/>
    </row>
    <row r="67" spans="2:5" x14ac:dyDescent="0.25">
      <c r="B67" s="48"/>
      <c r="C67" s="75"/>
      <c r="D67" s="48"/>
      <c r="E67" s="157"/>
    </row>
    <row r="68" spans="2:5" x14ac:dyDescent="0.25">
      <c r="B68" s="48"/>
      <c r="C68" s="75"/>
      <c r="D68" s="48"/>
      <c r="E68" s="157"/>
    </row>
    <row r="69" spans="2:5" x14ac:dyDescent="0.25">
      <c r="B69" s="48"/>
      <c r="C69" s="75"/>
      <c r="D69" s="48"/>
      <c r="E69" s="157"/>
    </row>
    <row r="70" spans="2:5" x14ac:dyDescent="0.25">
      <c r="B70" s="48"/>
      <c r="C70" s="75"/>
      <c r="D70" s="48"/>
      <c r="E70" s="157"/>
    </row>
    <row r="71" spans="2:5" x14ac:dyDescent="0.25">
      <c r="B71" s="48"/>
      <c r="C71" s="75"/>
      <c r="D71" s="48"/>
      <c r="E71" s="157"/>
    </row>
    <row r="72" spans="2:5" x14ac:dyDescent="0.25">
      <c r="B72" s="48"/>
      <c r="C72" s="75"/>
      <c r="D72" s="48"/>
      <c r="E72" s="157"/>
    </row>
    <row r="73" spans="2:5" x14ac:dyDescent="0.25">
      <c r="B73" s="48"/>
      <c r="C73" s="75"/>
      <c r="D73" s="48"/>
      <c r="E73" s="157"/>
    </row>
  </sheetData>
  <mergeCells count="4">
    <mergeCell ref="G10:L10"/>
    <mergeCell ref="B2:C2"/>
    <mergeCell ref="B10:D10"/>
    <mergeCell ref="F10:F1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1"/>
  <sheetViews>
    <sheetView topLeftCell="A50" workbookViewId="0">
      <selection activeCell="H80" sqref="H80"/>
    </sheetView>
  </sheetViews>
  <sheetFormatPr baseColWidth="10" defaultRowHeight="15" x14ac:dyDescent="0.25"/>
  <cols>
    <col min="1" max="1" width="32.85546875" style="18" customWidth="1"/>
    <col min="2" max="2" width="13.85546875" style="18" customWidth="1"/>
    <col min="3" max="3" width="13.85546875" style="97" customWidth="1"/>
    <col min="4" max="4" width="13.85546875" style="18" customWidth="1"/>
    <col min="5" max="5" width="16.5703125" style="18" bestFit="1" customWidth="1"/>
    <col min="6" max="6" width="13.85546875" style="18" customWidth="1"/>
    <col min="7" max="7" width="34.7109375" style="18" customWidth="1"/>
    <col min="8" max="8" width="12.85546875" style="18" bestFit="1" customWidth="1"/>
    <col min="9" max="13" width="14.5703125" style="18" customWidth="1"/>
    <col min="14" max="256" width="11.42578125" style="18"/>
    <col min="257" max="257" width="32.85546875" style="18" customWidth="1"/>
    <col min="258" max="260" width="13.85546875" style="18" customWidth="1"/>
    <col min="261" max="261" width="16.5703125" style="18" bestFit="1" customWidth="1"/>
    <col min="262" max="262" width="13.85546875" style="18" customWidth="1"/>
    <col min="263" max="263" width="34.7109375" style="18" customWidth="1"/>
    <col min="264" max="264" width="12.85546875" style="18" bestFit="1" customWidth="1"/>
    <col min="265" max="269" width="14.5703125" style="18" customWidth="1"/>
    <col min="270" max="512" width="11.42578125" style="18"/>
    <col min="513" max="513" width="32.85546875" style="18" customWidth="1"/>
    <col min="514" max="516" width="13.85546875" style="18" customWidth="1"/>
    <col min="517" max="517" width="16.5703125" style="18" bestFit="1" customWidth="1"/>
    <col min="518" max="518" width="13.85546875" style="18" customWidth="1"/>
    <col min="519" max="519" width="34.7109375" style="18" customWidth="1"/>
    <col min="520" max="520" width="12.85546875" style="18" bestFit="1" customWidth="1"/>
    <col min="521" max="525" width="14.5703125" style="18" customWidth="1"/>
    <col min="526" max="768" width="11.42578125" style="18"/>
    <col min="769" max="769" width="32.85546875" style="18" customWidth="1"/>
    <col min="770" max="772" width="13.85546875" style="18" customWidth="1"/>
    <col min="773" max="773" width="16.5703125" style="18" bestFit="1" customWidth="1"/>
    <col min="774" max="774" width="13.85546875" style="18" customWidth="1"/>
    <col min="775" max="775" width="34.7109375" style="18" customWidth="1"/>
    <col min="776" max="776" width="12.85546875" style="18" bestFit="1" customWidth="1"/>
    <col min="777" max="781" width="14.5703125" style="18" customWidth="1"/>
    <col min="782" max="1024" width="11.42578125" style="18"/>
    <col min="1025" max="1025" width="32.85546875" style="18" customWidth="1"/>
    <col min="1026" max="1028" width="13.85546875" style="18" customWidth="1"/>
    <col min="1029" max="1029" width="16.5703125" style="18" bestFit="1" customWidth="1"/>
    <col min="1030" max="1030" width="13.85546875" style="18" customWidth="1"/>
    <col min="1031" max="1031" width="34.7109375" style="18" customWidth="1"/>
    <col min="1032" max="1032" width="12.85546875" style="18" bestFit="1" customWidth="1"/>
    <col min="1033" max="1037" width="14.5703125" style="18" customWidth="1"/>
    <col min="1038" max="1280" width="11.42578125" style="18"/>
    <col min="1281" max="1281" width="32.85546875" style="18" customWidth="1"/>
    <col min="1282" max="1284" width="13.85546875" style="18" customWidth="1"/>
    <col min="1285" max="1285" width="16.5703125" style="18" bestFit="1" customWidth="1"/>
    <col min="1286" max="1286" width="13.85546875" style="18" customWidth="1"/>
    <col min="1287" max="1287" width="34.7109375" style="18" customWidth="1"/>
    <col min="1288" max="1288" width="12.85546875" style="18" bestFit="1" customWidth="1"/>
    <col min="1289" max="1293" width="14.5703125" style="18" customWidth="1"/>
    <col min="1294" max="1536" width="11.42578125" style="18"/>
    <col min="1537" max="1537" width="32.85546875" style="18" customWidth="1"/>
    <col min="1538" max="1540" width="13.85546875" style="18" customWidth="1"/>
    <col min="1541" max="1541" width="16.5703125" style="18" bestFit="1" customWidth="1"/>
    <col min="1542" max="1542" width="13.85546875" style="18" customWidth="1"/>
    <col min="1543" max="1543" width="34.7109375" style="18" customWidth="1"/>
    <col min="1544" max="1544" width="12.85546875" style="18" bestFit="1" customWidth="1"/>
    <col min="1545" max="1549" width="14.5703125" style="18" customWidth="1"/>
    <col min="1550" max="1792" width="11.42578125" style="18"/>
    <col min="1793" max="1793" width="32.85546875" style="18" customWidth="1"/>
    <col min="1794" max="1796" width="13.85546875" style="18" customWidth="1"/>
    <col min="1797" max="1797" width="16.5703125" style="18" bestFit="1" customWidth="1"/>
    <col min="1798" max="1798" width="13.85546875" style="18" customWidth="1"/>
    <col min="1799" max="1799" width="34.7109375" style="18" customWidth="1"/>
    <col min="1800" max="1800" width="12.85546875" style="18" bestFit="1" customWidth="1"/>
    <col min="1801" max="1805" width="14.5703125" style="18" customWidth="1"/>
    <col min="1806" max="2048" width="11.42578125" style="18"/>
    <col min="2049" max="2049" width="32.85546875" style="18" customWidth="1"/>
    <col min="2050" max="2052" width="13.85546875" style="18" customWidth="1"/>
    <col min="2053" max="2053" width="16.5703125" style="18" bestFit="1" customWidth="1"/>
    <col min="2054" max="2054" width="13.85546875" style="18" customWidth="1"/>
    <col min="2055" max="2055" width="34.7109375" style="18" customWidth="1"/>
    <col min="2056" max="2056" width="12.85546875" style="18" bestFit="1" customWidth="1"/>
    <col min="2057" max="2061" width="14.5703125" style="18" customWidth="1"/>
    <col min="2062" max="2304" width="11.42578125" style="18"/>
    <col min="2305" max="2305" width="32.85546875" style="18" customWidth="1"/>
    <col min="2306" max="2308" width="13.85546875" style="18" customWidth="1"/>
    <col min="2309" max="2309" width="16.5703125" style="18" bestFit="1" customWidth="1"/>
    <col min="2310" max="2310" width="13.85546875" style="18" customWidth="1"/>
    <col min="2311" max="2311" width="34.7109375" style="18" customWidth="1"/>
    <col min="2312" max="2312" width="12.85546875" style="18" bestFit="1" customWidth="1"/>
    <col min="2313" max="2317" width="14.5703125" style="18" customWidth="1"/>
    <col min="2318" max="2560" width="11.42578125" style="18"/>
    <col min="2561" max="2561" width="32.85546875" style="18" customWidth="1"/>
    <col min="2562" max="2564" width="13.85546875" style="18" customWidth="1"/>
    <col min="2565" max="2565" width="16.5703125" style="18" bestFit="1" customWidth="1"/>
    <col min="2566" max="2566" width="13.85546875" style="18" customWidth="1"/>
    <col min="2567" max="2567" width="34.7109375" style="18" customWidth="1"/>
    <col min="2568" max="2568" width="12.85546875" style="18" bestFit="1" customWidth="1"/>
    <col min="2569" max="2573" width="14.5703125" style="18" customWidth="1"/>
    <col min="2574" max="2816" width="11.42578125" style="18"/>
    <col min="2817" max="2817" width="32.85546875" style="18" customWidth="1"/>
    <col min="2818" max="2820" width="13.85546875" style="18" customWidth="1"/>
    <col min="2821" max="2821" width="16.5703125" style="18" bestFit="1" customWidth="1"/>
    <col min="2822" max="2822" width="13.85546875" style="18" customWidth="1"/>
    <col min="2823" max="2823" width="34.7109375" style="18" customWidth="1"/>
    <col min="2824" max="2824" width="12.85546875" style="18" bestFit="1" customWidth="1"/>
    <col min="2825" max="2829" width="14.5703125" style="18" customWidth="1"/>
    <col min="2830" max="3072" width="11.42578125" style="18"/>
    <col min="3073" max="3073" width="32.85546875" style="18" customWidth="1"/>
    <col min="3074" max="3076" width="13.85546875" style="18" customWidth="1"/>
    <col min="3077" max="3077" width="16.5703125" style="18" bestFit="1" customWidth="1"/>
    <col min="3078" max="3078" width="13.85546875" style="18" customWidth="1"/>
    <col min="3079" max="3079" width="34.7109375" style="18" customWidth="1"/>
    <col min="3080" max="3080" width="12.85546875" style="18" bestFit="1" customWidth="1"/>
    <col min="3081" max="3085" width="14.5703125" style="18" customWidth="1"/>
    <col min="3086" max="3328" width="11.42578125" style="18"/>
    <col min="3329" max="3329" width="32.85546875" style="18" customWidth="1"/>
    <col min="3330" max="3332" width="13.85546875" style="18" customWidth="1"/>
    <col min="3333" max="3333" width="16.5703125" style="18" bestFit="1" customWidth="1"/>
    <col min="3334" max="3334" width="13.85546875" style="18" customWidth="1"/>
    <col min="3335" max="3335" width="34.7109375" style="18" customWidth="1"/>
    <col min="3336" max="3336" width="12.85546875" style="18" bestFit="1" customWidth="1"/>
    <col min="3337" max="3341" width="14.5703125" style="18" customWidth="1"/>
    <col min="3342" max="3584" width="11.42578125" style="18"/>
    <col min="3585" max="3585" width="32.85546875" style="18" customWidth="1"/>
    <col min="3586" max="3588" width="13.85546875" style="18" customWidth="1"/>
    <col min="3589" max="3589" width="16.5703125" style="18" bestFit="1" customWidth="1"/>
    <col min="3590" max="3590" width="13.85546875" style="18" customWidth="1"/>
    <col min="3591" max="3591" width="34.7109375" style="18" customWidth="1"/>
    <col min="3592" max="3592" width="12.85546875" style="18" bestFit="1" customWidth="1"/>
    <col min="3593" max="3597" width="14.5703125" style="18" customWidth="1"/>
    <col min="3598" max="3840" width="11.42578125" style="18"/>
    <col min="3841" max="3841" width="32.85546875" style="18" customWidth="1"/>
    <col min="3842" max="3844" width="13.85546875" style="18" customWidth="1"/>
    <col min="3845" max="3845" width="16.5703125" style="18" bestFit="1" customWidth="1"/>
    <col min="3846" max="3846" width="13.85546875" style="18" customWidth="1"/>
    <col min="3847" max="3847" width="34.7109375" style="18" customWidth="1"/>
    <col min="3848" max="3848" width="12.85546875" style="18" bestFit="1" customWidth="1"/>
    <col min="3849" max="3853" width="14.5703125" style="18" customWidth="1"/>
    <col min="3854" max="4096" width="11.42578125" style="18"/>
    <col min="4097" max="4097" width="32.85546875" style="18" customWidth="1"/>
    <col min="4098" max="4100" width="13.85546875" style="18" customWidth="1"/>
    <col min="4101" max="4101" width="16.5703125" style="18" bestFit="1" customWidth="1"/>
    <col min="4102" max="4102" width="13.85546875" style="18" customWidth="1"/>
    <col min="4103" max="4103" width="34.7109375" style="18" customWidth="1"/>
    <col min="4104" max="4104" width="12.85546875" style="18" bestFit="1" customWidth="1"/>
    <col min="4105" max="4109" width="14.5703125" style="18" customWidth="1"/>
    <col min="4110" max="4352" width="11.42578125" style="18"/>
    <col min="4353" max="4353" width="32.85546875" style="18" customWidth="1"/>
    <col min="4354" max="4356" width="13.85546875" style="18" customWidth="1"/>
    <col min="4357" max="4357" width="16.5703125" style="18" bestFit="1" customWidth="1"/>
    <col min="4358" max="4358" width="13.85546875" style="18" customWidth="1"/>
    <col min="4359" max="4359" width="34.7109375" style="18" customWidth="1"/>
    <col min="4360" max="4360" width="12.85546875" style="18" bestFit="1" customWidth="1"/>
    <col min="4361" max="4365" width="14.5703125" style="18" customWidth="1"/>
    <col min="4366" max="4608" width="11.42578125" style="18"/>
    <col min="4609" max="4609" width="32.85546875" style="18" customWidth="1"/>
    <col min="4610" max="4612" width="13.85546875" style="18" customWidth="1"/>
    <col min="4613" max="4613" width="16.5703125" style="18" bestFit="1" customWidth="1"/>
    <col min="4614" max="4614" width="13.85546875" style="18" customWidth="1"/>
    <col min="4615" max="4615" width="34.7109375" style="18" customWidth="1"/>
    <col min="4616" max="4616" width="12.85546875" style="18" bestFit="1" customWidth="1"/>
    <col min="4617" max="4621" width="14.5703125" style="18" customWidth="1"/>
    <col min="4622" max="4864" width="11.42578125" style="18"/>
    <col min="4865" max="4865" width="32.85546875" style="18" customWidth="1"/>
    <col min="4866" max="4868" width="13.85546875" style="18" customWidth="1"/>
    <col min="4869" max="4869" width="16.5703125" style="18" bestFit="1" customWidth="1"/>
    <col min="4870" max="4870" width="13.85546875" style="18" customWidth="1"/>
    <col min="4871" max="4871" width="34.7109375" style="18" customWidth="1"/>
    <col min="4872" max="4872" width="12.85546875" style="18" bestFit="1" customWidth="1"/>
    <col min="4873" max="4877" width="14.5703125" style="18" customWidth="1"/>
    <col min="4878" max="5120" width="11.42578125" style="18"/>
    <col min="5121" max="5121" width="32.85546875" style="18" customWidth="1"/>
    <col min="5122" max="5124" width="13.85546875" style="18" customWidth="1"/>
    <col min="5125" max="5125" width="16.5703125" style="18" bestFit="1" customWidth="1"/>
    <col min="5126" max="5126" width="13.85546875" style="18" customWidth="1"/>
    <col min="5127" max="5127" width="34.7109375" style="18" customWidth="1"/>
    <col min="5128" max="5128" width="12.85546875" style="18" bestFit="1" customWidth="1"/>
    <col min="5129" max="5133" width="14.5703125" style="18" customWidth="1"/>
    <col min="5134" max="5376" width="11.42578125" style="18"/>
    <col min="5377" max="5377" width="32.85546875" style="18" customWidth="1"/>
    <col min="5378" max="5380" width="13.85546875" style="18" customWidth="1"/>
    <col min="5381" max="5381" width="16.5703125" style="18" bestFit="1" customWidth="1"/>
    <col min="5382" max="5382" width="13.85546875" style="18" customWidth="1"/>
    <col min="5383" max="5383" width="34.7109375" style="18" customWidth="1"/>
    <col min="5384" max="5384" width="12.85546875" style="18" bestFit="1" customWidth="1"/>
    <col min="5385" max="5389" width="14.5703125" style="18" customWidth="1"/>
    <col min="5390" max="5632" width="11.42578125" style="18"/>
    <col min="5633" max="5633" width="32.85546875" style="18" customWidth="1"/>
    <col min="5634" max="5636" width="13.85546875" style="18" customWidth="1"/>
    <col min="5637" max="5637" width="16.5703125" style="18" bestFit="1" customWidth="1"/>
    <col min="5638" max="5638" width="13.85546875" style="18" customWidth="1"/>
    <col min="5639" max="5639" width="34.7109375" style="18" customWidth="1"/>
    <col min="5640" max="5640" width="12.85546875" style="18" bestFit="1" customWidth="1"/>
    <col min="5641" max="5645" width="14.5703125" style="18" customWidth="1"/>
    <col min="5646" max="5888" width="11.42578125" style="18"/>
    <col min="5889" max="5889" width="32.85546875" style="18" customWidth="1"/>
    <col min="5890" max="5892" width="13.85546875" style="18" customWidth="1"/>
    <col min="5893" max="5893" width="16.5703125" style="18" bestFit="1" customWidth="1"/>
    <col min="5894" max="5894" width="13.85546875" style="18" customWidth="1"/>
    <col min="5895" max="5895" width="34.7109375" style="18" customWidth="1"/>
    <col min="5896" max="5896" width="12.85546875" style="18" bestFit="1" customWidth="1"/>
    <col min="5897" max="5901" width="14.5703125" style="18" customWidth="1"/>
    <col min="5902" max="6144" width="11.42578125" style="18"/>
    <col min="6145" max="6145" width="32.85546875" style="18" customWidth="1"/>
    <col min="6146" max="6148" width="13.85546875" style="18" customWidth="1"/>
    <col min="6149" max="6149" width="16.5703125" style="18" bestFit="1" customWidth="1"/>
    <col min="6150" max="6150" width="13.85546875" style="18" customWidth="1"/>
    <col min="6151" max="6151" width="34.7109375" style="18" customWidth="1"/>
    <col min="6152" max="6152" width="12.85546875" style="18" bestFit="1" customWidth="1"/>
    <col min="6153" max="6157" width="14.5703125" style="18" customWidth="1"/>
    <col min="6158" max="6400" width="11.42578125" style="18"/>
    <col min="6401" max="6401" width="32.85546875" style="18" customWidth="1"/>
    <col min="6402" max="6404" width="13.85546875" style="18" customWidth="1"/>
    <col min="6405" max="6405" width="16.5703125" style="18" bestFit="1" customWidth="1"/>
    <col min="6406" max="6406" width="13.85546875" style="18" customWidth="1"/>
    <col min="6407" max="6407" width="34.7109375" style="18" customWidth="1"/>
    <col min="6408" max="6408" width="12.85546875" style="18" bestFit="1" customWidth="1"/>
    <col min="6409" max="6413" width="14.5703125" style="18" customWidth="1"/>
    <col min="6414" max="6656" width="11.42578125" style="18"/>
    <col min="6657" max="6657" width="32.85546875" style="18" customWidth="1"/>
    <col min="6658" max="6660" width="13.85546875" style="18" customWidth="1"/>
    <col min="6661" max="6661" width="16.5703125" style="18" bestFit="1" customWidth="1"/>
    <col min="6662" max="6662" width="13.85546875" style="18" customWidth="1"/>
    <col min="6663" max="6663" width="34.7109375" style="18" customWidth="1"/>
    <col min="6664" max="6664" width="12.85546875" style="18" bestFit="1" customWidth="1"/>
    <col min="6665" max="6669" width="14.5703125" style="18" customWidth="1"/>
    <col min="6670" max="6912" width="11.42578125" style="18"/>
    <col min="6913" max="6913" width="32.85546875" style="18" customWidth="1"/>
    <col min="6914" max="6916" width="13.85546875" style="18" customWidth="1"/>
    <col min="6917" max="6917" width="16.5703125" style="18" bestFit="1" customWidth="1"/>
    <col min="6918" max="6918" width="13.85546875" style="18" customWidth="1"/>
    <col min="6919" max="6919" width="34.7109375" style="18" customWidth="1"/>
    <col min="6920" max="6920" width="12.85546875" style="18" bestFit="1" customWidth="1"/>
    <col min="6921" max="6925" width="14.5703125" style="18" customWidth="1"/>
    <col min="6926" max="7168" width="11.42578125" style="18"/>
    <col min="7169" max="7169" width="32.85546875" style="18" customWidth="1"/>
    <col min="7170" max="7172" width="13.85546875" style="18" customWidth="1"/>
    <col min="7173" max="7173" width="16.5703125" style="18" bestFit="1" customWidth="1"/>
    <col min="7174" max="7174" width="13.85546875" style="18" customWidth="1"/>
    <col min="7175" max="7175" width="34.7109375" style="18" customWidth="1"/>
    <col min="7176" max="7176" width="12.85546875" style="18" bestFit="1" customWidth="1"/>
    <col min="7177" max="7181" width="14.5703125" style="18" customWidth="1"/>
    <col min="7182" max="7424" width="11.42578125" style="18"/>
    <col min="7425" max="7425" width="32.85546875" style="18" customWidth="1"/>
    <col min="7426" max="7428" width="13.85546875" style="18" customWidth="1"/>
    <col min="7429" max="7429" width="16.5703125" style="18" bestFit="1" customWidth="1"/>
    <col min="7430" max="7430" width="13.85546875" style="18" customWidth="1"/>
    <col min="7431" max="7431" width="34.7109375" style="18" customWidth="1"/>
    <col min="7432" max="7432" width="12.85546875" style="18" bestFit="1" customWidth="1"/>
    <col min="7433" max="7437" width="14.5703125" style="18" customWidth="1"/>
    <col min="7438" max="7680" width="11.42578125" style="18"/>
    <col min="7681" max="7681" width="32.85546875" style="18" customWidth="1"/>
    <col min="7682" max="7684" width="13.85546875" style="18" customWidth="1"/>
    <col min="7685" max="7685" width="16.5703125" style="18" bestFit="1" customWidth="1"/>
    <col min="7686" max="7686" width="13.85546875" style="18" customWidth="1"/>
    <col min="7687" max="7687" width="34.7109375" style="18" customWidth="1"/>
    <col min="7688" max="7688" width="12.85546875" style="18" bestFit="1" customWidth="1"/>
    <col min="7689" max="7693" width="14.5703125" style="18" customWidth="1"/>
    <col min="7694" max="7936" width="11.42578125" style="18"/>
    <col min="7937" max="7937" width="32.85546875" style="18" customWidth="1"/>
    <col min="7938" max="7940" width="13.85546875" style="18" customWidth="1"/>
    <col min="7941" max="7941" width="16.5703125" style="18" bestFit="1" customWidth="1"/>
    <col min="7942" max="7942" width="13.85546875" style="18" customWidth="1"/>
    <col min="7943" max="7943" width="34.7109375" style="18" customWidth="1"/>
    <col min="7944" max="7944" width="12.85546875" style="18" bestFit="1" customWidth="1"/>
    <col min="7945" max="7949" width="14.5703125" style="18" customWidth="1"/>
    <col min="7950" max="8192" width="11.42578125" style="18"/>
    <col min="8193" max="8193" width="32.85546875" style="18" customWidth="1"/>
    <col min="8194" max="8196" width="13.85546875" style="18" customWidth="1"/>
    <col min="8197" max="8197" width="16.5703125" style="18" bestFit="1" customWidth="1"/>
    <col min="8198" max="8198" width="13.85546875" style="18" customWidth="1"/>
    <col min="8199" max="8199" width="34.7109375" style="18" customWidth="1"/>
    <col min="8200" max="8200" width="12.85546875" style="18" bestFit="1" customWidth="1"/>
    <col min="8201" max="8205" width="14.5703125" style="18" customWidth="1"/>
    <col min="8206" max="8448" width="11.42578125" style="18"/>
    <col min="8449" max="8449" width="32.85546875" style="18" customWidth="1"/>
    <col min="8450" max="8452" width="13.85546875" style="18" customWidth="1"/>
    <col min="8453" max="8453" width="16.5703125" style="18" bestFit="1" customWidth="1"/>
    <col min="8454" max="8454" width="13.85546875" style="18" customWidth="1"/>
    <col min="8455" max="8455" width="34.7109375" style="18" customWidth="1"/>
    <col min="8456" max="8456" width="12.85546875" style="18" bestFit="1" customWidth="1"/>
    <col min="8457" max="8461" width="14.5703125" style="18" customWidth="1"/>
    <col min="8462" max="8704" width="11.42578125" style="18"/>
    <col min="8705" max="8705" width="32.85546875" style="18" customWidth="1"/>
    <col min="8706" max="8708" width="13.85546875" style="18" customWidth="1"/>
    <col min="8709" max="8709" width="16.5703125" style="18" bestFit="1" customWidth="1"/>
    <col min="8710" max="8710" width="13.85546875" style="18" customWidth="1"/>
    <col min="8711" max="8711" width="34.7109375" style="18" customWidth="1"/>
    <col min="8712" max="8712" width="12.85546875" style="18" bestFit="1" customWidth="1"/>
    <col min="8713" max="8717" width="14.5703125" style="18" customWidth="1"/>
    <col min="8718" max="8960" width="11.42578125" style="18"/>
    <col min="8961" max="8961" width="32.85546875" style="18" customWidth="1"/>
    <col min="8962" max="8964" width="13.85546875" style="18" customWidth="1"/>
    <col min="8965" max="8965" width="16.5703125" style="18" bestFit="1" customWidth="1"/>
    <col min="8966" max="8966" width="13.85546875" style="18" customWidth="1"/>
    <col min="8967" max="8967" width="34.7109375" style="18" customWidth="1"/>
    <col min="8968" max="8968" width="12.85546875" style="18" bestFit="1" customWidth="1"/>
    <col min="8969" max="8973" width="14.5703125" style="18" customWidth="1"/>
    <col min="8974" max="9216" width="11.42578125" style="18"/>
    <col min="9217" max="9217" width="32.85546875" style="18" customWidth="1"/>
    <col min="9218" max="9220" width="13.85546875" style="18" customWidth="1"/>
    <col min="9221" max="9221" width="16.5703125" style="18" bestFit="1" customWidth="1"/>
    <col min="9222" max="9222" width="13.85546875" style="18" customWidth="1"/>
    <col min="9223" max="9223" width="34.7109375" style="18" customWidth="1"/>
    <col min="9224" max="9224" width="12.85546875" style="18" bestFit="1" customWidth="1"/>
    <col min="9225" max="9229" width="14.5703125" style="18" customWidth="1"/>
    <col min="9230" max="9472" width="11.42578125" style="18"/>
    <col min="9473" max="9473" width="32.85546875" style="18" customWidth="1"/>
    <col min="9474" max="9476" width="13.85546875" style="18" customWidth="1"/>
    <col min="9477" max="9477" width="16.5703125" style="18" bestFit="1" customWidth="1"/>
    <col min="9478" max="9478" width="13.85546875" style="18" customWidth="1"/>
    <col min="9479" max="9479" width="34.7109375" style="18" customWidth="1"/>
    <col min="9480" max="9480" width="12.85546875" style="18" bestFit="1" customWidth="1"/>
    <col min="9481" max="9485" width="14.5703125" style="18" customWidth="1"/>
    <col min="9486" max="9728" width="11.42578125" style="18"/>
    <col min="9729" max="9729" width="32.85546875" style="18" customWidth="1"/>
    <col min="9730" max="9732" width="13.85546875" style="18" customWidth="1"/>
    <col min="9733" max="9733" width="16.5703125" style="18" bestFit="1" customWidth="1"/>
    <col min="9734" max="9734" width="13.85546875" style="18" customWidth="1"/>
    <col min="9735" max="9735" width="34.7109375" style="18" customWidth="1"/>
    <col min="9736" max="9736" width="12.85546875" style="18" bestFit="1" customWidth="1"/>
    <col min="9737" max="9741" width="14.5703125" style="18" customWidth="1"/>
    <col min="9742" max="9984" width="11.42578125" style="18"/>
    <col min="9985" max="9985" width="32.85546875" style="18" customWidth="1"/>
    <col min="9986" max="9988" width="13.85546875" style="18" customWidth="1"/>
    <col min="9989" max="9989" width="16.5703125" style="18" bestFit="1" customWidth="1"/>
    <col min="9990" max="9990" width="13.85546875" style="18" customWidth="1"/>
    <col min="9991" max="9991" width="34.7109375" style="18" customWidth="1"/>
    <col min="9992" max="9992" width="12.85546875" style="18" bestFit="1" customWidth="1"/>
    <col min="9993" max="9997" width="14.5703125" style="18" customWidth="1"/>
    <col min="9998" max="10240" width="11.42578125" style="18"/>
    <col min="10241" max="10241" width="32.85546875" style="18" customWidth="1"/>
    <col min="10242" max="10244" width="13.85546875" style="18" customWidth="1"/>
    <col min="10245" max="10245" width="16.5703125" style="18" bestFit="1" customWidth="1"/>
    <col min="10246" max="10246" width="13.85546875" style="18" customWidth="1"/>
    <col min="10247" max="10247" width="34.7109375" style="18" customWidth="1"/>
    <col min="10248" max="10248" width="12.85546875" style="18" bestFit="1" customWidth="1"/>
    <col min="10249" max="10253" width="14.5703125" style="18" customWidth="1"/>
    <col min="10254" max="10496" width="11.42578125" style="18"/>
    <col min="10497" max="10497" width="32.85546875" style="18" customWidth="1"/>
    <col min="10498" max="10500" width="13.85546875" style="18" customWidth="1"/>
    <col min="10501" max="10501" width="16.5703125" style="18" bestFit="1" customWidth="1"/>
    <col min="10502" max="10502" width="13.85546875" style="18" customWidth="1"/>
    <col min="10503" max="10503" width="34.7109375" style="18" customWidth="1"/>
    <col min="10504" max="10504" width="12.85546875" style="18" bestFit="1" customWidth="1"/>
    <col min="10505" max="10509" width="14.5703125" style="18" customWidth="1"/>
    <col min="10510" max="10752" width="11.42578125" style="18"/>
    <col min="10753" max="10753" width="32.85546875" style="18" customWidth="1"/>
    <col min="10754" max="10756" width="13.85546875" style="18" customWidth="1"/>
    <col min="10757" max="10757" width="16.5703125" style="18" bestFit="1" customWidth="1"/>
    <col min="10758" max="10758" width="13.85546875" style="18" customWidth="1"/>
    <col min="10759" max="10759" width="34.7109375" style="18" customWidth="1"/>
    <col min="10760" max="10760" width="12.85546875" style="18" bestFit="1" customWidth="1"/>
    <col min="10761" max="10765" width="14.5703125" style="18" customWidth="1"/>
    <col min="10766" max="11008" width="11.42578125" style="18"/>
    <col min="11009" max="11009" width="32.85546875" style="18" customWidth="1"/>
    <col min="11010" max="11012" width="13.85546875" style="18" customWidth="1"/>
    <col min="11013" max="11013" width="16.5703125" style="18" bestFit="1" customWidth="1"/>
    <col min="11014" max="11014" width="13.85546875" style="18" customWidth="1"/>
    <col min="11015" max="11015" width="34.7109375" style="18" customWidth="1"/>
    <col min="11016" max="11016" width="12.85546875" style="18" bestFit="1" customWidth="1"/>
    <col min="11017" max="11021" width="14.5703125" style="18" customWidth="1"/>
    <col min="11022" max="11264" width="11.42578125" style="18"/>
    <col min="11265" max="11265" width="32.85546875" style="18" customWidth="1"/>
    <col min="11266" max="11268" width="13.85546875" style="18" customWidth="1"/>
    <col min="11269" max="11269" width="16.5703125" style="18" bestFit="1" customWidth="1"/>
    <col min="11270" max="11270" width="13.85546875" style="18" customWidth="1"/>
    <col min="11271" max="11271" width="34.7109375" style="18" customWidth="1"/>
    <col min="11272" max="11272" width="12.85546875" style="18" bestFit="1" customWidth="1"/>
    <col min="11273" max="11277" width="14.5703125" style="18" customWidth="1"/>
    <col min="11278" max="11520" width="11.42578125" style="18"/>
    <col min="11521" max="11521" width="32.85546875" style="18" customWidth="1"/>
    <col min="11522" max="11524" width="13.85546875" style="18" customWidth="1"/>
    <col min="11525" max="11525" width="16.5703125" style="18" bestFit="1" customWidth="1"/>
    <col min="11526" max="11526" width="13.85546875" style="18" customWidth="1"/>
    <col min="11527" max="11527" width="34.7109375" style="18" customWidth="1"/>
    <col min="11528" max="11528" width="12.85546875" style="18" bestFit="1" customWidth="1"/>
    <col min="11529" max="11533" width="14.5703125" style="18" customWidth="1"/>
    <col min="11534" max="11776" width="11.42578125" style="18"/>
    <col min="11777" max="11777" width="32.85546875" style="18" customWidth="1"/>
    <col min="11778" max="11780" width="13.85546875" style="18" customWidth="1"/>
    <col min="11781" max="11781" width="16.5703125" style="18" bestFit="1" customWidth="1"/>
    <col min="11782" max="11782" width="13.85546875" style="18" customWidth="1"/>
    <col min="11783" max="11783" width="34.7109375" style="18" customWidth="1"/>
    <col min="11784" max="11784" width="12.85546875" style="18" bestFit="1" customWidth="1"/>
    <col min="11785" max="11789" width="14.5703125" style="18" customWidth="1"/>
    <col min="11790" max="12032" width="11.42578125" style="18"/>
    <col min="12033" max="12033" width="32.85546875" style="18" customWidth="1"/>
    <col min="12034" max="12036" width="13.85546875" style="18" customWidth="1"/>
    <col min="12037" max="12037" width="16.5703125" style="18" bestFit="1" customWidth="1"/>
    <col min="12038" max="12038" width="13.85546875" style="18" customWidth="1"/>
    <col min="12039" max="12039" width="34.7109375" style="18" customWidth="1"/>
    <col min="12040" max="12040" width="12.85546875" style="18" bestFit="1" customWidth="1"/>
    <col min="12041" max="12045" width="14.5703125" style="18" customWidth="1"/>
    <col min="12046" max="12288" width="11.42578125" style="18"/>
    <col min="12289" max="12289" width="32.85546875" style="18" customWidth="1"/>
    <col min="12290" max="12292" width="13.85546875" style="18" customWidth="1"/>
    <col min="12293" max="12293" width="16.5703125" style="18" bestFit="1" customWidth="1"/>
    <col min="12294" max="12294" width="13.85546875" style="18" customWidth="1"/>
    <col min="12295" max="12295" width="34.7109375" style="18" customWidth="1"/>
    <col min="12296" max="12296" width="12.85546875" style="18" bestFit="1" customWidth="1"/>
    <col min="12297" max="12301" width="14.5703125" style="18" customWidth="1"/>
    <col min="12302" max="12544" width="11.42578125" style="18"/>
    <col min="12545" max="12545" width="32.85546875" style="18" customWidth="1"/>
    <col min="12546" max="12548" width="13.85546875" style="18" customWidth="1"/>
    <col min="12549" max="12549" width="16.5703125" style="18" bestFit="1" customWidth="1"/>
    <col min="12550" max="12550" width="13.85546875" style="18" customWidth="1"/>
    <col min="12551" max="12551" width="34.7109375" style="18" customWidth="1"/>
    <col min="12552" max="12552" width="12.85546875" style="18" bestFit="1" customWidth="1"/>
    <col min="12553" max="12557" width="14.5703125" style="18" customWidth="1"/>
    <col min="12558" max="12800" width="11.42578125" style="18"/>
    <col min="12801" max="12801" width="32.85546875" style="18" customWidth="1"/>
    <col min="12802" max="12804" width="13.85546875" style="18" customWidth="1"/>
    <col min="12805" max="12805" width="16.5703125" style="18" bestFit="1" customWidth="1"/>
    <col min="12806" max="12806" width="13.85546875" style="18" customWidth="1"/>
    <col min="12807" max="12807" width="34.7109375" style="18" customWidth="1"/>
    <col min="12808" max="12808" width="12.85546875" style="18" bestFit="1" customWidth="1"/>
    <col min="12809" max="12813" width="14.5703125" style="18" customWidth="1"/>
    <col min="12814" max="13056" width="11.42578125" style="18"/>
    <col min="13057" max="13057" width="32.85546875" style="18" customWidth="1"/>
    <col min="13058" max="13060" width="13.85546875" style="18" customWidth="1"/>
    <col min="13061" max="13061" width="16.5703125" style="18" bestFit="1" customWidth="1"/>
    <col min="13062" max="13062" width="13.85546875" style="18" customWidth="1"/>
    <col min="13063" max="13063" width="34.7109375" style="18" customWidth="1"/>
    <col min="13064" max="13064" width="12.85546875" style="18" bestFit="1" customWidth="1"/>
    <col min="13065" max="13069" width="14.5703125" style="18" customWidth="1"/>
    <col min="13070" max="13312" width="11.42578125" style="18"/>
    <col min="13313" max="13313" width="32.85546875" style="18" customWidth="1"/>
    <col min="13314" max="13316" width="13.85546875" style="18" customWidth="1"/>
    <col min="13317" max="13317" width="16.5703125" style="18" bestFit="1" customWidth="1"/>
    <col min="13318" max="13318" width="13.85546875" style="18" customWidth="1"/>
    <col min="13319" max="13319" width="34.7109375" style="18" customWidth="1"/>
    <col min="13320" max="13320" width="12.85546875" style="18" bestFit="1" customWidth="1"/>
    <col min="13321" max="13325" width="14.5703125" style="18" customWidth="1"/>
    <col min="13326" max="13568" width="11.42578125" style="18"/>
    <col min="13569" max="13569" width="32.85546875" style="18" customWidth="1"/>
    <col min="13570" max="13572" width="13.85546875" style="18" customWidth="1"/>
    <col min="13573" max="13573" width="16.5703125" style="18" bestFit="1" customWidth="1"/>
    <col min="13574" max="13574" width="13.85546875" style="18" customWidth="1"/>
    <col min="13575" max="13575" width="34.7109375" style="18" customWidth="1"/>
    <col min="13576" max="13576" width="12.85546875" style="18" bestFit="1" customWidth="1"/>
    <col min="13577" max="13581" width="14.5703125" style="18" customWidth="1"/>
    <col min="13582" max="13824" width="11.42578125" style="18"/>
    <col min="13825" max="13825" width="32.85546875" style="18" customWidth="1"/>
    <col min="13826" max="13828" width="13.85546875" style="18" customWidth="1"/>
    <col min="13829" max="13829" width="16.5703125" style="18" bestFit="1" customWidth="1"/>
    <col min="13830" max="13830" width="13.85546875" style="18" customWidth="1"/>
    <col min="13831" max="13831" width="34.7109375" style="18" customWidth="1"/>
    <col min="13832" max="13832" width="12.85546875" style="18" bestFit="1" customWidth="1"/>
    <col min="13833" max="13837" width="14.5703125" style="18" customWidth="1"/>
    <col min="13838" max="14080" width="11.42578125" style="18"/>
    <col min="14081" max="14081" width="32.85546875" style="18" customWidth="1"/>
    <col min="14082" max="14084" width="13.85546875" style="18" customWidth="1"/>
    <col min="14085" max="14085" width="16.5703125" style="18" bestFit="1" customWidth="1"/>
    <col min="14086" max="14086" width="13.85546875" style="18" customWidth="1"/>
    <col min="14087" max="14087" width="34.7109375" style="18" customWidth="1"/>
    <col min="14088" max="14088" width="12.85546875" style="18" bestFit="1" customWidth="1"/>
    <col min="14089" max="14093" width="14.5703125" style="18" customWidth="1"/>
    <col min="14094" max="14336" width="11.42578125" style="18"/>
    <col min="14337" max="14337" width="32.85546875" style="18" customWidth="1"/>
    <col min="14338" max="14340" width="13.85546875" style="18" customWidth="1"/>
    <col min="14341" max="14341" width="16.5703125" style="18" bestFit="1" customWidth="1"/>
    <col min="14342" max="14342" width="13.85546875" style="18" customWidth="1"/>
    <col min="14343" max="14343" width="34.7109375" style="18" customWidth="1"/>
    <col min="14344" max="14344" width="12.85546875" style="18" bestFit="1" customWidth="1"/>
    <col min="14345" max="14349" width="14.5703125" style="18" customWidth="1"/>
    <col min="14350" max="14592" width="11.42578125" style="18"/>
    <col min="14593" max="14593" width="32.85546875" style="18" customWidth="1"/>
    <col min="14594" max="14596" width="13.85546875" style="18" customWidth="1"/>
    <col min="14597" max="14597" width="16.5703125" style="18" bestFit="1" customWidth="1"/>
    <col min="14598" max="14598" width="13.85546875" style="18" customWidth="1"/>
    <col min="14599" max="14599" width="34.7109375" style="18" customWidth="1"/>
    <col min="14600" max="14600" width="12.85546875" style="18" bestFit="1" customWidth="1"/>
    <col min="14601" max="14605" width="14.5703125" style="18" customWidth="1"/>
    <col min="14606" max="14848" width="11.42578125" style="18"/>
    <col min="14849" max="14849" width="32.85546875" style="18" customWidth="1"/>
    <col min="14850" max="14852" width="13.85546875" style="18" customWidth="1"/>
    <col min="14853" max="14853" width="16.5703125" style="18" bestFit="1" customWidth="1"/>
    <col min="14854" max="14854" width="13.85546875" style="18" customWidth="1"/>
    <col min="14855" max="14855" width="34.7109375" style="18" customWidth="1"/>
    <col min="14856" max="14856" width="12.85546875" style="18" bestFit="1" customWidth="1"/>
    <col min="14857" max="14861" width="14.5703125" style="18" customWidth="1"/>
    <col min="14862" max="15104" width="11.42578125" style="18"/>
    <col min="15105" max="15105" width="32.85546875" style="18" customWidth="1"/>
    <col min="15106" max="15108" width="13.85546875" style="18" customWidth="1"/>
    <col min="15109" max="15109" width="16.5703125" style="18" bestFit="1" customWidth="1"/>
    <col min="15110" max="15110" width="13.85546875" style="18" customWidth="1"/>
    <col min="15111" max="15111" width="34.7109375" style="18" customWidth="1"/>
    <col min="15112" max="15112" width="12.85546875" style="18" bestFit="1" customWidth="1"/>
    <col min="15113" max="15117" width="14.5703125" style="18" customWidth="1"/>
    <col min="15118" max="15360" width="11.42578125" style="18"/>
    <col min="15361" max="15361" width="32.85546875" style="18" customWidth="1"/>
    <col min="15362" max="15364" width="13.85546875" style="18" customWidth="1"/>
    <col min="15365" max="15365" width="16.5703125" style="18" bestFit="1" customWidth="1"/>
    <col min="15366" max="15366" width="13.85546875" style="18" customWidth="1"/>
    <col min="15367" max="15367" width="34.7109375" style="18" customWidth="1"/>
    <col min="15368" max="15368" width="12.85546875" style="18" bestFit="1" customWidth="1"/>
    <col min="15369" max="15373" width="14.5703125" style="18" customWidth="1"/>
    <col min="15374" max="15616" width="11.42578125" style="18"/>
    <col min="15617" max="15617" width="32.85546875" style="18" customWidth="1"/>
    <col min="15618" max="15620" width="13.85546875" style="18" customWidth="1"/>
    <col min="15621" max="15621" width="16.5703125" style="18" bestFit="1" customWidth="1"/>
    <col min="15622" max="15622" width="13.85546875" style="18" customWidth="1"/>
    <col min="15623" max="15623" width="34.7109375" style="18" customWidth="1"/>
    <col min="15624" max="15624" width="12.85546875" style="18" bestFit="1" customWidth="1"/>
    <col min="15625" max="15629" width="14.5703125" style="18" customWidth="1"/>
    <col min="15630" max="15872" width="11.42578125" style="18"/>
    <col min="15873" max="15873" width="32.85546875" style="18" customWidth="1"/>
    <col min="15874" max="15876" width="13.85546875" style="18" customWidth="1"/>
    <col min="15877" max="15877" width="16.5703125" style="18" bestFit="1" customWidth="1"/>
    <col min="15878" max="15878" width="13.85546875" style="18" customWidth="1"/>
    <col min="15879" max="15879" width="34.7109375" style="18" customWidth="1"/>
    <col min="15880" max="15880" width="12.85546875" style="18" bestFit="1" customWidth="1"/>
    <col min="15881" max="15885" width="14.5703125" style="18" customWidth="1"/>
    <col min="15886" max="16128" width="11.42578125" style="18"/>
    <col min="16129" max="16129" width="32.85546875" style="18" customWidth="1"/>
    <col min="16130" max="16132" width="13.85546875" style="18" customWidth="1"/>
    <col min="16133" max="16133" width="16.5703125" style="18" bestFit="1" customWidth="1"/>
    <col min="16134" max="16134" width="13.85546875" style="18" customWidth="1"/>
    <col min="16135" max="16135" width="34.7109375" style="18" customWidth="1"/>
    <col min="16136" max="16136" width="12.85546875" style="18" bestFit="1" customWidth="1"/>
    <col min="16137" max="16141" width="14.5703125" style="18" customWidth="1"/>
    <col min="16142" max="16384" width="11.42578125" style="18"/>
  </cols>
  <sheetData>
    <row r="1" spans="1:5" x14ac:dyDescent="0.25">
      <c r="A1" s="90" t="s">
        <v>97</v>
      </c>
      <c r="C1" s="18"/>
      <c r="D1" s="91"/>
    </row>
    <row r="2" spans="1:5" x14ac:dyDescent="0.25">
      <c r="C2" s="18"/>
      <c r="D2" s="91"/>
      <c r="E2" s="19"/>
    </row>
    <row r="3" spans="1:5" x14ac:dyDescent="0.25">
      <c r="A3" s="334" t="s">
        <v>63</v>
      </c>
      <c r="B3" s="334"/>
      <c r="C3" s="334"/>
      <c r="D3" s="334"/>
      <c r="E3" s="334"/>
    </row>
    <row r="4" spans="1:5" x14ac:dyDescent="0.25">
      <c r="A4" s="92" t="s">
        <v>64</v>
      </c>
      <c r="B4" s="92" t="s">
        <v>98</v>
      </c>
      <c r="C4" s="92" t="s">
        <v>60</v>
      </c>
      <c r="D4" s="92" t="s">
        <v>61</v>
      </c>
      <c r="E4" s="92" t="s">
        <v>99</v>
      </c>
    </row>
    <row r="5" spans="1:5" x14ac:dyDescent="0.25">
      <c r="A5" s="54" t="s">
        <v>93</v>
      </c>
      <c r="B5" s="93" t="s">
        <v>130</v>
      </c>
      <c r="C5" s="153">
        <v>12</v>
      </c>
      <c r="D5" s="77">
        <v>30</v>
      </c>
      <c r="E5" s="93">
        <f t="shared" ref="E5:E11" si="0">C5*D5</f>
        <v>360</v>
      </c>
    </row>
    <row r="6" spans="1:5" x14ac:dyDescent="0.25">
      <c r="A6" s="54" t="s">
        <v>11</v>
      </c>
      <c r="B6" s="93" t="s">
        <v>130</v>
      </c>
      <c r="C6" s="153">
        <v>12</v>
      </c>
      <c r="D6" s="79">
        <v>1.7</v>
      </c>
      <c r="E6" s="93">
        <f t="shared" si="0"/>
        <v>20.399999999999999</v>
      </c>
    </row>
    <row r="7" spans="1:5" x14ac:dyDescent="0.25">
      <c r="A7" s="54" t="s">
        <v>53</v>
      </c>
      <c r="B7" s="38" t="s">
        <v>130</v>
      </c>
      <c r="C7" s="38">
        <v>12</v>
      </c>
      <c r="D7" s="93">
        <v>10</v>
      </c>
      <c r="E7" s="93">
        <f t="shared" si="0"/>
        <v>120</v>
      </c>
    </row>
    <row r="8" spans="1:5" x14ac:dyDescent="0.25">
      <c r="A8" s="54" t="s">
        <v>54</v>
      </c>
      <c r="B8" s="38" t="s">
        <v>130</v>
      </c>
      <c r="C8" s="38">
        <v>12</v>
      </c>
      <c r="D8" s="93">
        <v>10</v>
      </c>
      <c r="E8" s="93">
        <f t="shared" si="0"/>
        <v>120</v>
      </c>
    </row>
    <row r="9" spans="1:5" x14ac:dyDescent="0.25">
      <c r="A9" s="54" t="s">
        <v>65</v>
      </c>
      <c r="B9" s="38" t="s">
        <v>130</v>
      </c>
      <c r="C9" s="38">
        <v>12</v>
      </c>
      <c r="D9" s="39">
        <v>50</v>
      </c>
      <c r="E9" s="93">
        <f t="shared" si="0"/>
        <v>600</v>
      </c>
    </row>
    <row r="10" spans="1:5" x14ac:dyDescent="0.25">
      <c r="A10" s="54" t="s">
        <v>56</v>
      </c>
      <c r="B10" s="38" t="s">
        <v>130</v>
      </c>
      <c r="C10" s="38">
        <v>12</v>
      </c>
      <c r="D10" s="39">
        <v>50</v>
      </c>
      <c r="E10" s="93">
        <f t="shared" si="0"/>
        <v>600</v>
      </c>
    </row>
    <row r="11" spans="1:5" x14ac:dyDescent="0.25">
      <c r="A11" s="54" t="s">
        <v>52</v>
      </c>
      <c r="B11" s="38" t="s">
        <v>130</v>
      </c>
      <c r="C11" s="38">
        <v>12</v>
      </c>
      <c r="D11" s="39">
        <v>20</v>
      </c>
      <c r="E11" s="93">
        <f t="shared" si="0"/>
        <v>240</v>
      </c>
    </row>
    <row r="12" spans="1:5" x14ac:dyDescent="0.25">
      <c r="A12" s="335" t="s">
        <v>7</v>
      </c>
      <c r="B12" s="335"/>
      <c r="C12" s="335"/>
      <c r="D12" s="335"/>
      <c r="E12" s="94">
        <f>SUM(E7:E11)</f>
        <v>1680</v>
      </c>
    </row>
    <row r="13" spans="1:5" x14ac:dyDescent="0.25">
      <c r="A13" s="25"/>
      <c r="B13" s="25"/>
      <c r="C13" s="25"/>
      <c r="D13" s="26"/>
      <c r="E13" s="25"/>
    </row>
    <row r="14" spans="1:5" x14ac:dyDescent="0.25">
      <c r="A14" s="333" t="s">
        <v>100</v>
      </c>
      <c r="B14" s="333"/>
      <c r="C14" s="333"/>
      <c r="D14" s="333"/>
      <c r="E14" s="333"/>
    </row>
    <row r="15" spans="1:5" x14ac:dyDescent="0.25">
      <c r="A15" s="92" t="s">
        <v>101</v>
      </c>
      <c r="B15" s="92" t="s">
        <v>98</v>
      </c>
      <c r="C15" s="92" t="s">
        <v>60</v>
      </c>
      <c r="D15" s="92" t="s">
        <v>61</v>
      </c>
      <c r="E15" s="92" t="s">
        <v>99</v>
      </c>
    </row>
    <row r="16" spans="1:5" x14ac:dyDescent="0.25">
      <c r="A16" s="80" t="s">
        <v>102</v>
      </c>
      <c r="B16" s="4" t="s">
        <v>103</v>
      </c>
      <c r="C16" s="4">
        <v>1</v>
      </c>
      <c r="D16" s="6">
        <v>10</v>
      </c>
      <c r="E16" s="6">
        <f>D16*C16*12</f>
        <v>120</v>
      </c>
    </row>
    <row r="17" spans="1:5" x14ac:dyDescent="0.25">
      <c r="A17" s="335" t="s">
        <v>7</v>
      </c>
      <c r="B17" s="335"/>
      <c r="C17" s="335"/>
      <c r="D17" s="335"/>
      <c r="E17" s="94">
        <f>SUM(E16:E16)</f>
        <v>120</v>
      </c>
    </row>
    <row r="18" spans="1:5" x14ac:dyDescent="0.25">
      <c r="A18"/>
      <c r="C18" s="18"/>
      <c r="D18" s="91"/>
    </row>
    <row r="19" spans="1:5" x14ac:dyDescent="0.25">
      <c r="A19" s="333" t="s">
        <v>104</v>
      </c>
      <c r="B19" s="333"/>
      <c r="C19" s="333"/>
      <c r="D19" s="333"/>
      <c r="E19" s="333"/>
    </row>
    <row r="20" spans="1:5" x14ac:dyDescent="0.25">
      <c r="A20" s="92" t="s">
        <v>101</v>
      </c>
      <c r="B20" s="92" t="s">
        <v>98</v>
      </c>
      <c r="C20" s="92" t="s">
        <v>60</v>
      </c>
      <c r="D20" s="92" t="s">
        <v>61</v>
      </c>
      <c r="E20" s="92" t="s">
        <v>99</v>
      </c>
    </row>
    <row r="21" spans="1:5" x14ac:dyDescent="0.25">
      <c r="A21" s="95" t="s">
        <v>88</v>
      </c>
      <c r="B21" s="38" t="s">
        <v>88</v>
      </c>
      <c r="C21" s="55">
        <v>0</v>
      </c>
      <c r="D21" s="96">
        <v>0</v>
      </c>
      <c r="E21" s="96">
        <f>C21*D21</f>
        <v>0</v>
      </c>
    </row>
    <row r="22" spans="1:5" x14ac:dyDescent="0.25">
      <c r="A22" s="335" t="s">
        <v>7</v>
      </c>
      <c r="B22" s="335"/>
      <c r="C22" s="335"/>
      <c r="D22" s="335"/>
      <c r="E22" s="94">
        <f>SUM(E21:E21)</f>
        <v>0</v>
      </c>
    </row>
    <row r="24" spans="1:5" x14ac:dyDescent="0.25">
      <c r="A24" s="336" t="s">
        <v>59</v>
      </c>
      <c r="B24" s="336"/>
      <c r="C24" s="336"/>
      <c r="D24" s="336"/>
      <c r="E24" s="336"/>
    </row>
    <row r="25" spans="1:5" ht="25.5" x14ac:dyDescent="0.25">
      <c r="A25" s="98" t="s">
        <v>43</v>
      </c>
      <c r="B25" s="99" t="s">
        <v>1</v>
      </c>
      <c r="C25" s="100" t="s">
        <v>105</v>
      </c>
      <c r="D25" s="101" t="s">
        <v>106</v>
      </c>
      <c r="E25" s="101" t="s">
        <v>62</v>
      </c>
    </row>
    <row r="26" spans="1:5" x14ac:dyDescent="0.25">
      <c r="A26" s="1" t="s">
        <v>107</v>
      </c>
      <c r="B26" s="4"/>
      <c r="C26" s="2"/>
      <c r="D26" s="4"/>
      <c r="E26" s="102">
        <f>SUM(E27:E29)</f>
        <v>0</v>
      </c>
    </row>
    <row r="27" spans="1:5" x14ac:dyDescent="0.25">
      <c r="A27" s="10" t="s">
        <v>88</v>
      </c>
      <c r="B27" s="4" t="s">
        <v>88</v>
      </c>
      <c r="C27" s="103">
        <v>0</v>
      </c>
      <c r="D27" s="104">
        <v>0</v>
      </c>
      <c r="E27" s="71">
        <f>C27*D27</f>
        <v>0</v>
      </c>
    </row>
    <row r="28" spans="1:5" x14ac:dyDescent="0.25">
      <c r="A28" s="105" t="s">
        <v>88</v>
      </c>
      <c r="B28" s="4" t="s">
        <v>88</v>
      </c>
      <c r="C28" s="60">
        <v>0</v>
      </c>
      <c r="D28" s="5">
        <v>0</v>
      </c>
      <c r="E28" s="71">
        <f>C28*D28</f>
        <v>0</v>
      </c>
    </row>
    <row r="30" spans="1:5" x14ac:dyDescent="0.25">
      <c r="A30" s="106"/>
      <c r="B30" s="107"/>
      <c r="C30" s="108"/>
      <c r="D30" s="109"/>
      <c r="E30" s="110"/>
    </row>
    <row r="31" spans="1:5" x14ac:dyDescent="0.25">
      <c r="A31" s="336" t="s">
        <v>108</v>
      </c>
      <c r="B31" s="336"/>
      <c r="C31" s="336"/>
      <c r="D31" s="336"/>
      <c r="E31" s="336"/>
    </row>
    <row r="32" spans="1:5" ht="25.5" x14ac:dyDescent="0.25">
      <c r="A32" s="111" t="s">
        <v>43</v>
      </c>
      <c r="B32" s="112" t="s">
        <v>1</v>
      </c>
      <c r="C32" s="112" t="s">
        <v>105</v>
      </c>
      <c r="D32" s="111" t="s">
        <v>106</v>
      </c>
      <c r="E32" s="111" t="s">
        <v>62</v>
      </c>
    </row>
    <row r="33" spans="1:5" x14ac:dyDescent="0.25">
      <c r="A33" s="1" t="s">
        <v>109</v>
      </c>
      <c r="B33" s="4"/>
      <c r="C33" s="2"/>
      <c r="D33" s="4"/>
      <c r="E33" s="102">
        <f>SUM(E34:E35)</f>
        <v>0</v>
      </c>
    </row>
    <row r="34" spans="1:5" ht="26.25" x14ac:dyDescent="0.25">
      <c r="A34" s="67" t="str">
        <f>+A21</f>
        <v>-</v>
      </c>
      <c r="B34" s="38" t="str">
        <f>+B21</f>
        <v>-</v>
      </c>
      <c r="C34" s="55">
        <f>+C21</f>
        <v>0</v>
      </c>
      <c r="D34" s="113">
        <f>+D21</f>
        <v>0</v>
      </c>
      <c r="E34" s="79">
        <f>C34*D34</f>
        <v>0</v>
      </c>
    </row>
    <row r="35" spans="1:5" x14ac:dyDescent="0.25">
      <c r="A35" s="10" t="str">
        <f>+A28</f>
        <v>-</v>
      </c>
      <c r="B35" s="38" t="str">
        <f>+B28</f>
        <v>-</v>
      </c>
      <c r="C35" s="55">
        <f>+C28</f>
        <v>0</v>
      </c>
      <c r="D35" s="114">
        <v>0</v>
      </c>
      <c r="E35" s="79">
        <f>C35*D35</f>
        <v>0</v>
      </c>
    </row>
    <row r="36" spans="1:5" x14ac:dyDescent="0.25">
      <c r="A36" s="1" t="s">
        <v>110</v>
      </c>
      <c r="B36" s="38"/>
      <c r="C36" s="55"/>
      <c r="D36" s="115"/>
      <c r="E36" s="116">
        <f>SUM(E39:E42)</f>
        <v>960</v>
      </c>
    </row>
    <row r="37" spans="1:5" x14ac:dyDescent="0.25">
      <c r="A37" s="10" t="str">
        <f>+A5</f>
        <v>Hosting</v>
      </c>
      <c r="B37" s="4" t="str">
        <f t="shared" ref="B37:E37" si="1">+B5</f>
        <v>Mes</v>
      </c>
      <c r="C37" s="4">
        <f t="shared" si="1"/>
        <v>12</v>
      </c>
      <c r="D37" s="114">
        <f t="shared" si="1"/>
        <v>30</v>
      </c>
      <c r="E37" s="79">
        <f t="shared" si="1"/>
        <v>360</v>
      </c>
    </row>
    <row r="38" spans="1:5" x14ac:dyDescent="0.25">
      <c r="A38" s="10" t="str">
        <f>+A6</f>
        <v>Dominio web</v>
      </c>
      <c r="B38" s="4" t="str">
        <f t="shared" ref="B38:E38" si="2">+B6</f>
        <v>Mes</v>
      </c>
      <c r="C38" s="4">
        <f t="shared" si="2"/>
        <v>12</v>
      </c>
      <c r="D38" s="114">
        <f t="shared" si="2"/>
        <v>1.7</v>
      </c>
      <c r="E38" s="79">
        <f t="shared" si="2"/>
        <v>20.399999999999999</v>
      </c>
    </row>
    <row r="39" spans="1:5" x14ac:dyDescent="0.25">
      <c r="A39" s="10" t="str">
        <f>+A7</f>
        <v>Luz</v>
      </c>
      <c r="B39" s="38" t="str">
        <f>+B7</f>
        <v>Mes</v>
      </c>
      <c r="C39" s="38">
        <f>+C7</f>
        <v>12</v>
      </c>
      <c r="D39" s="114">
        <f>+D7</f>
        <v>10</v>
      </c>
      <c r="E39" s="79">
        <f>C39*D39</f>
        <v>120</v>
      </c>
    </row>
    <row r="40" spans="1:5" x14ac:dyDescent="0.25">
      <c r="A40" s="10" t="str">
        <f t="shared" ref="A40:D41" si="3">+A10</f>
        <v>Internet</v>
      </c>
      <c r="B40" s="38" t="str">
        <f t="shared" si="3"/>
        <v>Mes</v>
      </c>
      <c r="C40" s="38">
        <f t="shared" si="3"/>
        <v>12</v>
      </c>
      <c r="D40" s="114">
        <f t="shared" si="3"/>
        <v>50</v>
      </c>
      <c r="E40" s="79">
        <f>C40*D40</f>
        <v>600</v>
      </c>
    </row>
    <row r="41" spans="1:5" x14ac:dyDescent="0.25">
      <c r="A41" s="10" t="str">
        <f t="shared" si="3"/>
        <v>Mantenimiento</v>
      </c>
      <c r="B41" s="38" t="str">
        <f t="shared" si="3"/>
        <v>Mes</v>
      </c>
      <c r="C41" s="38">
        <f t="shared" si="3"/>
        <v>12</v>
      </c>
      <c r="D41" s="114">
        <f t="shared" si="3"/>
        <v>20</v>
      </c>
      <c r="E41" s="79">
        <f>C41*D41</f>
        <v>240</v>
      </c>
    </row>
    <row r="42" spans="1:5" x14ac:dyDescent="0.25">
      <c r="A42" s="89" t="s">
        <v>88</v>
      </c>
      <c r="B42" s="117" t="s">
        <v>88</v>
      </c>
      <c r="C42" s="118">
        <v>0</v>
      </c>
      <c r="D42" s="119">
        <v>0</v>
      </c>
      <c r="E42" s="71">
        <f>C42*D42</f>
        <v>0</v>
      </c>
    </row>
    <row r="43" spans="1:5" x14ac:dyDescent="0.25">
      <c r="A43" s="336" t="s">
        <v>111</v>
      </c>
      <c r="B43" s="336"/>
      <c r="C43" s="336"/>
      <c r="D43" s="336"/>
      <c r="E43" s="120">
        <f>+E33+E36</f>
        <v>960</v>
      </c>
    </row>
    <row r="44" spans="1:5" x14ac:dyDescent="0.25">
      <c r="A44" s="110"/>
      <c r="B44" s="110"/>
      <c r="C44" s="110"/>
      <c r="D44" s="110"/>
      <c r="E44" s="110"/>
    </row>
    <row r="45" spans="1:5" x14ac:dyDescent="0.25">
      <c r="A45" s="336" t="s">
        <v>112</v>
      </c>
      <c r="B45" s="336"/>
      <c r="C45" s="336"/>
      <c r="D45" s="336"/>
      <c r="E45" s="336"/>
    </row>
    <row r="46" spans="1:5" ht="25.5" x14ac:dyDescent="0.25">
      <c r="A46" s="111" t="s">
        <v>43</v>
      </c>
      <c r="B46" s="112" t="s">
        <v>1</v>
      </c>
      <c r="C46" s="112" t="s">
        <v>105</v>
      </c>
      <c r="D46" s="111" t="s">
        <v>106</v>
      </c>
      <c r="E46" s="111" t="s">
        <v>62</v>
      </c>
    </row>
    <row r="47" spans="1:5" x14ac:dyDescent="0.25">
      <c r="A47" s="1" t="s">
        <v>113</v>
      </c>
      <c r="B47" s="4"/>
      <c r="C47" s="2"/>
      <c r="D47" s="4"/>
      <c r="E47" s="102">
        <f>SUM(E48:E48)</f>
        <v>30000</v>
      </c>
    </row>
    <row r="48" spans="1:5" x14ac:dyDescent="0.25">
      <c r="A48" s="89" t="s">
        <v>114</v>
      </c>
      <c r="B48" s="117" t="s">
        <v>130</v>
      </c>
      <c r="C48" s="117">
        <v>12</v>
      </c>
      <c r="D48" s="121">
        <v>2500</v>
      </c>
      <c r="E48" s="79">
        <f>C48*D48</f>
        <v>30000</v>
      </c>
    </row>
    <row r="49" spans="1:5" x14ac:dyDescent="0.25">
      <c r="A49" s="122" t="s">
        <v>115</v>
      </c>
      <c r="B49" s="38"/>
      <c r="C49" s="55"/>
      <c r="D49" s="123"/>
      <c r="E49" s="116">
        <f>SUM(E50:E50)</f>
        <v>12300</v>
      </c>
    </row>
    <row r="50" spans="1:5" x14ac:dyDescent="0.25">
      <c r="A50" s="89" t="s">
        <v>116</v>
      </c>
      <c r="B50" s="117" t="s">
        <v>130</v>
      </c>
      <c r="C50" s="118">
        <v>12</v>
      </c>
      <c r="D50" s="124">
        <f>+REMUNERACION!F7</f>
        <v>1025</v>
      </c>
      <c r="E50" s="79">
        <f>C50*D50</f>
        <v>12300</v>
      </c>
    </row>
    <row r="51" spans="1:5" x14ac:dyDescent="0.25">
      <c r="A51" s="336" t="s">
        <v>117</v>
      </c>
      <c r="B51" s="336"/>
      <c r="C51" s="336"/>
      <c r="D51" s="336"/>
      <c r="E51" s="120">
        <f>+E47+E49</f>
        <v>42300</v>
      </c>
    </row>
    <row r="52" spans="1:5" x14ac:dyDescent="0.25">
      <c r="A52" s="110"/>
      <c r="B52" s="110"/>
      <c r="C52" s="110"/>
      <c r="D52" s="110"/>
      <c r="E52" s="110"/>
    </row>
    <row r="53" spans="1:5" ht="14.25" customHeight="1" x14ac:dyDescent="0.25">
      <c r="A53" s="106"/>
      <c r="B53" s="107"/>
      <c r="C53" s="108"/>
      <c r="D53" s="109"/>
      <c r="E53" s="110"/>
    </row>
    <row r="54" spans="1:5" ht="14.25" customHeight="1" x14ac:dyDescent="0.25">
      <c r="A54" s="333" t="s">
        <v>66</v>
      </c>
      <c r="B54" s="333"/>
      <c r="C54" s="333"/>
      <c r="D54" s="333"/>
      <c r="E54" s="333"/>
    </row>
    <row r="55" spans="1:5" ht="38.25" x14ac:dyDescent="0.25">
      <c r="A55" s="125" t="s">
        <v>43</v>
      </c>
      <c r="B55" s="125" t="s">
        <v>1</v>
      </c>
      <c r="C55" s="125" t="s">
        <v>5</v>
      </c>
      <c r="D55" s="92" t="s">
        <v>118</v>
      </c>
      <c r="E55" s="92" t="s">
        <v>119</v>
      </c>
    </row>
    <row r="56" spans="1:5" ht="14.25" customHeight="1" x14ac:dyDescent="0.25">
      <c r="A56" s="8" t="s">
        <v>120</v>
      </c>
      <c r="B56" s="8"/>
      <c r="C56" s="126"/>
      <c r="D56" s="8"/>
      <c r="E56" s="12">
        <f>SUM(E57:E58)</f>
        <v>14700</v>
      </c>
    </row>
    <row r="57" spans="1:5" ht="14.25" customHeight="1" x14ac:dyDescent="0.25">
      <c r="A57" s="10" t="s">
        <v>30</v>
      </c>
      <c r="B57" s="117" t="s">
        <v>130</v>
      </c>
      <c r="C57" s="118">
        <v>12</v>
      </c>
      <c r="D57" s="40">
        <v>1025</v>
      </c>
      <c r="E57" s="40">
        <f>C57*D57</f>
        <v>12300</v>
      </c>
    </row>
    <row r="58" spans="1:5" ht="14.25" customHeight="1" x14ac:dyDescent="0.25">
      <c r="A58" s="89" t="s">
        <v>121</v>
      </c>
      <c r="B58" s="117" t="s">
        <v>130</v>
      </c>
      <c r="C58" s="118">
        <v>12</v>
      </c>
      <c r="D58" s="40">
        <v>200</v>
      </c>
      <c r="E58" s="40">
        <f>C58*D58</f>
        <v>2400</v>
      </c>
    </row>
    <row r="59" spans="1:5" ht="14.25" customHeight="1" x14ac:dyDescent="0.25">
      <c r="A59" s="127" t="s">
        <v>122</v>
      </c>
      <c r="B59" s="126"/>
      <c r="C59" s="126"/>
      <c r="D59" s="127"/>
      <c r="E59" s="128">
        <f>SUM(E60:E63)</f>
        <v>13140</v>
      </c>
    </row>
    <row r="60" spans="1:5" ht="14.25" customHeight="1" x14ac:dyDescent="0.25">
      <c r="A60" s="10" t="s">
        <v>96</v>
      </c>
      <c r="B60" s="117" t="s">
        <v>48</v>
      </c>
      <c r="C60" s="117">
        <v>12</v>
      </c>
      <c r="D60" s="40">
        <v>1025</v>
      </c>
      <c r="E60" s="129">
        <f>D60*C60</f>
        <v>12300</v>
      </c>
    </row>
    <row r="61" spans="1:5" ht="14.25" customHeight="1" x14ac:dyDescent="0.25">
      <c r="A61" s="54" t="s">
        <v>65</v>
      </c>
      <c r="B61" s="38" t="s">
        <v>48</v>
      </c>
      <c r="C61" s="38">
        <v>12</v>
      </c>
      <c r="D61" s="39">
        <f>+D9</f>
        <v>50</v>
      </c>
      <c r="E61" s="129">
        <f>D61*C61</f>
        <v>600</v>
      </c>
    </row>
    <row r="62" spans="1:5" ht="14.25" customHeight="1" x14ac:dyDescent="0.25">
      <c r="A62" s="54" t="s">
        <v>54</v>
      </c>
      <c r="B62" s="38" t="s">
        <v>48</v>
      </c>
      <c r="C62" s="38">
        <v>12</v>
      </c>
      <c r="D62" s="39">
        <f>+D8</f>
        <v>10</v>
      </c>
      <c r="E62" s="129">
        <f>D62*C62</f>
        <v>120</v>
      </c>
    </row>
    <row r="63" spans="1:5" ht="14.25" customHeight="1" x14ac:dyDescent="0.25">
      <c r="A63" s="54" t="s">
        <v>123</v>
      </c>
      <c r="B63" s="38" t="s">
        <v>48</v>
      </c>
      <c r="C63" s="38">
        <v>12</v>
      </c>
      <c r="D63" s="39">
        <f>+D16</f>
        <v>10</v>
      </c>
      <c r="E63" s="129">
        <f>D63*C63</f>
        <v>120</v>
      </c>
    </row>
    <row r="64" spans="1:5" ht="14.25" customHeight="1" x14ac:dyDescent="0.25">
      <c r="A64" s="337" t="s">
        <v>124</v>
      </c>
      <c r="B64" s="338"/>
      <c r="C64" s="338"/>
      <c r="D64" s="339"/>
      <c r="E64" s="130">
        <f>E56+E59</f>
        <v>27840</v>
      </c>
    </row>
    <row r="65" spans="1:12" ht="14.25" customHeight="1" x14ac:dyDescent="0.25">
      <c r="A65" s="106"/>
      <c r="B65" s="107"/>
      <c r="C65" s="108"/>
      <c r="D65" s="109"/>
      <c r="E65" s="110"/>
    </row>
    <row r="66" spans="1:12" x14ac:dyDescent="0.25">
      <c r="A66" s="106"/>
      <c r="B66" s="107"/>
      <c r="C66" s="108"/>
      <c r="D66" s="109"/>
      <c r="E66" s="110"/>
    </row>
    <row r="67" spans="1:12" ht="18" customHeight="1" x14ac:dyDescent="0.25">
      <c r="A67" s="325" t="s">
        <v>125</v>
      </c>
      <c r="B67" s="325"/>
      <c r="C67" s="325"/>
      <c r="D67" s="325"/>
      <c r="E67" s="325"/>
      <c r="G67" s="340" t="s">
        <v>43</v>
      </c>
      <c r="H67" s="329" t="s">
        <v>126</v>
      </c>
      <c r="I67" s="330"/>
      <c r="J67" s="330"/>
      <c r="K67" s="330"/>
      <c r="L67" s="331"/>
    </row>
    <row r="68" spans="1:12" ht="38.25" x14ac:dyDescent="0.25">
      <c r="A68" s="21" t="s">
        <v>43</v>
      </c>
      <c r="B68" s="21" t="s">
        <v>1</v>
      </c>
      <c r="C68" s="21" t="s">
        <v>105</v>
      </c>
      <c r="D68" s="21" t="s">
        <v>118</v>
      </c>
      <c r="E68" s="21" t="s">
        <v>119</v>
      </c>
      <c r="G68" s="340"/>
      <c r="H68" s="325">
        <v>1</v>
      </c>
      <c r="I68" s="325">
        <v>2</v>
      </c>
      <c r="J68" s="325">
        <v>3</v>
      </c>
      <c r="K68" s="325">
        <v>4</v>
      </c>
      <c r="L68" s="325">
        <v>5</v>
      </c>
    </row>
    <row r="69" spans="1:12" x14ac:dyDescent="0.25">
      <c r="A69" s="8" t="s">
        <v>107</v>
      </c>
      <c r="B69" s="29"/>
      <c r="C69" s="117"/>
      <c r="D69" s="29"/>
      <c r="E69" s="12">
        <f>SUM(E70:E73)</f>
        <v>30000</v>
      </c>
      <c r="G69" s="340"/>
      <c r="H69" s="325"/>
      <c r="I69" s="325"/>
      <c r="J69" s="325"/>
      <c r="K69" s="325"/>
      <c r="L69" s="325"/>
    </row>
    <row r="70" spans="1:12" x14ac:dyDescent="0.25">
      <c r="A70" s="89" t="s">
        <v>114</v>
      </c>
      <c r="B70" s="117"/>
      <c r="C70" s="117"/>
      <c r="D70" s="121"/>
      <c r="E70" s="132">
        <f>+REMUNERACION!G4</f>
        <v>30000</v>
      </c>
      <c r="G70" s="133" t="s">
        <v>107</v>
      </c>
      <c r="H70" s="134">
        <f>+SUM(H71:H74)</f>
        <v>30000</v>
      </c>
      <c r="I70" s="134">
        <f>+SUM(I71:I74)</f>
        <v>34500</v>
      </c>
      <c r="J70" s="134">
        <f>+SUM(J71:J74)</f>
        <v>39675</v>
      </c>
      <c r="K70" s="134">
        <f>+SUM(K71:K74)</f>
        <v>45626.25</v>
      </c>
      <c r="L70" s="134">
        <f>+SUM(L71:L74)</f>
        <v>52470.187499999993</v>
      </c>
    </row>
    <row r="71" spans="1:12" x14ac:dyDescent="0.25">
      <c r="A71" s="89" t="s">
        <v>88</v>
      </c>
      <c r="B71" s="37"/>
      <c r="C71" s="74"/>
      <c r="D71" s="74"/>
      <c r="E71" s="135">
        <f>+E27</f>
        <v>0</v>
      </c>
      <c r="G71" s="105" t="str">
        <f>+A71</f>
        <v>-</v>
      </c>
      <c r="H71" s="136">
        <f>+E71</f>
        <v>0</v>
      </c>
      <c r="I71" s="137">
        <f>+H71*1.37</f>
        <v>0</v>
      </c>
      <c r="J71" s="137">
        <f>+I71*1.02</f>
        <v>0</v>
      </c>
      <c r="K71" s="137">
        <f>+J71*1.25</f>
        <v>0</v>
      </c>
      <c r="L71" s="137">
        <f>+K71*1.13</f>
        <v>0</v>
      </c>
    </row>
    <row r="72" spans="1:12" x14ac:dyDescent="0.25">
      <c r="A72" s="138" t="s">
        <v>88</v>
      </c>
      <c r="B72" s="139"/>
      <c r="C72" s="139"/>
      <c r="D72" s="124"/>
      <c r="E72" s="124">
        <f>+E21</f>
        <v>0</v>
      </c>
      <c r="G72" s="140" t="str">
        <f>+A72</f>
        <v>-</v>
      </c>
      <c r="H72" s="136">
        <f>+E72</f>
        <v>0</v>
      </c>
      <c r="I72" s="137">
        <f>+H72*1.37</f>
        <v>0</v>
      </c>
      <c r="J72" s="137">
        <f>+I72*1.02</f>
        <v>0</v>
      </c>
      <c r="K72" s="137">
        <f>+J72*1.25</f>
        <v>0</v>
      </c>
      <c r="L72" s="137">
        <f>+K72*1.13</f>
        <v>0</v>
      </c>
    </row>
    <row r="73" spans="1:12" x14ac:dyDescent="0.25">
      <c r="A73" s="89" t="s">
        <v>88</v>
      </c>
      <c r="B73" s="117"/>
      <c r="C73" s="117">
        <v>0</v>
      </c>
      <c r="D73" s="121">
        <v>0</v>
      </c>
      <c r="E73" s="132">
        <f>+E28</f>
        <v>0</v>
      </c>
      <c r="G73" s="105" t="str">
        <f>+A73</f>
        <v>-</v>
      </c>
      <c r="H73" s="136">
        <f>+E73</f>
        <v>0</v>
      </c>
      <c r="I73" s="137">
        <f>+H73*1.37</f>
        <v>0</v>
      </c>
      <c r="J73" s="137">
        <f>+I73*1.02</f>
        <v>0</v>
      </c>
      <c r="K73" s="137">
        <f>+J73*1.25</f>
        <v>0</v>
      </c>
      <c r="L73" s="137">
        <f>+K73*1.13</f>
        <v>0</v>
      </c>
    </row>
    <row r="74" spans="1:12" x14ac:dyDescent="0.25">
      <c r="A74" s="8" t="s">
        <v>127</v>
      </c>
      <c r="B74" s="127"/>
      <c r="C74" s="126"/>
      <c r="D74" s="141"/>
      <c r="E74" s="142">
        <f>SUM(E77:E81)</f>
        <v>13260</v>
      </c>
      <c r="G74" s="105" t="str">
        <f>+A70</f>
        <v>Mano de Obra Directa</v>
      </c>
      <c r="H74" s="136">
        <f>+E70</f>
        <v>30000</v>
      </c>
      <c r="I74" s="137">
        <f>+H74*1.15</f>
        <v>34500</v>
      </c>
      <c r="J74" s="137">
        <f>+I74*1.15</f>
        <v>39675</v>
      </c>
      <c r="K74" s="137">
        <f>+J74*1.15</f>
        <v>45626.25</v>
      </c>
      <c r="L74" s="137">
        <f>+K74*1.15</f>
        <v>52470.187499999993</v>
      </c>
    </row>
    <row r="75" spans="1:12" x14ac:dyDescent="0.25">
      <c r="A75" s="10" t="str">
        <f t="shared" ref="A75:A80" si="4">+A37</f>
        <v>Hosting</v>
      </c>
      <c r="B75" s="117" t="s">
        <v>130</v>
      </c>
      <c r="C75" s="117">
        <v>12</v>
      </c>
      <c r="D75" s="121">
        <f t="shared" ref="D75:D80" si="5">+D37</f>
        <v>30</v>
      </c>
      <c r="E75" s="132">
        <f>C75*D75</f>
        <v>360</v>
      </c>
      <c r="G75" s="133" t="s">
        <v>127</v>
      </c>
      <c r="H75" s="143">
        <f>SUM(H76:H82)</f>
        <v>13640.4</v>
      </c>
      <c r="I75" s="143">
        <f t="shared" ref="I75:L75" si="6">SUM(I76:I82)</f>
        <v>13733.46</v>
      </c>
      <c r="J75" s="143">
        <f t="shared" si="6"/>
        <v>13840.478999999999</v>
      </c>
      <c r="K75" s="143">
        <f t="shared" si="6"/>
        <v>13963.55085</v>
      </c>
      <c r="L75" s="143">
        <f t="shared" si="6"/>
        <v>14105.0834775</v>
      </c>
    </row>
    <row r="76" spans="1:12" x14ac:dyDescent="0.25">
      <c r="A76" s="10" t="str">
        <f t="shared" si="4"/>
        <v>Dominio web</v>
      </c>
      <c r="B76" s="117" t="s">
        <v>130</v>
      </c>
      <c r="C76" s="117">
        <v>12</v>
      </c>
      <c r="D76" s="121">
        <f t="shared" si="5"/>
        <v>1.7</v>
      </c>
      <c r="E76" s="132">
        <f>C76*D76</f>
        <v>20.399999999999999</v>
      </c>
      <c r="G76" s="105" t="str">
        <f t="shared" ref="G76:G81" si="7">+A37</f>
        <v>Hosting</v>
      </c>
      <c r="H76" s="136">
        <f t="shared" ref="H76:H81" si="8">+E37</f>
        <v>360</v>
      </c>
      <c r="I76" s="137">
        <f t="shared" ref="I76:L77" si="9">+H76*1.15</f>
        <v>413.99999999999994</v>
      </c>
      <c r="J76" s="137">
        <f t="shared" si="9"/>
        <v>476.09999999999991</v>
      </c>
      <c r="K76" s="137">
        <f t="shared" si="9"/>
        <v>547.51499999999987</v>
      </c>
      <c r="L76" s="137">
        <f t="shared" si="9"/>
        <v>629.64224999999976</v>
      </c>
    </row>
    <row r="77" spans="1:12" x14ac:dyDescent="0.25">
      <c r="A77" s="105" t="str">
        <f t="shared" si="4"/>
        <v>Luz</v>
      </c>
      <c r="B77" s="117" t="s">
        <v>130</v>
      </c>
      <c r="C77" s="118">
        <v>12</v>
      </c>
      <c r="D77" s="124">
        <f t="shared" si="5"/>
        <v>10</v>
      </c>
      <c r="E77" s="132">
        <f>C77*D77</f>
        <v>120</v>
      </c>
      <c r="G77" s="105" t="str">
        <f t="shared" si="7"/>
        <v>Dominio web</v>
      </c>
      <c r="H77" s="136">
        <f t="shared" si="8"/>
        <v>20.399999999999999</v>
      </c>
      <c r="I77" s="137">
        <f t="shared" si="9"/>
        <v>23.459999999999997</v>
      </c>
      <c r="J77" s="137">
        <f t="shared" si="9"/>
        <v>26.978999999999996</v>
      </c>
      <c r="K77" s="137">
        <f t="shared" si="9"/>
        <v>31.025849999999991</v>
      </c>
      <c r="L77" s="137">
        <f t="shared" si="9"/>
        <v>35.679727499999984</v>
      </c>
    </row>
    <row r="78" spans="1:12" x14ac:dyDescent="0.25">
      <c r="A78" s="105" t="str">
        <f t="shared" si="4"/>
        <v>Internet</v>
      </c>
      <c r="B78" s="117" t="s">
        <v>130</v>
      </c>
      <c r="C78" s="118">
        <v>12</v>
      </c>
      <c r="D78" s="124">
        <f t="shared" si="5"/>
        <v>50</v>
      </c>
      <c r="E78" s="132">
        <f>C78*D78</f>
        <v>600</v>
      </c>
      <c r="G78" s="105" t="str">
        <f t="shared" si="7"/>
        <v>Luz</v>
      </c>
      <c r="H78" s="144">
        <f t="shared" si="8"/>
        <v>120</v>
      </c>
      <c r="I78" s="137">
        <f>+H78</f>
        <v>120</v>
      </c>
      <c r="J78" s="137">
        <f t="shared" ref="J78:L78" si="10">+I78</f>
        <v>120</v>
      </c>
      <c r="K78" s="137">
        <f t="shared" si="10"/>
        <v>120</v>
      </c>
      <c r="L78" s="137">
        <f t="shared" si="10"/>
        <v>120</v>
      </c>
    </row>
    <row r="79" spans="1:12" x14ac:dyDescent="0.25">
      <c r="A79" s="105" t="str">
        <f t="shared" si="4"/>
        <v>Mantenimiento</v>
      </c>
      <c r="B79" s="117" t="s">
        <v>130</v>
      </c>
      <c r="C79" s="118">
        <v>12</v>
      </c>
      <c r="D79" s="124">
        <f t="shared" si="5"/>
        <v>20</v>
      </c>
      <c r="E79" s="132">
        <f>C79*D79</f>
        <v>240</v>
      </c>
      <c r="G79" s="105" t="str">
        <f t="shared" si="7"/>
        <v>Internet</v>
      </c>
      <c r="H79" s="144">
        <f t="shared" si="8"/>
        <v>600</v>
      </c>
      <c r="I79" s="137">
        <f>+H79</f>
        <v>600</v>
      </c>
      <c r="J79" s="137">
        <f t="shared" ref="J79:L79" si="11">+I79</f>
        <v>600</v>
      </c>
      <c r="K79" s="137">
        <f t="shared" si="11"/>
        <v>600</v>
      </c>
      <c r="L79" s="137">
        <f t="shared" si="11"/>
        <v>600</v>
      </c>
    </row>
    <row r="80" spans="1:12" x14ac:dyDescent="0.25">
      <c r="A80" s="105" t="str">
        <f t="shared" si="4"/>
        <v>-</v>
      </c>
      <c r="B80" s="117" t="s">
        <v>130</v>
      </c>
      <c r="C80" s="38">
        <v>12</v>
      </c>
      <c r="D80" s="124">
        <f t="shared" si="5"/>
        <v>0</v>
      </c>
      <c r="E80" s="145">
        <f>D80*C80</f>
        <v>0</v>
      </c>
      <c r="G80" s="105" t="str">
        <f t="shared" si="7"/>
        <v>Mantenimiento</v>
      </c>
      <c r="H80" s="144">
        <f t="shared" si="8"/>
        <v>240</v>
      </c>
      <c r="I80" s="146">
        <f>H80*1.15</f>
        <v>276</v>
      </c>
      <c r="J80" s="146">
        <f t="shared" ref="J80:L80" si="12">I80*1.15</f>
        <v>317.39999999999998</v>
      </c>
      <c r="K80" s="146">
        <f t="shared" si="12"/>
        <v>365.00999999999993</v>
      </c>
      <c r="L80" s="146">
        <f t="shared" si="12"/>
        <v>419.7614999999999</v>
      </c>
    </row>
    <row r="81" spans="1:12" x14ac:dyDescent="0.25">
      <c r="A81" s="54" t="str">
        <f>+A50</f>
        <v>Mano de Obra Indirecta</v>
      </c>
      <c r="B81" s="117" t="s">
        <v>130</v>
      </c>
      <c r="C81" s="38">
        <v>12</v>
      </c>
      <c r="D81" s="39">
        <f>+D50</f>
        <v>1025</v>
      </c>
      <c r="E81" s="148">
        <f>D81*C81</f>
        <v>12300</v>
      </c>
      <c r="G81" s="105" t="str">
        <f t="shared" si="7"/>
        <v>-</v>
      </c>
      <c r="H81" s="144">
        <f t="shared" si="8"/>
        <v>0</v>
      </c>
      <c r="I81" s="137">
        <f t="shared" ref="I81:L82" si="13">+H81</f>
        <v>0</v>
      </c>
      <c r="J81" s="137">
        <f t="shared" si="13"/>
        <v>0</v>
      </c>
      <c r="K81" s="137">
        <f t="shared" si="13"/>
        <v>0</v>
      </c>
      <c r="L81" s="137">
        <f t="shared" si="13"/>
        <v>0</v>
      </c>
    </row>
    <row r="82" spans="1:12" x14ac:dyDescent="0.25">
      <c r="A82" s="15" t="s">
        <v>128</v>
      </c>
      <c r="B82" s="16"/>
      <c r="C82" s="16"/>
      <c r="D82" s="17"/>
      <c r="E82" s="13">
        <f>E69+E74</f>
        <v>43260</v>
      </c>
      <c r="G82" s="54" t="str">
        <f>A50</f>
        <v>Mano de Obra Indirecta</v>
      </c>
      <c r="H82" s="144">
        <f>+E50</f>
        <v>12300</v>
      </c>
      <c r="I82" s="147">
        <f t="shared" si="13"/>
        <v>12300</v>
      </c>
      <c r="J82" s="147">
        <f t="shared" si="13"/>
        <v>12300</v>
      </c>
      <c r="K82" s="147">
        <f t="shared" si="13"/>
        <v>12300</v>
      </c>
      <c r="L82" s="147">
        <f t="shared" si="13"/>
        <v>12300</v>
      </c>
    </row>
    <row r="83" spans="1:12" x14ac:dyDescent="0.25">
      <c r="A83" s="48"/>
      <c r="G83" s="133" t="s">
        <v>129</v>
      </c>
      <c r="H83" s="134">
        <f>H70+H77</f>
        <v>30020.400000000001</v>
      </c>
      <c r="I83" s="149">
        <f>I70+I77</f>
        <v>34523.46</v>
      </c>
      <c r="J83" s="150">
        <f>J70+J77</f>
        <v>39701.978999999999</v>
      </c>
      <c r="K83" s="150">
        <f>K70+K77</f>
        <v>45657.275849999998</v>
      </c>
      <c r="L83" s="150">
        <f>L70+L77</f>
        <v>52505.867227499992</v>
      </c>
    </row>
    <row r="84" spans="1:12" x14ac:dyDescent="0.25">
      <c r="C84" s="18"/>
    </row>
    <row r="85" spans="1:12" x14ac:dyDescent="0.25">
      <c r="C85" s="18"/>
    </row>
    <row r="86" spans="1:12" x14ac:dyDescent="0.25">
      <c r="C86" s="18"/>
      <c r="G86" s="151"/>
    </row>
    <row r="87" spans="1:12" x14ac:dyDescent="0.25">
      <c r="C87" s="18"/>
    </row>
    <row r="88" spans="1:12" x14ac:dyDescent="0.25">
      <c r="C88" s="18"/>
    </row>
    <row r="89" spans="1:12" x14ac:dyDescent="0.25">
      <c r="C89" s="18"/>
    </row>
    <row r="90" spans="1:12" x14ac:dyDescent="0.25">
      <c r="C90" s="18"/>
    </row>
    <row r="91" spans="1:12" x14ac:dyDescent="0.25">
      <c r="C91" s="18"/>
      <c r="H91" s="152"/>
      <c r="I91" s="62"/>
    </row>
    <row r="92" spans="1:12" x14ac:dyDescent="0.25">
      <c r="C92" s="18"/>
    </row>
    <row r="93" spans="1:12" x14ac:dyDescent="0.25">
      <c r="C93" s="18"/>
    </row>
    <row r="94" spans="1:12" x14ac:dyDescent="0.25">
      <c r="C94" s="18"/>
    </row>
    <row r="95" spans="1:12" x14ac:dyDescent="0.25">
      <c r="C95" s="18"/>
    </row>
    <row r="96" spans="1:12" x14ac:dyDescent="0.25">
      <c r="A96" s="48"/>
    </row>
    <row r="97" spans="1:3" x14ac:dyDescent="0.25">
      <c r="A97" s="48"/>
    </row>
    <row r="98" spans="1:3" x14ac:dyDescent="0.25">
      <c r="C98" s="18"/>
    </row>
    <row r="99" spans="1:3" x14ac:dyDescent="0.25">
      <c r="C99" s="18"/>
    </row>
    <row r="100" spans="1:3" x14ac:dyDescent="0.25">
      <c r="C100" s="18"/>
    </row>
    <row r="101" spans="1:3" x14ac:dyDescent="0.25">
      <c r="C101" s="18"/>
    </row>
    <row r="102" spans="1:3" x14ac:dyDescent="0.25">
      <c r="C102" s="18"/>
    </row>
    <row r="103" spans="1:3" x14ac:dyDescent="0.25">
      <c r="C103" s="18"/>
    </row>
    <row r="104" spans="1:3" x14ac:dyDescent="0.25">
      <c r="C104" s="18"/>
    </row>
    <row r="105" spans="1:3" x14ac:dyDescent="0.25">
      <c r="C105" s="18"/>
    </row>
    <row r="106" spans="1:3" x14ac:dyDescent="0.25">
      <c r="C106" s="18"/>
    </row>
    <row r="107" spans="1:3" x14ac:dyDescent="0.25">
      <c r="C107" s="18"/>
    </row>
    <row r="108" spans="1:3" x14ac:dyDescent="0.25">
      <c r="C108" s="18"/>
    </row>
    <row r="109" spans="1:3" x14ac:dyDescent="0.25">
      <c r="C109" s="18"/>
    </row>
    <row r="110" spans="1:3" x14ac:dyDescent="0.25">
      <c r="C110" s="18"/>
    </row>
    <row r="111" spans="1:3" x14ac:dyDescent="0.25">
      <c r="C111" s="18"/>
    </row>
    <row r="112" spans="1:3" x14ac:dyDescent="0.25">
      <c r="C112" s="18"/>
    </row>
    <row r="113" spans="1:3" x14ac:dyDescent="0.25">
      <c r="C113" s="18"/>
    </row>
    <row r="114" spans="1:3" x14ac:dyDescent="0.25">
      <c r="C114" s="18"/>
    </row>
    <row r="115" spans="1:3" x14ac:dyDescent="0.25">
      <c r="C115" s="18"/>
    </row>
    <row r="116" spans="1:3" x14ac:dyDescent="0.25">
      <c r="C116" s="18"/>
    </row>
    <row r="118" spans="1:3" x14ac:dyDescent="0.25">
      <c r="A118" s="48"/>
    </row>
    <row r="119" spans="1:3" x14ac:dyDescent="0.25">
      <c r="A119" s="48"/>
    </row>
    <row r="120" spans="1:3" x14ac:dyDescent="0.25">
      <c r="A120" s="48"/>
    </row>
    <row r="121" spans="1:3" x14ac:dyDescent="0.25">
      <c r="A121" s="48"/>
    </row>
  </sheetData>
  <mergeCells count="21">
    <mergeCell ref="A64:D64"/>
    <mergeCell ref="A67:E67"/>
    <mergeCell ref="G67:G69"/>
    <mergeCell ref="H67:L67"/>
    <mergeCell ref="H68:H69"/>
    <mergeCell ref="I68:I69"/>
    <mergeCell ref="J68:J69"/>
    <mergeCell ref="K68:K69"/>
    <mergeCell ref="L68:L69"/>
    <mergeCell ref="A54:E54"/>
    <mergeCell ref="A3:E3"/>
    <mergeCell ref="A12:D12"/>
    <mergeCell ref="A14:E14"/>
    <mergeCell ref="A17:D17"/>
    <mergeCell ref="A19:E19"/>
    <mergeCell ref="A22:D22"/>
    <mergeCell ref="A24:E24"/>
    <mergeCell ref="A31:E31"/>
    <mergeCell ref="A43:D43"/>
    <mergeCell ref="A45:E45"/>
    <mergeCell ref="A51:D51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4"/>
  <sheetViews>
    <sheetView workbookViewId="0">
      <selection activeCell="C6" sqref="C6"/>
    </sheetView>
  </sheetViews>
  <sheetFormatPr baseColWidth="10" defaultRowHeight="15" x14ac:dyDescent="0.25"/>
  <cols>
    <col min="1" max="1" width="4" style="18" customWidth="1"/>
    <col min="2" max="2" width="39.5703125" style="18" customWidth="1"/>
    <col min="3" max="3" width="14.85546875" style="18" customWidth="1"/>
    <col min="4" max="4" width="4" style="18" customWidth="1"/>
    <col min="5" max="256" width="11.42578125" style="18"/>
    <col min="257" max="257" width="4" style="18" customWidth="1"/>
    <col min="258" max="258" width="39.5703125" style="18" customWidth="1"/>
    <col min="259" max="259" width="14.85546875" style="18" customWidth="1"/>
    <col min="260" max="260" width="4" style="18" customWidth="1"/>
    <col min="261" max="512" width="11.42578125" style="18"/>
    <col min="513" max="513" width="4" style="18" customWidth="1"/>
    <col min="514" max="514" width="39.5703125" style="18" customWidth="1"/>
    <col min="515" max="515" width="14.85546875" style="18" customWidth="1"/>
    <col min="516" max="516" width="4" style="18" customWidth="1"/>
    <col min="517" max="768" width="11.42578125" style="18"/>
    <col min="769" max="769" width="4" style="18" customWidth="1"/>
    <col min="770" max="770" width="39.5703125" style="18" customWidth="1"/>
    <col min="771" max="771" width="14.85546875" style="18" customWidth="1"/>
    <col min="772" max="772" width="4" style="18" customWidth="1"/>
    <col min="773" max="1024" width="11.42578125" style="18"/>
    <col min="1025" max="1025" width="4" style="18" customWidth="1"/>
    <col min="1026" max="1026" width="39.5703125" style="18" customWidth="1"/>
    <col min="1027" max="1027" width="14.85546875" style="18" customWidth="1"/>
    <col min="1028" max="1028" width="4" style="18" customWidth="1"/>
    <col min="1029" max="1280" width="11.42578125" style="18"/>
    <col min="1281" max="1281" width="4" style="18" customWidth="1"/>
    <col min="1282" max="1282" width="39.5703125" style="18" customWidth="1"/>
    <col min="1283" max="1283" width="14.85546875" style="18" customWidth="1"/>
    <col min="1284" max="1284" width="4" style="18" customWidth="1"/>
    <col min="1285" max="1536" width="11.42578125" style="18"/>
    <col min="1537" max="1537" width="4" style="18" customWidth="1"/>
    <col min="1538" max="1538" width="39.5703125" style="18" customWidth="1"/>
    <col min="1539" max="1539" width="14.85546875" style="18" customWidth="1"/>
    <col min="1540" max="1540" width="4" style="18" customWidth="1"/>
    <col min="1541" max="1792" width="11.42578125" style="18"/>
    <col min="1793" max="1793" width="4" style="18" customWidth="1"/>
    <col min="1794" max="1794" width="39.5703125" style="18" customWidth="1"/>
    <col min="1795" max="1795" width="14.85546875" style="18" customWidth="1"/>
    <col min="1796" max="1796" width="4" style="18" customWidth="1"/>
    <col min="1797" max="2048" width="11.42578125" style="18"/>
    <col min="2049" max="2049" width="4" style="18" customWidth="1"/>
    <col min="2050" max="2050" width="39.5703125" style="18" customWidth="1"/>
    <col min="2051" max="2051" width="14.85546875" style="18" customWidth="1"/>
    <col min="2052" max="2052" width="4" style="18" customWidth="1"/>
    <col min="2053" max="2304" width="11.42578125" style="18"/>
    <col min="2305" max="2305" width="4" style="18" customWidth="1"/>
    <col min="2306" max="2306" width="39.5703125" style="18" customWidth="1"/>
    <col min="2307" max="2307" width="14.85546875" style="18" customWidth="1"/>
    <col min="2308" max="2308" width="4" style="18" customWidth="1"/>
    <col min="2309" max="2560" width="11.42578125" style="18"/>
    <col min="2561" max="2561" width="4" style="18" customWidth="1"/>
    <col min="2562" max="2562" width="39.5703125" style="18" customWidth="1"/>
    <col min="2563" max="2563" width="14.85546875" style="18" customWidth="1"/>
    <col min="2564" max="2564" width="4" style="18" customWidth="1"/>
    <col min="2565" max="2816" width="11.42578125" style="18"/>
    <col min="2817" max="2817" width="4" style="18" customWidth="1"/>
    <col min="2818" max="2818" width="39.5703125" style="18" customWidth="1"/>
    <col min="2819" max="2819" width="14.85546875" style="18" customWidth="1"/>
    <col min="2820" max="2820" width="4" style="18" customWidth="1"/>
    <col min="2821" max="3072" width="11.42578125" style="18"/>
    <col min="3073" max="3073" width="4" style="18" customWidth="1"/>
    <col min="3074" max="3074" width="39.5703125" style="18" customWidth="1"/>
    <col min="3075" max="3075" width="14.85546875" style="18" customWidth="1"/>
    <col min="3076" max="3076" width="4" style="18" customWidth="1"/>
    <col min="3077" max="3328" width="11.42578125" style="18"/>
    <col min="3329" max="3329" width="4" style="18" customWidth="1"/>
    <col min="3330" max="3330" width="39.5703125" style="18" customWidth="1"/>
    <col min="3331" max="3331" width="14.85546875" style="18" customWidth="1"/>
    <col min="3332" max="3332" width="4" style="18" customWidth="1"/>
    <col min="3333" max="3584" width="11.42578125" style="18"/>
    <col min="3585" max="3585" width="4" style="18" customWidth="1"/>
    <col min="3586" max="3586" width="39.5703125" style="18" customWidth="1"/>
    <col min="3587" max="3587" width="14.85546875" style="18" customWidth="1"/>
    <col min="3588" max="3588" width="4" style="18" customWidth="1"/>
    <col min="3589" max="3840" width="11.42578125" style="18"/>
    <col min="3841" max="3841" width="4" style="18" customWidth="1"/>
    <col min="3842" max="3842" width="39.5703125" style="18" customWidth="1"/>
    <col min="3843" max="3843" width="14.85546875" style="18" customWidth="1"/>
    <col min="3844" max="3844" width="4" style="18" customWidth="1"/>
    <col min="3845" max="4096" width="11.42578125" style="18"/>
    <col min="4097" max="4097" width="4" style="18" customWidth="1"/>
    <col min="4098" max="4098" width="39.5703125" style="18" customWidth="1"/>
    <col min="4099" max="4099" width="14.85546875" style="18" customWidth="1"/>
    <col min="4100" max="4100" width="4" style="18" customWidth="1"/>
    <col min="4101" max="4352" width="11.42578125" style="18"/>
    <col min="4353" max="4353" width="4" style="18" customWidth="1"/>
    <col min="4354" max="4354" width="39.5703125" style="18" customWidth="1"/>
    <col min="4355" max="4355" width="14.85546875" style="18" customWidth="1"/>
    <col min="4356" max="4356" width="4" style="18" customWidth="1"/>
    <col min="4357" max="4608" width="11.42578125" style="18"/>
    <col min="4609" max="4609" width="4" style="18" customWidth="1"/>
    <col min="4610" max="4610" width="39.5703125" style="18" customWidth="1"/>
    <col min="4611" max="4611" width="14.85546875" style="18" customWidth="1"/>
    <col min="4612" max="4612" width="4" style="18" customWidth="1"/>
    <col min="4613" max="4864" width="11.42578125" style="18"/>
    <col min="4865" max="4865" width="4" style="18" customWidth="1"/>
    <col min="4866" max="4866" width="39.5703125" style="18" customWidth="1"/>
    <col min="4867" max="4867" width="14.85546875" style="18" customWidth="1"/>
    <col min="4868" max="4868" width="4" style="18" customWidth="1"/>
    <col min="4869" max="5120" width="11.42578125" style="18"/>
    <col min="5121" max="5121" width="4" style="18" customWidth="1"/>
    <col min="5122" max="5122" width="39.5703125" style="18" customWidth="1"/>
    <col min="5123" max="5123" width="14.85546875" style="18" customWidth="1"/>
    <col min="5124" max="5124" width="4" style="18" customWidth="1"/>
    <col min="5125" max="5376" width="11.42578125" style="18"/>
    <col min="5377" max="5377" width="4" style="18" customWidth="1"/>
    <col min="5378" max="5378" width="39.5703125" style="18" customWidth="1"/>
    <col min="5379" max="5379" width="14.85546875" style="18" customWidth="1"/>
    <col min="5380" max="5380" width="4" style="18" customWidth="1"/>
    <col min="5381" max="5632" width="11.42578125" style="18"/>
    <col min="5633" max="5633" width="4" style="18" customWidth="1"/>
    <col min="5634" max="5634" width="39.5703125" style="18" customWidth="1"/>
    <col min="5635" max="5635" width="14.85546875" style="18" customWidth="1"/>
    <col min="5636" max="5636" width="4" style="18" customWidth="1"/>
    <col min="5637" max="5888" width="11.42578125" style="18"/>
    <col min="5889" max="5889" width="4" style="18" customWidth="1"/>
    <col min="5890" max="5890" width="39.5703125" style="18" customWidth="1"/>
    <col min="5891" max="5891" width="14.85546875" style="18" customWidth="1"/>
    <col min="5892" max="5892" width="4" style="18" customWidth="1"/>
    <col min="5893" max="6144" width="11.42578125" style="18"/>
    <col min="6145" max="6145" width="4" style="18" customWidth="1"/>
    <col min="6146" max="6146" width="39.5703125" style="18" customWidth="1"/>
    <col min="6147" max="6147" width="14.85546875" style="18" customWidth="1"/>
    <col min="6148" max="6148" width="4" style="18" customWidth="1"/>
    <col min="6149" max="6400" width="11.42578125" style="18"/>
    <col min="6401" max="6401" width="4" style="18" customWidth="1"/>
    <col min="6402" max="6402" width="39.5703125" style="18" customWidth="1"/>
    <col min="6403" max="6403" width="14.85546875" style="18" customWidth="1"/>
    <col min="6404" max="6404" width="4" style="18" customWidth="1"/>
    <col min="6405" max="6656" width="11.42578125" style="18"/>
    <col min="6657" max="6657" width="4" style="18" customWidth="1"/>
    <col min="6658" max="6658" width="39.5703125" style="18" customWidth="1"/>
    <col min="6659" max="6659" width="14.85546875" style="18" customWidth="1"/>
    <col min="6660" max="6660" width="4" style="18" customWidth="1"/>
    <col min="6661" max="6912" width="11.42578125" style="18"/>
    <col min="6913" max="6913" width="4" style="18" customWidth="1"/>
    <col min="6914" max="6914" width="39.5703125" style="18" customWidth="1"/>
    <col min="6915" max="6915" width="14.85546875" style="18" customWidth="1"/>
    <col min="6916" max="6916" width="4" style="18" customWidth="1"/>
    <col min="6917" max="7168" width="11.42578125" style="18"/>
    <col min="7169" max="7169" width="4" style="18" customWidth="1"/>
    <col min="7170" max="7170" width="39.5703125" style="18" customWidth="1"/>
    <col min="7171" max="7171" width="14.85546875" style="18" customWidth="1"/>
    <col min="7172" max="7172" width="4" style="18" customWidth="1"/>
    <col min="7173" max="7424" width="11.42578125" style="18"/>
    <col min="7425" max="7425" width="4" style="18" customWidth="1"/>
    <col min="7426" max="7426" width="39.5703125" style="18" customWidth="1"/>
    <col min="7427" max="7427" width="14.85546875" style="18" customWidth="1"/>
    <col min="7428" max="7428" width="4" style="18" customWidth="1"/>
    <col min="7429" max="7680" width="11.42578125" style="18"/>
    <col min="7681" max="7681" width="4" style="18" customWidth="1"/>
    <col min="7682" max="7682" width="39.5703125" style="18" customWidth="1"/>
    <col min="7683" max="7683" width="14.85546875" style="18" customWidth="1"/>
    <col min="7684" max="7684" width="4" style="18" customWidth="1"/>
    <col min="7685" max="7936" width="11.42578125" style="18"/>
    <col min="7937" max="7937" width="4" style="18" customWidth="1"/>
    <col min="7938" max="7938" width="39.5703125" style="18" customWidth="1"/>
    <col min="7939" max="7939" width="14.85546875" style="18" customWidth="1"/>
    <col min="7940" max="7940" width="4" style="18" customWidth="1"/>
    <col min="7941" max="8192" width="11.42578125" style="18"/>
    <col min="8193" max="8193" width="4" style="18" customWidth="1"/>
    <col min="8194" max="8194" width="39.5703125" style="18" customWidth="1"/>
    <col min="8195" max="8195" width="14.85546875" style="18" customWidth="1"/>
    <col min="8196" max="8196" width="4" style="18" customWidth="1"/>
    <col min="8197" max="8448" width="11.42578125" style="18"/>
    <col min="8449" max="8449" width="4" style="18" customWidth="1"/>
    <col min="8450" max="8450" width="39.5703125" style="18" customWidth="1"/>
    <col min="8451" max="8451" width="14.85546875" style="18" customWidth="1"/>
    <col min="8452" max="8452" width="4" style="18" customWidth="1"/>
    <col min="8453" max="8704" width="11.42578125" style="18"/>
    <col min="8705" max="8705" width="4" style="18" customWidth="1"/>
    <col min="8706" max="8706" width="39.5703125" style="18" customWidth="1"/>
    <col min="8707" max="8707" width="14.85546875" style="18" customWidth="1"/>
    <col min="8708" max="8708" width="4" style="18" customWidth="1"/>
    <col min="8709" max="8960" width="11.42578125" style="18"/>
    <col min="8961" max="8961" width="4" style="18" customWidth="1"/>
    <col min="8962" max="8962" width="39.5703125" style="18" customWidth="1"/>
    <col min="8963" max="8963" width="14.85546875" style="18" customWidth="1"/>
    <col min="8964" max="8964" width="4" style="18" customWidth="1"/>
    <col min="8965" max="9216" width="11.42578125" style="18"/>
    <col min="9217" max="9217" width="4" style="18" customWidth="1"/>
    <col min="9218" max="9218" width="39.5703125" style="18" customWidth="1"/>
    <col min="9219" max="9219" width="14.85546875" style="18" customWidth="1"/>
    <col min="9220" max="9220" width="4" style="18" customWidth="1"/>
    <col min="9221" max="9472" width="11.42578125" style="18"/>
    <col min="9473" max="9473" width="4" style="18" customWidth="1"/>
    <col min="9474" max="9474" width="39.5703125" style="18" customWidth="1"/>
    <col min="9475" max="9475" width="14.85546875" style="18" customWidth="1"/>
    <col min="9476" max="9476" width="4" style="18" customWidth="1"/>
    <col min="9477" max="9728" width="11.42578125" style="18"/>
    <col min="9729" max="9729" width="4" style="18" customWidth="1"/>
    <col min="9730" max="9730" width="39.5703125" style="18" customWidth="1"/>
    <col min="9731" max="9731" width="14.85546875" style="18" customWidth="1"/>
    <col min="9732" max="9732" width="4" style="18" customWidth="1"/>
    <col min="9733" max="9984" width="11.42578125" style="18"/>
    <col min="9985" max="9985" width="4" style="18" customWidth="1"/>
    <col min="9986" max="9986" width="39.5703125" style="18" customWidth="1"/>
    <col min="9987" max="9987" width="14.85546875" style="18" customWidth="1"/>
    <col min="9988" max="9988" width="4" style="18" customWidth="1"/>
    <col min="9989" max="10240" width="11.42578125" style="18"/>
    <col min="10241" max="10241" width="4" style="18" customWidth="1"/>
    <col min="10242" max="10242" width="39.5703125" style="18" customWidth="1"/>
    <col min="10243" max="10243" width="14.85546875" style="18" customWidth="1"/>
    <col min="10244" max="10244" width="4" style="18" customWidth="1"/>
    <col min="10245" max="10496" width="11.42578125" style="18"/>
    <col min="10497" max="10497" width="4" style="18" customWidth="1"/>
    <col min="10498" max="10498" width="39.5703125" style="18" customWidth="1"/>
    <col min="10499" max="10499" width="14.85546875" style="18" customWidth="1"/>
    <col min="10500" max="10500" width="4" style="18" customWidth="1"/>
    <col min="10501" max="10752" width="11.42578125" style="18"/>
    <col min="10753" max="10753" width="4" style="18" customWidth="1"/>
    <col min="10754" max="10754" width="39.5703125" style="18" customWidth="1"/>
    <col min="10755" max="10755" width="14.85546875" style="18" customWidth="1"/>
    <col min="10756" max="10756" width="4" style="18" customWidth="1"/>
    <col min="10757" max="11008" width="11.42578125" style="18"/>
    <col min="11009" max="11009" width="4" style="18" customWidth="1"/>
    <col min="11010" max="11010" width="39.5703125" style="18" customWidth="1"/>
    <col min="11011" max="11011" width="14.85546875" style="18" customWidth="1"/>
    <col min="11012" max="11012" width="4" style="18" customWidth="1"/>
    <col min="11013" max="11264" width="11.42578125" style="18"/>
    <col min="11265" max="11265" width="4" style="18" customWidth="1"/>
    <col min="11266" max="11266" width="39.5703125" style="18" customWidth="1"/>
    <col min="11267" max="11267" width="14.85546875" style="18" customWidth="1"/>
    <col min="11268" max="11268" width="4" style="18" customWidth="1"/>
    <col min="11269" max="11520" width="11.42578125" style="18"/>
    <col min="11521" max="11521" width="4" style="18" customWidth="1"/>
    <col min="11522" max="11522" width="39.5703125" style="18" customWidth="1"/>
    <col min="11523" max="11523" width="14.85546875" style="18" customWidth="1"/>
    <col min="11524" max="11524" width="4" style="18" customWidth="1"/>
    <col min="11525" max="11776" width="11.42578125" style="18"/>
    <col min="11777" max="11777" width="4" style="18" customWidth="1"/>
    <col min="11778" max="11778" width="39.5703125" style="18" customWidth="1"/>
    <col min="11779" max="11779" width="14.85546875" style="18" customWidth="1"/>
    <col min="11780" max="11780" width="4" style="18" customWidth="1"/>
    <col min="11781" max="12032" width="11.42578125" style="18"/>
    <col min="12033" max="12033" width="4" style="18" customWidth="1"/>
    <col min="12034" max="12034" width="39.5703125" style="18" customWidth="1"/>
    <col min="12035" max="12035" width="14.85546875" style="18" customWidth="1"/>
    <col min="12036" max="12036" width="4" style="18" customWidth="1"/>
    <col min="12037" max="12288" width="11.42578125" style="18"/>
    <col min="12289" max="12289" width="4" style="18" customWidth="1"/>
    <col min="12290" max="12290" width="39.5703125" style="18" customWidth="1"/>
    <col min="12291" max="12291" width="14.85546875" style="18" customWidth="1"/>
    <col min="12292" max="12292" width="4" style="18" customWidth="1"/>
    <col min="12293" max="12544" width="11.42578125" style="18"/>
    <col min="12545" max="12545" width="4" style="18" customWidth="1"/>
    <col min="12546" max="12546" width="39.5703125" style="18" customWidth="1"/>
    <col min="12547" max="12547" width="14.85546875" style="18" customWidth="1"/>
    <col min="12548" max="12548" width="4" style="18" customWidth="1"/>
    <col min="12549" max="12800" width="11.42578125" style="18"/>
    <col min="12801" max="12801" width="4" style="18" customWidth="1"/>
    <col min="12802" max="12802" width="39.5703125" style="18" customWidth="1"/>
    <col min="12803" max="12803" width="14.85546875" style="18" customWidth="1"/>
    <col min="12804" max="12804" width="4" style="18" customWidth="1"/>
    <col min="12805" max="13056" width="11.42578125" style="18"/>
    <col min="13057" max="13057" width="4" style="18" customWidth="1"/>
    <col min="13058" max="13058" width="39.5703125" style="18" customWidth="1"/>
    <col min="13059" max="13059" width="14.85546875" style="18" customWidth="1"/>
    <col min="13060" max="13060" width="4" style="18" customWidth="1"/>
    <col min="13061" max="13312" width="11.42578125" style="18"/>
    <col min="13313" max="13313" width="4" style="18" customWidth="1"/>
    <col min="13314" max="13314" width="39.5703125" style="18" customWidth="1"/>
    <col min="13315" max="13315" width="14.85546875" style="18" customWidth="1"/>
    <col min="13316" max="13316" width="4" style="18" customWidth="1"/>
    <col min="13317" max="13568" width="11.42578125" style="18"/>
    <col min="13569" max="13569" width="4" style="18" customWidth="1"/>
    <col min="13570" max="13570" width="39.5703125" style="18" customWidth="1"/>
    <col min="13571" max="13571" width="14.85546875" style="18" customWidth="1"/>
    <col min="13572" max="13572" width="4" style="18" customWidth="1"/>
    <col min="13573" max="13824" width="11.42578125" style="18"/>
    <col min="13825" max="13825" width="4" style="18" customWidth="1"/>
    <col min="13826" max="13826" width="39.5703125" style="18" customWidth="1"/>
    <col min="13827" max="13827" width="14.85546875" style="18" customWidth="1"/>
    <col min="13828" max="13828" width="4" style="18" customWidth="1"/>
    <col min="13829" max="14080" width="11.42578125" style="18"/>
    <col min="14081" max="14081" width="4" style="18" customWidth="1"/>
    <col min="14082" max="14082" width="39.5703125" style="18" customWidth="1"/>
    <col min="14083" max="14083" width="14.85546875" style="18" customWidth="1"/>
    <col min="14084" max="14084" width="4" style="18" customWidth="1"/>
    <col min="14085" max="14336" width="11.42578125" style="18"/>
    <col min="14337" max="14337" width="4" style="18" customWidth="1"/>
    <col min="14338" max="14338" width="39.5703125" style="18" customWidth="1"/>
    <col min="14339" max="14339" width="14.85546875" style="18" customWidth="1"/>
    <col min="14340" max="14340" width="4" style="18" customWidth="1"/>
    <col min="14341" max="14592" width="11.42578125" style="18"/>
    <col min="14593" max="14593" width="4" style="18" customWidth="1"/>
    <col min="14594" max="14594" width="39.5703125" style="18" customWidth="1"/>
    <col min="14595" max="14595" width="14.85546875" style="18" customWidth="1"/>
    <col min="14596" max="14596" width="4" style="18" customWidth="1"/>
    <col min="14597" max="14848" width="11.42578125" style="18"/>
    <col min="14849" max="14849" width="4" style="18" customWidth="1"/>
    <col min="14850" max="14850" width="39.5703125" style="18" customWidth="1"/>
    <col min="14851" max="14851" width="14.85546875" style="18" customWidth="1"/>
    <col min="14852" max="14852" width="4" style="18" customWidth="1"/>
    <col min="14853" max="15104" width="11.42578125" style="18"/>
    <col min="15105" max="15105" width="4" style="18" customWidth="1"/>
    <col min="15106" max="15106" width="39.5703125" style="18" customWidth="1"/>
    <col min="15107" max="15107" width="14.85546875" style="18" customWidth="1"/>
    <col min="15108" max="15108" width="4" style="18" customWidth="1"/>
    <col min="15109" max="15360" width="11.42578125" style="18"/>
    <col min="15361" max="15361" width="4" style="18" customWidth="1"/>
    <col min="15362" max="15362" width="39.5703125" style="18" customWidth="1"/>
    <col min="15363" max="15363" width="14.85546875" style="18" customWidth="1"/>
    <col min="15364" max="15364" width="4" style="18" customWidth="1"/>
    <col min="15365" max="15616" width="11.42578125" style="18"/>
    <col min="15617" max="15617" width="4" style="18" customWidth="1"/>
    <col min="15618" max="15618" width="39.5703125" style="18" customWidth="1"/>
    <col min="15619" max="15619" width="14.85546875" style="18" customWidth="1"/>
    <col min="15620" max="15620" width="4" style="18" customWidth="1"/>
    <col min="15621" max="15872" width="11.42578125" style="18"/>
    <col min="15873" max="15873" width="4" style="18" customWidth="1"/>
    <col min="15874" max="15874" width="39.5703125" style="18" customWidth="1"/>
    <col min="15875" max="15875" width="14.85546875" style="18" customWidth="1"/>
    <col min="15876" max="15876" width="4" style="18" customWidth="1"/>
    <col min="15877" max="16128" width="11.42578125" style="18"/>
    <col min="16129" max="16129" width="4" style="18" customWidth="1"/>
    <col min="16130" max="16130" width="39.5703125" style="18" customWidth="1"/>
    <col min="16131" max="16131" width="14.85546875" style="18" customWidth="1"/>
    <col min="16132" max="16132" width="4" style="18" customWidth="1"/>
    <col min="16133" max="16384" width="11.42578125" style="18"/>
  </cols>
  <sheetData>
    <row r="1" spans="1:3" ht="21.75" customHeight="1" x14ac:dyDescent="0.25">
      <c r="B1" s="341" t="s">
        <v>134</v>
      </c>
      <c r="C1" s="341"/>
    </row>
    <row r="2" spans="1:3" s="26" customFormat="1" ht="25.5" x14ac:dyDescent="0.2">
      <c r="A2" s="178"/>
      <c r="B2" s="49" t="s">
        <v>43</v>
      </c>
      <c r="C2" s="131" t="s">
        <v>135</v>
      </c>
    </row>
    <row r="3" spans="1:3" x14ac:dyDescent="0.25">
      <c r="A3" s="48"/>
      <c r="B3" s="8" t="s">
        <v>136</v>
      </c>
      <c r="C3" s="12">
        <f>C4+C9</f>
        <v>10885</v>
      </c>
    </row>
    <row r="4" spans="1:3" x14ac:dyDescent="0.25">
      <c r="A4" s="48"/>
      <c r="B4" s="8" t="s">
        <v>137</v>
      </c>
      <c r="C4" s="12">
        <f>SUM(C5:C8)</f>
        <v>10385</v>
      </c>
    </row>
    <row r="5" spans="1:3" x14ac:dyDescent="0.25">
      <c r="A5" s="48"/>
      <c r="B5" s="29" t="s">
        <v>138</v>
      </c>
      <c r="C5" s="40">
        <f>'TERREN Y OBR CIV'!F19</f>
        <v>0</v>
      </c>
    </row>
    <row r="6" spans="1:3" x14ac:dyDescent="0.25">
      <c r="A6" s="48"/>
      <c r="B6" s="29" t="s">
        <v>139</v>
      </c>
      <c r="C6" s="40">
        <f>'MUEB, MAQ, EQUIP'!E16</f>
        <v>8185</v>
      </c>
    </row>
    <row r="7" spans="1:3" x14ac:dyDescent="0.25">
      <c r="A7" s="48"/>
      <c r="B7" s="29" t="s">
        <v>140</v>
      </c>
      <c r="C7" s="40">
        <f>'MUEB, MAQ, EQUIP'!E22</f>
        <v>0</v>
      </c>
    </row>
    <row r="8" spans="1:3" x14ac:dyDescent="0.25">
      <c r="A8" s="48"/>
      <c r="B8" s="29" t="s">
        <v>141</v>
      </c>
      <c r="C8" s="40">
        <f>'MUEB, MAQ, EQUIP'!E30</f>
        <v>2200</v>
      </c>
    </row>
    <row r="9" spans="1:3" x14ac:dyDescent="0.25">
      <c r="A9" s="48"/>
      <c r="B9" s="8" t="s">
        <v>142</v>
      </c>
      <c r="C9" s="12">
        <f>'INVERS FIJ INTANG'!C13</f>
        <v>500</v>
      </c>
    </row>
    <row r="10" spans="1:3" x14ac:dyDescent="0.25">
      <c r="A10" s="48"/>
      <c r="B10" s="8" t="s">
        <v>143</v>
      </c>
      <c r="C10" s="12">
        <f>'CAP TRABAJ'!D31</f>
        <v>6552.37</v>
      </c>
    </row>
    <row r="11" spans="1:3" x14ac:dyDescent="0.25">
      <c r="A11" s="48"/>
      <c r="B11" s="8" t="s">
        <v>146</v>
      </c>
      <c r="C11" s="12">
        <v>0</v>
      </c>
    </row>
    <row r="12" spans="1:3" x14ac:dyDescent="0.25">
      <c r="A12" s="48"/>
      <c r="B12" s="8" t="s">
        <v>147</v>
      </c>
      <c r="C12" s="12">
        <v>0</v>
      </c>
    </row>
    <row r="13" spans="1:3" x14ac:dyDescent="0.25">
      <c r="A13" s="48"/>
      <c r="B13" s="82" t="s">
        <v>144</v>
      </c>
      <c r="C13" s="13">
        <f>C11+C10+C3+C12</f>
        <v>17437.37</v>
      </c>
    </row>
    <row r="14" spans="1:3" x14ac:dyDescent="0.25">
      <c r="A14" s="48"/>
      <c r="B14" s="179" t="s">
        <v>145</v>
      </c>
      <c r="C14" s="47"/>
    </row>
    <row r="15" spans="1:3" x14ac:dyDescent="0.25">
      <c r="A15" s="48"/>
      <c r="B15" s="48"/>
    </row>
    <row r="16" spans="1:3" s="25" customFormat="1" ht="12.75" x14ac:dyDescent="0.2">
      <c r="A16" s="180"/>
      <c r="B16" s="58"/>
    </row>
    <row r="17" spans="1:3" x14ac:dyDescent="0.25">
      <c r="A17" s="181"/>
      <c r="B17" s="48"/>
    </row>
    <row r="18" spans="1:3" x14ac:dyDescent="0.25">
      <c r="A18" s="181"/>
      <c r="B18" s="48"/>
      <c r="C18" s="62"/>
    </row>
    <row r="19" spans="1:3" x14ac:dyDescent="0.25">
      <c r="A19" s="181"/>
      <c r="B19" s="48"/>
    </row>
    <row r="20" spans="1:3" x14ac:dyDescent="0.25">
      <c r="A20" s="181"/>
      <c r="B20" s="48"/>
    </row>
    <row r="21" spans="1:3" x14ac:dyDescent="0.25">
      <c r="A21" s="181"/>
      <c r="B21" s="48"/>
    </row>
    <row r="22" spans="1:3" x14ac:dyDescent="0.25">
      <c r="A22" s="181"/>
      <c r="B22" s="48"/>
    </row>
    <row r="23" spans="1:3" x14ac:dyDescent="0.25">
      <c r="A23" s="181"/>
      <c r="B23" s="48"/>
    </row>
    <row r="24" spans="1:3" x14ac:dyDescent="0.25">
      <c r="A24" s="181"/>
      <c r="B24" s="48"/>
    </row>
    <row r="25" spans="1:3" x14ac:dyDescent="0.25">
      <c r="A25" s="181"/>
      <c r="B25" s="48"/>
    </row>
    <row r="26" spans="1:3" x14ac:dyDescent="0.25">
      <c r="A26" s="181"/>
      <c r="B26" s="48"/>
    </row>
    <row r="27" spans="1:3" x14ac:dyDescent="0.25">
      <c r="A27" s="181"/>
      <c r="B27" s="48"/>
    </row>
    <row r="28" spans="1:3" x14ac:dyDescent="0.25">
      <c r="A28" s="181"/>
      <c r="B28" s="48"/>
    </row>
    <row r="29" spans="1:3" x14ac:dyDescent="0.25">
      <c r="A29" s="181"/>
      <c r="B29" s="48"/>
    </row>
    <row r="30" spans="1:3" x14ac:dyDescent="0.25">
      <c r="A30" s="181"/>
      <c r="B30" s="48"/>
    </row>
    <row r="31" spans="1:3" x14ac:dyDescent="0.25">
      <c r="A31" s="181"/>
      <c r="B31" s="48"/>
    </row>
    <row r="32" spans="1:3" x14ac:dyDescent="0.25">
      <c r="A32" s="181"/>
      <c r="B32" s="48"/>
    </row>
    <row r="33" spans="1:2" x14ac:dyDescent="0.25">
      <c r="A33" s="181"/>
      <c r="B33" s="48"/>
    </row>
    <row r="34" spans="1:2" x14ac:dyDescent="0.25">
      <c r="A34" s="181"/>
      <c r="B34" s="48"/>
    </row>
    <row r="35" spans="1:2" x14ac:dyDescent="0.25">
      <c r="A35" s="181"/>
      <c r="B35" s="48"/>
    </row>
    <row r="36" spans="1:2" x14ac:dyDescent="0.25">
      <c r="A36" s="181"/>
      <c r="B36" s="48"/>
    </row>
    <row r="37" spans="1:2" s="25" customFormat="1" ht="12.75" x14ac:dyDescent="0.2">
      <c r="A37" s="58"/>
      <c r="B37" s="58"/>
    </row>
    <row r="38" spans="1:2" x14ac:dyDescent="0.25">
      <c r="A38" s="48"/>
      <c r="B38" s="48"/>
    </row>
    <row r="39" spans="1:2" x14ac:dyDescent="0.25">
      <c r="A39" s="48"/>
      <c r="B39" s="48"/>
    </row>
    <row r="40" spans="1:2" s="25" customFormat="1" ht="12.75" x14ac:dyDescent="0.2">
      <c r="A40" s="58"/>
      <c r="B40" s="58"/>
    </row>
    <row r="41" spans="1:2" x14ac:dyDescent="0.25">
      <c r="A41" s="48"/>
      <c r="B41" s="48"/>
    </row>
    <row r="42" spans="1:2" x14ac:dyDescent="0.25">
      <c r="A42" s="48"/>
      <c r="B42" s="48"/>
    </row>
    <row r="43" spans="1:2" x14ac:dyDescent="0.25">
      <c r="A43" s="48"/>
      <c r="B43" s="48"/>
    </row>
    <row r="44" spans="1:2" x14ac:dyDescent="0.25">
      <c r="A44" s="48"/>
      <c r="B44" s="48"/>
    </row>
    <row r="45" spans="1:2" s="25" customFormat="1" ht="12.75" x14ac:dyDescent="0.2">
      <c r="A45" s="58"/>
      <c r="B45" s="58"/>
    </row>
    <row r="46" spans="1:2" x14ac:dyDescent="0.25">
      <c r="A46" s="48"/>
      <c r="B46" s="48"/>
    </row>
    <row r="47" spans="1:2" x14ac:dyDescent="0.25">
      <c r="A47" s="48"/>
      <c r="B47" s="48"/>
    </row>
    <row r="48" spans="1:2" x14ac:dyDescent="0.25">
      <c r="A48" s="48"/>
      <c r="B48" s="48"/>
    </row>
    <row r="49" spans="1:2" x14ac:dyDescent="0.25">
      <c r="A49" s="48"/>
      <c r="B49" s="48"/>
    </row>
    <row r="50" spans="1:2" x14ac:dyDescent="0.25">
      <c r="A50" s="48"/>
      <c r="B50" s="48"/>
    </row>
    <row r="51" spans="1:2" x14ac:dyDescent="0.25">
      <c r="A51" s="48"/>
      <c r="B51" s="48"/>
    </row>
    <row r="52" spans="1:2" x14ac:dyDescent="0.25">
      <c r="A52" s="48"/>
      <c r="B52" s="48"/>
    </row>
    <row r="53" spans="1:2" x14ac:dyDescent="0.25">
      <c r="A53" s="48"/>
      <c r="B53" s="48"/>
    </row>
    <row r="54" spans="1:2" x14ac:dyDescent="0.25">
      <c r="A54" s="48"/>
      <c r="B54" s="48"/>
    </row>
    <row r="55" spans="1:2" x14ac:dyDescent="0.25">
      <c r="A55" s="48"/>
      <c r="B55" s="48"/>
    </row>
    <row r="56" spans="1:2" x14ac:dyDescent="0.25">
      <c r="A56" s="48"/>
      <c r="B56" s="48"/>
    </row>
    <row r="57" spans="1:2" x14ac:dyDescent="0.25">
      <c r="A57" s="48"/>
      <c r="B57" s="48"/>
    </row>
    <row r="58" spans="1:2" x14ac:dyDescent="0.25">
      <c r="A58" s="48"/>
      <c r="B58" s="48"/>
    </row>
    <row r="59" spans="1:2" x14ac:dyDescent="0.25">
      <c r="A59" s="48"/>
      <c r="B59" s="48"/>
    </row>
    <row r="60" spans="1:2" x14ac:dyDescent="0.25">
      <c r="A60" s="48"/>
      <c r="B60" s="48"/>
    </row>
    <row r="61" spans="1:2" x14ac:dyDescent="0.25">
      <c r="A61" s="48"/>
      <c r="B61" s="48"/>
    </row>
    <row r="62" spans="1:2" x14ac:dyDescent="0.25">
      <c r="A62" s="48"/>
      <c r="B62" s="48"/>
    </row>
    <row r="63" spans="1:2" x14ac:dyDescent="0.25">
      <c r="A63" s="48"/>
      <c r="B63" s="48"/>
    </row>
    <row r="64" spans="1:2" x14ac:dyDescent="0.25">
      <c r="A64" s="48"/>
      <c r="B64" s="48"/>
    </row>
    <row r="65" spans="1:2" x14ac:dyDescent="0.25">
      <c r="A65" s="48"/>
      <c r="B65" s="48"/>
    </row>
    <row r="66" spans="1:2" x14ac:dyDescent="0.25">
      <c r="A66" s="48"/>
      <c r="B66" s="48"/>
    </row>
    <row r="67" spans="1:2" x14ac:dyDescent="0.25">
      <c r="A67" s="48"/>
      <c r="B67" s="48"/>
    </row>
    <row r="68" spans="1:2" x14ac:dyDescent="0.25">
      <c r="A68" s="48"/>
      <c r="B68" s="48"/>
    </row>
    <row r="69" spans="1:2" x14ac:dyDescent="0.25">
      <c r="A69" s="48"/>
      <c r="B69" s="48"/>
    </row>
    <row r="70" spans="1:2" x14ac:dyDescent="0.25">
      <c r="A70" s="48"/>
      <c r="B70" s="48"/>
    </row>
    <row r="71" spans="1:2" x14ac:dyDescent="0.25">
      <c r="A71" s="48"/>
      <c r="B71" s="48"/>
    </row>
    <row r="72" spans="1:2" x14ac:dyDescent="0.25">
      <c r="A72" s="48"/>
      <c r="B72" s="48"/>
    </row>
    <row r="73" spans="1:2" x14ac:dyDescent="0.25">
      <c r="A73" s="48"/>
      <c r="B73" s="48"/>
    </row>
    <row r="74" spans="1:2" x14ac:dyDescent="0.25">
      <c r="A74" s="48"/>
      <c r="B74" s="48"/>
    </row>
  </sheetData>
  <mergeCells count="1">
    <mergeCell ref="B1:C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2"/>
  <sheetViews>
    <sheetView showGridLines="0" workbookViewId="0">
      <selection activeCell="E20" sqref="E20"/>
    </sheetView>
  </sheetViews>
  <sheetFormatPr baseColWidth="10" defaultRowHeight="15" x14ac:dyDescent="0.25"/>
  <cols>
    <col min="1" max="1" width="4.28515625" customWidth="1"/>
    <col min="2" max="2" width="39.85546875" customWidth="1"/>
    <col min="3" max="4" width="17.28515625" customWidth="1"/>
    <col min="5" max="5" width="3.85546875" customWidth="1"/>
    <col min="6" max="6" width="12.85546875" bestFit="1" customWidth="1"/>
    <col min="255" max="255" width="4.28515625" customWidth="1"/>
    <col min="256" max="256" width="39.85546875" customWidth="1"/>
    <col min="257" max="258" width="17.28515625" customWidth="1"/>
    <col min="259" max="259" width="14" customWidth="1"/>
    <col min="260" max="260" width="18" customWidth="1"/>
    <col min="261" max="261" width="3.85546875" customWidth="1"/>
    <col min="262" max="262" width="12.85546875" bestFit="1" customWidth="1"/>
    <col min="511" max="511" width="4.28515625" customWidth="1"/>
    <col min="512" max="512" width="39.85546875" customWidth="1"/>
    <col min="513" max="514" width="17.28515625" customWidth="1"/>
    <col min="515" max="515" width="14" customWidth="1"/>
    <col min="516" max="516" width="18" customWidth="1"/>
    <col min="517" max="517" width="3.85546875" customWidth="1"/>
    <col min="518" max="518" width="12.85546875" bestFit="1" customWidth="1"/>
    <col min="767" max="767" width="4.28515625" customWidth="1"/>
    <col min="768" max="768" width="39.85546875" customWidth="1"/>
    <col min="769" max="770" width="17.28515625" customWidth="1"/>
    <col min="771" max="771" width="14" customWidth="1"/>
    <col min="772" max="772" width="18" customWidth="1"/>
    <col min="773" max="773" width="3.85546875" customWidth="1"/>
    <col min="774" max="774" width="12.85546875" bestFit="1" customWidth="1"/>
    <col min="1023" max="1023" width="4.28515625" customWidth="1"/>
    <col min="1024" max="1024" width="39.85546875" customWidth="1"/>
    <col min="1025" max="1026" width="17.28515625" customWidth="1"/>
    <col min="1027" max="1027" width="14" customWidth="1"/>
    <col min="1028" max="1028" width="18" customWidth="1"/>
    <col min="1029" max="1029" width="3.85546875" customWidth="1"/>
    <col min="1030" max="1030" width="12.85546875" bestFit="1" customWidth="1"/>
    <col min="1279" max="1279" width="4.28515625" customWidth="1"/>
    <col min="1280" max="1280" width="39.85546875" customWidth="1"/>
    <col min="1281" max="1282" width="17.28515625" customWidth="1"/>
    <col min="1283" max="1283" width="14" customWidth="1"/>
    <col min="1284" max="1284" width="18" customWidth="1"/>
    <col min="1285" max="1285" width="3.85546875" customWidth="1"/>
    <col min="1286" max="1286" width="12.85546875" bestFit="1" customWidth="1"/>
    <col min="1535" max="1535" width="4.28515625" customWidth="1"/>
    <col min="1536" max="1536" width="39.85546875" customWidth="1"/>
    <col min="1537" max="1538" width="17.28515625" customWidth="1"/>
    <col min="1539" max="1539" width="14" customWidth="1"/>
    <col min="1540" max="1540" width="18" customWidth="1"/>
    <col min="1541" max="1541" width="3.85546875" customWidth="1"/>
    <col min="1542" max="1542" width="12.85546875" bestFit="1" customWidth="1"/>
    <col min="1791" max="1791" width="4.28515625" customWidth="1"/>
    <col min="1792" max="1792" width="39.85546875" customWidth="1"/>
    <col min="1793" max="1794" width="17.28515625" customWidth="1"/>
    <col min="1795" max="1795" width="14" customWidth="1"/>
    <col min="1796" max="1796" width="18" customWidth="1"/>
    <col min="1797" max="1797" width="3.85546875" customWidth="1"/>
    <col min="1798" max="1798" width="12.85546875" bestFit="1" customWidth="1"/>
    <col min="2047" max="2047" width="4.28515625" customWidth="1"/>
    <col min="2048" max="2048" width="39.85546875" customWidth="1"/>
    <col min="2049" max="2050" width="17.28515625" customWidth="1"/>
    <col min="2051" max="2051" width="14" customWidth="1"/>
    <col min="2052" max="2052" width="18" customWidth="1"/>
    <col min="2053" max="2053" width="3.85546875" customWidth="1"/>
    <col min="2054" max="2054" width="12.85546875" bestFit="1" customWidth="1"/>
    <col min="2303" max="2303" width="4.28515625" customWidth="1"/>
    <col min="2304" max="2304" width="39.85546875" customWidth="1"/>
    <col min="2305" max="2306" width="17.28515625" customWidth="1"/>
    <col min="2307" max="2307" width="14" customWidth="1"/>
    <col min="2308" max="2308" width="18" customWidth="1"/>
    <col min="2309" max="2309" width="3.85546875" customWidth="1"/>
    <col min="2310" max="2310" width="12.85546875" bestFit="1" customWidth="1"/>
    <col min="2559" max="2559" width="4.28515625" customWidth="1"/>
    <col min="2560" max="2560" width="39.85546875" customWidth="1"/>
    <col min="2561" max="2562" width="17.28515625" customWidth="1"/>
    <col min="2563" max="2563" width="14" customWidth="1"/>
    <col min="2564" max="2564" width="18" customWidth="1"/>
    <col min="2565" max="2565" width="3.85546875" customWidth="1"/>
    <col min="2566" max="2566" width="12.85546875" bestFit="1" customWidth="1"/>
    <col min="2815" max="2815" width="4.28515625" customWidth="1"/>
    <col min="2816" max="2816" width="39.85546875" customWidth="1"/>
    <col min="2817" max="2818" width="17.28515625" customWidth="1"/>
    <col min="2819" max="2819" width="14" customWidth="1"/>
    <col min="2820" max="2820" width="18" customWidth="1"/>
    <col min="2821" max="2821" width="3.85546875" customWidth="1"/>
    <col min="2822" max="2822" width="12.85546875" bestFit="1" customWidth="1"/>
    <col min="3071" max="3071" width="4.28515625" customWidth="1"/>
    <col min="3072" max="3072" width="39.85546875" customWidth="1"/>
    <col min="3073" max="3074" width="17.28515625" customWidth="1"/>
    <col min="3075" max="3075" width="14" customWidth="1"/>
    <col min="3076" max="3076" width="18" customWidth="1"/>
    <col min="3077" max="3077" width="3.85546875" customWidth="1"/>
    <col min="3078" max="3078" width="12.85546875" bestFit="1" customWidth="1"/>
    <col min="3327" max="3327" width="4.28515625" customWidth="1"/>
    <col min="3328" max="3328" width="39.85546875" customWidth="1"/>
    <col min="3329" max="3330" width="17.28515625" customWidth="1"/>
    <col min="3331" max="3331" width="14" customWidth="1"/>
    <col min="3332" max="3332" width="18" customWidth="1"/>
    <col min="3333" max="3333" width="3.85546875" customWidth="1"/>
    <col min="3334" max="3334" width="12.85546875" bestFit="1" customWidth="1"/>
    <col min="3583" max="3583" width="4.28515625" customWidth="1"/>
    <col min="3584" max="3584" width="39.85546875" customWidth="1"/>
    <col min="3585" max="3586" width="17.28515625" customWidth="1"/>
    <col min="3587" max="3587" width="14" customWidth="1"/>
    <col min="3588" max="3588" width="18" customWidth="1"/>
    <col min="3589" max="3589" width="3.85546875" customWidth="1"/>
    <col min="3590" max="3590" width="12.85546875" bestFit="1" customWidth="1"/>
    <col min="3839" max="3839" width="4.28515625" customWidth="1"/>
    <col min="3840" max="3840" width="39.85546875" customWidth="1"/>
    <col min="3841" max="3842" width="17.28515625" customWidth="1"/>
    <col min="3843" max="3843" width="14" customWidth="1"/>
    <col min="3844" max="3844" width="18" customWidth="1"/>
    <col min="3845" max="3845" width="3.85546875" customWidth="1"/>
    <col min="3846" max="3846" width="12.85546875" bestFit="1" customWidth="1"/>
    <col min="4095" max="4095" width="4.28515625" customWidth="1"/>
    <col min="4096" max="4096" width="39.85546875" customWidth="1"/>
    <col min="4097" max="4098" width="17.28515625" customWidth="1"/>
    <col min="4099" max="4099" width="14" customWidth="1"/>
    <col min="4100" max="4100" width="18" customWidth="1"/>
    <col min="4101" max="4101" width="3.85546875" customWidth="1"/>
    <col min="4102" max="4102" width="12.85546875" bestFit="1" customWidth="1"/>
    <col min="4351" max="4351" width="4.28515625" customWidth="1"/>
    <col min="4352" max="4352" width="39.85546875" customWidth="1"/>
    <col min="4353" max="4354" width="17.28515625" customWidth="1"/>
    <col min="4355" max="4355" width="14" customWidth="1"/>
    <col min="4356" max="4356" width="18" customWidth="1"/>
    <col min="4357" max="4357" width="3.85546875" customWidth="1"/>
    <col min="4358" max="4358" width="12.85546875" bestFit="1" customWidth="1"/>
    <col min="4607" max="4607" width="4.28515625" customWidth="1"/>
    <col min="4608" max="4608" width="39.85546875" customWidth="1"/>
    <col min="4609" max="4610" width="17.28515625" customWidth="1"/>
    <col min="4611" max="4611" width="14" customWidth="1"/>
    <col min="4612" max="4612" width="18" customWidth="1"/>
    <col min="4613" max="4613" width="3.85546875" customWidth="1"/>
    <col min="4614" max="4614" width="12.85546875" bestFit="1" customWidth="1"/>
    <col min="4863" max="4863" width="4.28515625" customWidth="1"/>
    <col min="4864" max="4864" width="39.85546875" customWidth="1"/>
    <col min="4865" max="4866" width="17.28515625" customWidth="1"/>
    <col min="4867" max="4867" width="14" customWidth="1"/>
    <col min="4868" max="4868" width="18" customWidth="1"/>
    <col min="4869" max="4869" width="3.85546875" customWidth="1"/>
    <col min="4870" max="4870" width="12.85546875" bestFit="1" customWidth="1"/>
    <col min="5119" max="5119" width="4.28515625" customWidth="1"/>
    <col min="5120" max="5120" width="39.85546875" customWidth="1"/>
    <col min="5121" max="5122" width="17.28515625" customWidth="1"/>
    <col min="5123" max="5123" width="14" customWidth="1"/>
    <col min="5124" max="5124" width="18" customWidth="1"/>
    <col min="5125" max="5125" width="3.85546875" customWidth="1"/>
    <col min="5126" max="5126" width="12.85546875" bestFit="1" customWidth="1"/>
    <col min="5375" max="5375" width="4.28515625" customWidth="1"/>
    <col min="5376" max="5376" width="39.85546875" customWidth="1"/>
    <col min="5377" max="5378" width="17.28515625" customWidth="1"/>
    <col min="5379" max="5379" width="14" customWidth="1"/>
    <col min="5380" max="5380" width="18" customWidth="1"/>
    <col min="5381" max="5381" width="3.85546875" customWidth="1"/>
    <col min="5382" max="5382" width="12.85546875" bestFit="1" customWidth="1"/>
    <col min="5631" max="5631" width="4.28515625" customWidth="1"/>
    <col min="5632" max="5632" width="39.85546875" customWidth="1"/>
    <col min="5633" max="5634" width="17.28515625" customWidth="1"/>
    <col min="5635" max="5635" width="14" customWidth="1"/>
    <col min="5636" max="5636" width="18" customWidth="1"/>
    <col min="5637" max="5637" width="3.85546875" customWidth="1"/>
    <col min="5638" max="5638" width="12.85546875" bestFit="1" customWidth="1"/>
    <col min="5887" max="5887" width="4.28515625" customWidth="1"/>
    <col min="5888" max="5888" width="39.85546875" customWidth="1"/>
    <col min="5889" max="5890" width="17.28515625" customWidth="1"/>
    <col min="5891" max="5891" width="14" customWidth="1"/>
    <col min="5892" max="5892" width="18" customWidth="1"/>
    <col min="5893" max="5893" width="3.85546875" customWidth="1"/>
    <col min="5894" max="5894" width="12.85546875" bestFit="1" customWidth="1"/>
    <col min="6143" max="6143" width="4.28515625" customWidth="1"/>
    <col min="6144" max="6144" width="39.85546875" customWidth="1"/>
    <col min="6145" max="6146" width="17.28515625" customWidth="1"/>
    <col min="6147" max="6147" width="14" customWidth="1"/>
    <col min="6148" max="6148" width="18" customWidth="1"/>
    <col min="6149" max="6149" width="3.85546875" customWidth="1"/>
    <col min="6150" max="6150" width="12.85546875" bestFit="1" customWidth="1"/>
    <col min="6399" max="6399" width="4.28515625" customWidth="1"/>
    <col min="6400" max="6400" width="39.85546875" customWidth="1"/>
    <col min="6401" max="6402" width="17.28515625" customWidth="1"/>
    <col min="6403" max="6403" width="14" customWidth="1"/>
    <col min="6404" max="6404" width="18" customWidth="1"/>
    <col min="6405" max="6405" width="3.85546875" customWidth="1"/>
    <col min="6406" max="6406" width="12.85546875" bestFit="1" customWidth="1"/>
    <col min="6655" max="6655" width="4.28515625" customWidth="1"/>
    <col min="6656" max="6656" width="39.85546875" customWidth="1"/>
    <col min="6657" max="6658" width="17.28515625" customWidth="1"/>
    <col min="6659" max="6659" width="14" customWidth="1"/>
    <col min="6660" max="6660" width="18" customWidth="1"/>
    <col min="6661" max="6661" width="3.85546875" customWidth="1"/>
    <col min="6662" max="6662" width="12.85546875" bestFit="1" customWidth="1"/>
    <col min="6911" max="6911" width="4.28515625" customWidth="1"/>
    <col min="6912" max="6912" width="39.85546875" customWidth="1"/>
    <col min="6913" max="6914" width="17.28515625" customWidth="1"/>
    <col min="6915" max="6915" width="14" customWidth="1"/>
    <col min="6916" max="6916" width="18" customWidth="1"/>
    <col min="6917" max="6917" width="3.85546875" customWidth="1"/>
    <col min="6918" max="6918" width="12.85546875" bestFit="1" customWidth="1"/>
    <col min="7167" max="7167" width="4.28515625" customWidth="1"/>
    <col min="7168" max="7168" width="39.85546875" customWidth="1"/>
    <col min="7169" max="7170" width="17.28515625" customWidth="1"/>
    <col min="7171" max="7171" width="14" customWidth="1"/>
    <col min="7172" max="7172" width="18" customWidth="1"/>
    <col min="7173" max="7173" width="3.85546875" customWidth="1"/>
    <col min="7174" max="7174" width="12.85546875" bestFit="1" customWidth="1"/>
    <col min="7423" max="7423" width="4.28515625" customWidth="1"/>
    <col min="7424" max="7424" width="39.85546875" customWidth="1"/>
    <col min="7425" max="7426" width="17.28515625" customWidth="1"/>
    <col min="7427" max="7427" width="14" customWidth="1"/>
    <col min="7428" max="7428" width="18" customWidth="1"/>
    <col min="7429" max="7429" width="3.85546875" customWidth="1"/>
    <col min="7430" max="7430" width="12.85546875" bestFit="1" customWidth="1"/>
    <col min="7679" max="7679" width="4.28515625" customWidth="1"/>
    <col min="7680" max="7680" width="39.85546875" customWidth="1"/>
    <col min="7681" max="7682" width="17.28515625" customWidth="1"/>
    <col min="7683" max="7683" width="14" customWidth="1"/>
    <col min="7684" max="7684" width="18" customWidth="1"/>
    <col min="7685" max="7685" width="3.85546875" customWidth="1"/>
    <col min="7686" max="7686" width="12.85546875" bestFit="1" customWidth="1"/>
    <col min="7935" max="7935" width="4.28515625" customWidth="1"/>
    <col min="7936" max="7936" width="39.85546875" customWidth="1"/>
    <col min="7937" max="7938" width="17.28515625" customWidth="1"/>
    <col min="7939" max="7939" width="14" customWidth="1"/>
    <col min="7940" max="7940" width="18" customWidth="1"/>
    <col min="7941" max="7941" width="3.85546875" customWidth="1"/>
    <col min="7942" max="7942" width="12.85546875" bestFit="1" customWidth="1"/>
    <col min="8191" max="8191" width="4.28515625" customWidth="1"/>
    <col min="8192" max="8192" width="39.85546875" customWidth="1"/>
    <col min="8193" max="8194" width="17.28515625" customWidth="1"/>
    <col min="8195" max="8195" width="14" customWidth="1"/>
    <col min="8196" max="8196" width="18" customWidth="1"/>
    <col min="8197" max="8197" width="3.85546875" customWidth="1"/>
    <col min="8198" max="8198" width="12.85546875" bestFit="1" customWidth="1"/>
    <col min="8447" max="8447" width="4.28515625" customWidth="1"/>
    <col min="8448" max="8448" width="39.85546875" customWidth="1"/>
    <col min="8449" max="8450" width="17.28515625" customWidth="1"/>
    <col min="8451" max="8451" width="14" customWidth="1"/>
    <col min="8452" max="8452" width="18" customWidth="1"/>
    <col min="8453" max="8453" width="3.85546875" customWidth="1"/>
    <col min="8454" max="8454" width="12.85546875" bestFit="1" customWidth="1"/>
    <col min="8703" max="8703" width="4.28515625" customWidth="1"/>
    <col min="8704" max="8704" width="39.85546875" customWidth="1"/>
    <col min="8705" max="8706" width="17.28515625" customWidth="1"/>
    <col min="8707" max="8707" width="14" customWidth="1"/>
    <col min="8708" max="8708" width="18" customWidth="1"/>
    <col min="8709" max="8709" width="3.85546875" customWidth="1"/>
    <col min="8710" max="8710" width="12.85546875" bestFit="1" customWidth="1"/>
    <col min="8959" max="8959" width="4.28515625" customWidth="1"/>
    <col min="8960" max="8960" width="39.85546875" customWidth="1"/>
    <col min="8961" max="8962" width="17.28515625" customWidth="1"/>
    <col min="8963" max="8963" width="14" customWidth="1"/>
    <col min="8964" max="8964" width="18" customWidth="1"/>
    <col min="8965" max="8965" width="3.85546875" customWidth="1"/>
    <col min="8966" max="8966" width="12.85546875" bestFit="1" customWidth="1"/>
    <col min="9215" max="9215" width="4.28515625" customWidth="1"/>
    <col min="9216" max="9216" width="39.85546875" customWidth="1"/>
    <col min="9217" max="9218" width="17.28515625" customWidth="1"/>
    <col min="9219" max="9219" width="14" customWidth="1"/>
    <col min="9220" max="9220" width="18" customWidth="1"/>
    <col min="9221" max="9221" width="3.85546875" customWidth="1"/>
    <col min="9222" max="9222" width="12.85546875" bestFit="1" customWidth="1"/>
    <col min="9471" max="9471" width="4.28515625" customWidth="1"/>
    <col min="9472" max="9472" width="39.85546875" customWidth="1"/>
    <col min="9473" max="9474" width="17.28515625" customWidth="1"/>
    <col min="9475" max="9475" width="14" customWidth="1"/>
    <col min="9476" max="9476" width="18" customWidth="1"/>
    <col min="9477" max="9477" width="3.85546875" customWidth="1"/>
    <col min="9478" max="9478" width="12.85546875" bestFit="1" customWidth="1"/>
    <col min="9727" max="9727" width="4.28515625" customWidth="1"/>
    <col min="9728" max="9728" width="39.85546875" customWidth="1"/>
    <col min="9729" max="9730" width="17.28515625" customWidth="1"/>
    <col min="9731" max="9731" width="14" customWidth="1"/>
    <col min="9732" max="9732" width="18" customWidth="1"/>
    <col min="9733" max="9733" width="3.85546875" customWidth="1"/>
    <col min="9734" max="9734" width="12.85546875" bestFit="1" customWidth="1"/>
    <col min="9983" max="9983" width="4.28515625" customWidth="1"/>
    <col min="9984" max="9984" width="39.85546875" customWidth="1"/>
    <col min="9985" max="9986" width="17.28515625" customWidth="1"/>
    <col min="9987" max="9987" width="14" customWidth="1"/>
    <col min="9988" max="9988" width="18" customWidth="1"/>
    <col min="9989" max="9989" width="3.85546875" customWidth="1"/>
    <col min="9990" max="9990" width="12.85546875" bestFit="1" customWidth="1"/>
    <col min="10239" max="10239" width="4.28515625" customWidth="1"/>
    <col min="10240" max="10240" width="39.85546875" customWidth="1"/>
    <col min="10241" max="10242" width="17.28515625" customWidth="1"/>
    <col min="10243" max="10243" width="14" customWidth="1"/>
    <col min="10244" max="10244" width="18" customWidth="1"/>
    <col min="10245" max="10245" width="3.85546875" customWidth="1"/>
    <col min="10246" max="10246" width="12.85546875" bestFit="1" customWidth="1"/>
    <col min="10495" max="10495" width="4.28515625" customWidth="1"/>
    <col min="10496" max="10496" width="39.85546875" customWidth="1"/>
    <col min="10497" max="10498" width="17.28515625" customWidth="1"/>
    <col min="10499" max="10499" width="14" customWidth="1"/>
    <col min="10500" max="10500" width="18" customWidth="1"/>
    <col min="10501" max="10501" width="3.85546875" customWidth="1"/>
    <col min="10502" max="10502" width="12.85546875" bestFit="1" customWidth="1"/>
    <col min="10751" max="10751" width="4.28515625" customWidth="1"/>
    <col min="10752" max="10752" width="39.85546875" customWidth="1"/>
    <col min="10753" max="10754" width="17.28515625" customWidth="1"/>
    <col min="10755" max="10755" width="14" customWidth="1"/>
    <col min="10756" max="10756" width="18" customWidth="1"/>
    <col min="10757" max="10757" width="3.85546875" customWidth="1"/>
    <col min="10758" max="10758" width="12.85546875" bestFit="1" customWidth="1"/>
    <col min="11007" max="11007" width="4.28515625" customWidth="1"/>
    <col min="11008" max="11008" width="39.85546875" customWidth="1"/>
    <col min="11009" max="11010" width="17.28515625" customWidth="1"/>
    <col min="11011" max="11011" width="14" customWidth="1"/>
    <col min="11012" max="11012" width="18" customWidth="1"/>
    <col min="11013" max="11013" width="3.85546875" customWidth="1"/>
    <col min="11014" max="11014" width="12.85546875" bestFit="1" customWidth="1"/>
    <col min="11263" max="11263" width="4.28515625" customWidth="1"/>
    <col min="11264" max="11264" width="39.85546875" customWidth="1"/>
    <col min="11265" max="11266" width="17.28515625" customWidth="1"/>
    <col min="11267" max="11267" width="14" customWidth="1"/>
    <col min="11268" max="11268" width="18" customWidth="1"/>
    <col min="11269" max="11269" width="3.85546875" customWidth="1"/>
    <col min="11270" max="11270" width="12.85546875" bestFit="1" customWidth="1"/>
    <col min="11519" max="11519" width="4.28515625" customWidth="1"/>
    <col min="11520" max="11520" width="39.85546875" customWidth="1"/>
    <col min="11521" max="11522" width="17.28515625" customWidth="1"/>
    <col min="11523" max="11523" width="14" customWidth="1"/>
    <col min="11524" max="11524" width="18" customWidth="1"/>
    <col min="11525" max="11525" width="3.85546875" customWidth="1"/>
    <col min="11526" max="11526" width="12.85546875" bestFit="1" customWidth="1"/>
    <col min="11775" max="11775" width="4.28515625" customWidth="1"/>
    <col min="11776" max="11776" width="39.85546875" customWidth="1"/>
    <col min="11777" max="11778" width="17.28515625" customWidth="1"/>
    <col min="11779" max="11779" width="14" customWidth="1"/>
    <col min="11780" max="11780" width="18" customWidth="1"/>
    <col min="11781" max="11781" width="3.85546875" customWidth="1"/>
    <col min="11782" max="11782" width="12.85546875" bestFit="1" customWidth="1"/>
    <col min="12031" max="12031" width="4.28515625" customWidth="1"/>
    <col min="12032" max="12032" width="39.85546875" customWidth="1"/>
    <col min="12033" max="12034" width="17.28515625" customWidth="1"/>
    <col min="12035" max="12035" width="14" customWidth="1"/>
    <col min="12036" max="12036" width="18" customWidth="1"/>
    <col min="12037" max="12037" width="3.85546875" customWidth="1"/>
    <col min="12038" max="12038" width="12.85546875" bestFit="1" customWidth="1"/>
    <col min="12287" max="12287" width="4.28515625" customWidth="1"/>
    <col min="12288" max="12288" width="39.85546875" customWidth="1"/>
    <col min="12289" max="12290" width="17.28515625" customWidth="1"/>
    <col min="12291" max="12291" width="14" customWidth="1"/>
    <col min="12292" max="12292" width="18" customWidth="1"/>
    <col min="12293" max="12293" width="3.85546875" customWidth="1"/>
    <col min="12294" max="12294" width="12.85546875" bestFit="1" customWidth="1"/>
    <col min="12543" max="12543" width="4.28515625" customWidth="1"/>
    <col min="12544" max="12544" width="39.85546875" customWidth="1"/>
    <col min="12545" max="12546" width="17.28515625" customWidth="1"/>
    <col min="12547" max="12547" width="14" customWidth="1"/>
    <col min="12548" max="12548" width="18" customWidth="1"/>
    <col min="12549" max="12549" width="3.85546875" customWidth="1"/>
    <col min="12550" max="12550" width="12.85546875" bestFit="1" customWidth="1"/>
    <col min="12799" max="12799" width="4.28515625" customWidth="1"/>
    <col min="12800" max="12800" width="39.85546875" customWidth="1"/>
    <col min="12801" max="12802" width="17.28515625" customWidth="1"/>
    <col min="12803" max="12803" width="14" customWidth="1"/>
    <col min="12804" max="12804" width="18" customWidth="1"/>
    <col min="12805" max="12805" width="3.85546875" customWidth="1"/>
    <col min="12806" max="12806" width="12.85546875" bestFit="1" customWidth="1"/>
    <col min="13055" max="13055" width="4.28515625" customWidth="1"/>
    <col min="13056" max="13056" width="39.85546875" customWidth="1"/>
    <col min="13057" max="13058" width="17.28515625" customWidth="1"/>
    <col min="13059" max="13059" width="14" customWidth="1"/>
    <col min="13060" max="13060" width="18" customWidth="1"/>
    <col min="13061" max="13061" width="3.85546875" customWidth="1"/>
    <col min="13062" max="13062" width="12.85546875" bestFit="1" customWidth="1"/>
    <col min="13311" max="13311" width="4.28515625" customWidth="1"/>
    <col min="13312" max="13312" width="39.85546875" customWidth="1"/>
    <col min="13313" max="13314" width="17.28515625" customWidth="1"/>
    <col min="13315" max="13315" width="14" customWidth="1"/>
    <col min="13316" max="13316" width="18" customWidth="1"/>
    <col min="13317" max="13317" width="3.85546875" customWidth="1"/>
    <col min="13318" max="13318" width="12.85546875" bestFit="1" customWidth="1"/>
    <col min="13567" max="13567" width="4.28515625" customWidth="1"/>
    <col min="13568" max="13568" width="39.85546875" customWidth="1"/>
    <col min="13569" max="13570" width="17.28515625" customWidth="1"/>
    <col min="13571" max="13571" width="14" customWidth="1"/>
    <col min="13572" max="13572" width="18" customWidth="1"/>
    <col min="13573" max="13573" width="3.85546875" customWidth="1"/>
    <col min="13574" max="13574" width="12.85546875" bestFit="1" customWidth="1"/>
    <col min="13823" max="13823" width="4.28515625" customWidth="1"/>
    <col min="13824" max="13824" width="39.85546875" customWidth="1"/>
    <col min="13825" max="13826" width="17.28515625" customWidth="1"/>
    <col min="13827" max="13827" width="14" customWidth="1"/>
    <col min="13828" max="13828" width="18" customWidth="1"/>
    <col min="13829" max="13829" width="3.85546875" customWidth="1"/>
    <col min="13830" max="13830" width="12.85546875" bestFit="1" customWidth="1"/>
    <col min="14079" max="14079" width="4.28515625" customWidth="1"/>
    <col min="14080" max="14080" width="39.85546875" customWidth="1"/>
    <col min="14081" max="14082" width="17.28515625" customWidth="1"/>
    <col min="14083" max="14083" width="14" customWidth="1"/>
    <col min="14084" max="14084" width="18" customWidth="1"/>
    <col min="14085" max="14085" width="3.85546875" customWidth="1"/>
    <col min="14086" max="14086" width="12.85546875" bestFit="1" customWidth="1"/>
    <col min="14335" max="14335" width="4.28515625" customWidth="1"/>
    <col min="14336" max="14336" width="39.85546875" customWidth="1"/>
    <col min="14337" max="14338" width="17.28515625" customWidth="1"/>
    <col min="14339" max="14339" width="14" customWidth="1"/>
    <col min="14340" max="14340" width="18" customWidth="1"/>
    <col min="14341" max="14341" width="3.85546875" customWidth="1"/>
    <col min="14342" max="14342" width="12.85546875" bestFit="1" customWidth="1"/>
    <col min="14591" max="14591" width="4.28515625" customWidth="1"/>
    <col min="14592" max="14592" width="39.85546875" customWidth="1"/>
    <col min="14593" max="14594" width="17.28515625" customWidth="1"/>
    <col min="14595" max="14595" width="14" customWidth="1"/>
    <col min="14596" max="14596" width="18" customWidth="1"/>
    <col min="14597" max="14597" width="3.85546875" customWidth="1"/>
    <col min="14598" max="14598" width="12.85546875" bestFit="1" customWidth="1"/>
    <col min="14847" max="14847" width="4.28515625" customWidth="1"/>
    <col min="14848" max="14848" width="39.85546875" customWidth="1"/>
    <col min="14849" max="14850" width="17.28515625" customWidth="1"/>
    <col min="14851" max="14851" width="14" customWidth="1"/>
    <col min="14852" max="14852" width="18" customWidth="1"/>
    <col min="14853" max="14853" width="3.85546875" customWidth="1"/>
    <col min="14854" max="14854" width="12.85546875" bestFit="1" customWidth="1"/>
    <col min="15103" max="15103" width="4.28515625" customWidth="1"/>
    <col min="15104" max="15104" width="39.85546875" customWidth="1"/>
    <col min="15105" max="15106" width="17.28515625" customWidth="1"/>
    <col min="15107" max="15107" width="14" customWidth="1"/>
    <col min="15108" max="15108" width="18" customWidth="1"/>
    <col min="15109" max="15109" width="3.85546875" customWidth="1"/>
    <col min="15110" max="15110" width="12.85546875" bestFit="1" customWidth="1"/>
    <col min="15359" max="15359" width="4.28515625" customWidth="1"/>
    <col min="15360" max="15360" width="39.85546875" customWidth="1"/>
    <col min="15361" max="15362" width="17.28515625" customWidth="1"/>
    <col min="15363" max="15363" width="14" customWidth="1"/>
    <col min="15364" max="15364" width="18" customWidth="1"/>
    <col min="15365" max="15365" width="3.85546875" customWidth="1"/>
    <col min="15366" max="15366" width="12.85546875" bestFit="1" customWidth="1"/>
    <col min="15615" max="15615" width="4.28515625" customWidth="1"/>
    <col min="15616" max="15616" width="39.85546875" customWidth="1"/>
    <col min="15617" max="15618" width="17.28515625" customWidth="1"/>
    <col min="15619" max="15619" width="14" customWidth="1"/>
    <col min="15620" max="15620" width="18" customWidth="1"/>
    <col min="15621" max="15621" width="3.85546875" customWidth="1"/>
    <col min="15622" max="15622" width="12.85546875" bestFit="1" customWidth="1"/>
    <col min="15871" max="15871" width="4.28515625" customWidth="1"/>
    <col min="15872" max="15872" width="39.85546875" customWidth="1"/>
    <col min="15873" max="15874" width="17.28515625" customWidth="1"/>
    <col min="15875" max="15875" width="14" customWidth="1"/>
    <col min="15876" max="15876" width="18" customWidth="1"/>
    <col min="15877" max="15877" width="3.85546875" customWidth="1"/>
    <col min="15878" max="15878" width="12.85546875" bestFit="1" customWidth="1"/>
    <col min="16127" max="16127" width="4.28515625" customWidth="1"/>
    <col min="16128" max="16128" width="39.85546875" customWidth="1"/>
    <col min="16129" max="16130" width="17.28515625" customWidth="1"/>
    <col min="16131" max="16131" width="14" customWidth="1"/>
    <col min="16132" max="16132" width="18" customWidth="1"/>
    <col min="16133" max="16133" width="3.85546875" customWidth="1"/>
    <col min="16134" max="16134" width="12.85546875" bestFit="1" customWidth="1"/>
  </cols>
  <sheetData>
    <row r="1" spans="1:6" s="18" customFormat="1" x14ac:dyDescent="0.25"/>
    <row r="2" spans="1:6" x14ac:dyDescent="0.25">
      <c r="A2" s="18"/>
      <c r="B2" s="320" t="s">
        <v>148</v>
      </c>
      <c r="C2" s="320"/>
      <c r="D2" s="320"/>
    </row>
    <row r="3" spans="1:6" s="182" customFormat="1" ht="15.75" customHeight="1" x14ac:dyDescent="0.25">
      <c r="A3" s="20"/>
      <c r="B3" s="342" t="s">
        <v>43</v>
      </c>
      <c r="C3" s="332" t="s">
        <v>149</v>
      </c>
      <c r="D3" s="332"/>
      <c r="E3" s="20"/>
    </row>
    <row r="4" spans="1:6" s="182" customFormat="1" x14ac:dyDescent="0.25">
      <c r="A4" s="20"/>
      <c r="B4" s="343"/>
      <c r="C4" s="159" t="s">
        <v>150</v>
      </c>
      <c r="D4" s="161" t="s">
        <v>151</v>
      </c>
      <c r="E4" s="20"/>
    </row>
    <row r="5" spans="1:6" x14ac:dyDescent="0.25">
      <c r="A5" s="18"/>
      <c r="B5" s="8" t="str">
        <f>INVERSION!B3</f>
        <v xml:space="preserve">I.INVERSIÓN FIJA </v>
      </c>
      <c r="C5" s="12">
        <f>C6+C11</f>
        <v>9185</v>
      </c>
      <c r="D5" s="12">
        <f>D6+D11</f>
        <v>1700</v>
      </c>
      <c r="E5" s="62"/>
      <c r="F5" s="183"/>
    </row>
    <row r="6" spans="1:6" x14ac:dyDescent="0.25">
      <c r="A6" s="18"/>
      <c r="B6" s="8" t="str">
        <f>INVERSION!B4</f>
        <v xml:space="preserve">  I.1. INVERSIÓN FIJA TANGIBLE</v>
      </c>
      <c r="C6" s="12">
        <f>SUM(C7:C10)</f>
        <v>8685</v>
      </c>
      <c r="D6" s="12">
        <f>SUM(D7:D10)</f>
        <v>1700</v>
      </c>
      <c r="E6" s="62"/>
    </row>
    <row r="7" spans="1:6" x14ac:dyDescent="0.25">
      <c r="A7" s="18"/>
      <c r="B7" s="29" t="str">
        <f>INVERSION!B5</f>
        <v xml:space="preserve">     I.1.1. TERRENOS Y OBRAS CIVILES</v>
      </c>
      <c r="C7" s="40">
        <f>'TERREN Y OBR CIV'!F4</f>
        <v>0</v>
      </c>
      <c r="D7" s="40">
        <f>INVERSION!C5-FINANCIAMIENT!C7</f>
        <v>0</v>
      </c>
      <c r="E7" s="62"/>
    </row>
    <row r="8" spans="1:6" x14ac:dyDescent="0.25">
      <c r="A8" s="18"/>
      <c r="B8" s="29" t="str">
        <f>INVERSION!B6</f>
        <v xml:space="preserve">     I.1.2. MAQUINARIA Y EQUIPO</v>
      </c>
      <c r="C8" s="40">
        <v>7585</v>
      </c>
      <c r="D8" s="40">
        <f>INVERSION!C6-FINANCIAMIENT!C8</f>
        <v>600</v>
      </c>
      <c r="E8" s="62"/>
    </row>
    <row r="9" spans="1:6" x14ac:dyDescent="0.25">
      <c r="A9" s="18"/>
      <c r="B9" s="29" t="str">
        <f>INVERSION!B7</f>
        <v xml:space="preserve">     I.1.3. VEHICULOS</v>
      </c>
      <c r="C9" s="40">
        <f>'MUEB, MAQ, EQUIP'!E22</f>
        <v>0</v>
      </c>
      <c r="D9" s="40">
        <f>INVERSION!C7-FINANCIAMIENT!C9</f>
        <v>0</v>
      </c>
      <c r="E9" s="62"/>
    </row>
    <row r="10" spans="1:6" x14ac:dyDescent="0.25">
      <c r="A10" s="18"/>
      <c r="B10" s="29" t="str">
        <f>INVERSION!B8</f>
        <v xml:space="preserve">     I.1.4. MUEBLES Y ENSERES</v>
      </c>
      <c r="C10" s="40">
        <f>'MUEB, MAQ, EQUIP'!E26</f>
        <v>1100</v>
      </c>
      <c r="D10" s="40">
        <f>INVERSION!C8-FINANCIAMIENT!C10</f>
        <v>1100</v>
      </c>
      <c r="E10" s="62"/>
    </row>
    <row r="11" spans="1:6" x14ac:dyDescent="0.25">
      <c r="A11" s="18"/>
      <c r="B11" s="8" t="str">
        <f>INVERSION!B9</f>
        <v xml:space="preserve">  I.2. INVERSION FIJA INTANGIBLE</v>
      </c>
      <c r="C11" s="27">
        <f>INVERSION!C9</f>
        <v>500</v>
      </c>
      <c r="D11" s="177">
        <f>INVERSION!C9-FINANCIAMIENT!C11</f>
        <v>0</v>
      </c>
      <c r="E11" s="62"/>
    </row>
    <row r="12" spans="1:6" x14ac:dyDescent="0.25">
      <c r="A12" s="18"/>
      <c r="B12" s="8" t="str">
        <f>INVERSION!B10</f>
        <v>II. CAPITAL DE TRABAJO</v>
      </c>
      <c r="C12" s="12"/>
      <c r="D12" s="12">
        <f>INVERSION!C10</f>
        <v>6552.37</v>
      </c>
      <c r="E12" s="62"/>
    </row>
    <row r="13" spans="1:6" x14ac:dyDescent="0.25">
      <c r="A13" s="18"/>
      <c r="B13" s="8" t="str">
        <f>INVERSION!B11</f>
        <v>III. -</v>
      </c>
      <c r="C13" s="12">
        <v>0</v>
      </c>
      <c r="D13" s="12">
        <v>0</v>
      </c>
      <c r="E13" s="62"/>
    </row>
    <row r="14" spans="1:6" x14ac:dyDescent="0.25">
      <c r="A14" s="18"/>
      <c r="B14" s="8" t="str">
        <f>INVERSION!B12</f>
        <v>IV. -</v>
      </c>
      <c r="C14" s="12">
        <v>0</v>
      </c>
      <c r="D14" s="12">
        <v>0</v>
      </c>
      <c r="E14" s="62"/>
    </row>
    <row r="15" spans="1:6" x14ac:dyDescent="0.25">
      <c r="A15" s="18"/>
      <c r="B15" s="82" t="s">
        <v>144</v>
      </c>
      <c r="C15" s="13">
        <f>C13+C12+C5+C14</f>
        <v>9185</v>
      </c>
      <c r="D15" s="13">
        <f>D13+D12+D5+D14</f>
        <v>8252.369999999999</v>
      </c>
      <c r="E15" s="62"/>
      <c r="F15" s="183"/>
    </row>
    <row r="16" spans="1:6" x14ac:dyDescent="0.25">
      <c r="A16" s="18"/>
      <c r="B16" s="82" t="s">
        <v>152</v>
      </c>
      <c r="C16" s="184">
        <f>(C15/INVERSION!C13)</f>
        <v>0.52674227822200259</v>
      </c>
      <c r="D16" s="184">
        <f>(D15/INVERSION!C13)</f>
        <v>0.47325772177799746</v>
      </c>
      <c r="E16" s="62"/>
      <c r="F16" s="183"/>
    </row>
    <row r="17" spans="1:6" x14ac:dyDescent="0.25">
      <c r="A17" s="18"/>
      <c r="B17" s="179"/>
      <c r="C17" s="47"/>
      <c r="D17" s="47"/>
      <c r="E17" s="48"/>
    </row>
    <row r="18" spans="1:6" x14ac:dyDescent="0.25">
      <c r="A18" s="18"/>
      <c r="B18" s="48"/>
      <c r="C18" s="48"/>
      <c r="D18" s="48"/>
      <c r="E18" s="48"/>
    </row>
    <row r="19" spans="1:6" x14ac:dyDescent="0.25">
      <c r="A19" s="18"/>
      <c r="B19" s="185" t="s">
        <v>151</v>
      </c>
      <c r="C19" s="186">
        <f>D15</f>
        <v>8252.369999999999</v>
      </c>
      <c r="D19" s="48"/>
      <c r="E19" s="48"/>
    </row>
    <row r="20" spans="1:6" s="191" customFormat="1" ht="12.75" x14ac:dyDescent="0.2">
      <c r="A20" s="187"/>
      <c r="B20" s="188" t="s">
        <v>153</v>
      </c>
      <c r="C20" s="189">
        <f>C15</f>
        <v>9185</v>
      </c>
      <c r="D20" s="190"/>
      <c r="E20" s="190"/>
    </row>
    <row r="21" spans="1:6" s="191" customFormat="1" ht="12.75" x14ac:dyDescent="0.2">
      <c r="A21" s="187"/>
      <c r="B21" s="192" t="s">
        <v>7</v>
      </c>
      <c r="C21" s="193">
        <f>C19+C20</f>
        <v>17437.37</v>
      </c>
      <c r="D21" s="187"/>
      <c r="E21" s="190"/>
      <c r="F21" s="191" t="s">
        <v>154</v>
      </c>
    </row>
    <row r="22" spans="1:6" x14ac:dyDescent="0.25">
      <c r="A22" s="18"/>
      <c r="B22" s="48"/>
      <c r="C22" s="48"/>
      <c r="D22" s="48"/>
      <c r="E22" s="48"/>
    </row>
    <row r="23" spans="1:6" x14ac:dyDescent="0.25">
      <c r="B23" s="194"/>
      <c r="C23" s="194"/>
      <c r="D23" s="194"/>
      <c r="E23" s="194"/>
    </row>
    <row r="24" spans="1:6" x14ac:dyDescent="0.25">
      <c r="B24" s="194"/>
      <c r="C24" s="194"/>
      <c r="D24" s="194"/>
      <c r="E24" s="194"/>
      <c r="F24" s="183"/>
    </row>
    <row r="25" spans="1:6" x14ac:dyDescent="0.25">
      <c r="B25" s="194"/>
      <c r="C25" s="194"/>
      <c r="D25" s="194"/>
      <c r="E25" s="194"/>
    </row>
    <row r="26" spans="1:6" x14ac:dyDescent="0.25">
      <c r="B26" s="194"/>
      <c r="C26" s="194"/>
      <c r="D26" s="194"/>
      <c r="E26" s="194"/>
    </row>
    <row r="27" spans="1:6" x14ac:dyDescent="0.25">
      <c r="B27" s="194"/>
      <c r="C27" s="194"/>
      <c r="D27" s="194"/>
      <c r="E27" s="194"/>
    </row>
    <row r="28" spans="1:6" x14ac:dyDescent="0.25">
      <c r="B28" s="194"/>
      <c r="C28" s="194"/>
      <c r="D28" s="194"/>
      <c r="E28" s="194"/>
    </row>
    <row r="29" spans="1:6" x14ac:dyDescent="0.25">
      <c r="B29" s="194"/>
      <c r="C29" s="194"/>
      <c r="D29" s="194"/>
      <c r="E29" s="194"/>
    </row>
    <row r="30" spans="1:6" x14ac:dyDescent="0.25">
      <c r="B30" s="194"/>
      <c r="C30" s="194"/>
      <c r="D30" s="194"/>
      <c r="E30" s="194"/>
    </row>
    <row r="31" spans="1:6" x14ac:dyDescent="0.25">
      <c r="B31" s="194"/>
      <c r="C31" s="194"/>
      <c r="D31" s="194"/>
      <c r="E31" s="194"/>
    </row>
    <row r="32" spans="1:6" x14ac:dyDescent="0.25">
      <c r="B32" s="194"/>
      <c r="C32" s="194"/>
      <c r="D32" s="194"/>
      <c r="E32" s="194"/>
    </row>
    <row r="33" spans="2:5" x14ac:dyDescent="0.25">
      <c r="B33" s="194"/>
      <c r="C33" s="194"/>
      <c r="D33" s="194"/>
      <c r="E33" s="194"/>
    </row>
    <row r="34" spans="2:5" x14ac:dyDescent="0.25">
      <c r="B34" s="194"/>
      <c r="C34" s="194"/>
      <c r="D34" s="194"/>
      <c r="E34" s="194"/>
    </row>
    <row r="35" spans="2:5" x14ac:dyDescent="0.25">
      <c r="B35" s="194"/>
      <c r="C35" s="194"/>
      <c r="D35" s="194"/>
      <c r="E35" s="194"/>
    </row>
    <row r="36" spans="2:5" x14ac:dyDescent="0.25">
      <c r="B36" s="194"/>
      <c r="C36" s="194"/>
      <c r="D36" s="194"/>
      <c r="E36" s="194"/>
    </row>
    <row r="37" spans="2:5" x14ac:dyDescent="0.25">
      <c r="B37" s="194"/>
      <c r="C37" s="194"/>
      <c r="D37" s="194"/>
      <c r="E37" s="194"/>
    </row>
    <row r="38" spans="2:5" x14ac:dyDescent="0.25">
      <c r="B38" s="194"/>
      <c r="C38" s="194"/>
      <c r="D38" s="194"/>
      <c r="E38" s="194"/>
    </row>
    <row r="39" spans="2:5" x14ac:dyDescent="0.25">
      <c r="B39" s="194"/>
      <c r="C39" s="194"/>
      <c r="D39" s="194"/>
      <c r="E39" s="194"/>
    </row>
    <row r="40" spans="2:5" x14ac:dyDescent="0.25">
      <c r="B40" s="194"/>
      <c r="C40" s="194"/>
      <c r="D40" s="194"/>
      <c r="E40" s="194"/>
    </row>
    <row r="41" spans="2:5" x14ac:dyDescent="0.25">
      <c r="B41" s="194"/>
      <c r="C41" s="194"/>
      <c r="D41" s="194"/>
      <c r="E41" s="194"/>
    </row>
    <row r="42" spans="2:5" x14ac:dyDescent="0.25">
      <c r="B42" s="194"/>
      <c r="C42" s="194"/>
      <c r="D42" s="194"/>
      <c r="E42" s="194"/>
    </row>
    <row r="43" spans="2:5" x14ac:dyDescent="0.25">
      <c r="B43" s="194"/>
      <c r="C43" s="194"/>
      <c r="D43" s="194"/>
      <c r="E43" s="194"/>
    </row>
    <row r="44" spans="2:5" x14ac:dyDescent="0.25">
      <c r="B44" s="194"/>
      <c r="C44" s="194"/>
      <c r="D44" s="194"/>
      <c r="E44" s="194"/>
    </row>
    <row r="45" spans="2:5" x14ac:dyDescent="0.25">
      <c r="B45" s="194"/>
      <c r="C45" s="194"/>
      <c r="D45" s="194"/>
      <c r="E45" s="194"/>
    </row>
    <row r="46" spans="2:5" x14ac:dyDescent="0.25">
      <c r="B46" s="194"/>
      <c r="C46" s="194"/>
      <c r="D46" s="194"/>
      <c r="E46" s="194"/>
    </row>
    <row r="47" spans="2:5" x14ac:dyDescent="0.25">
      <c r="B47" s="194"/>
      <c r="C47" s="194"/>
      <c r="D47" s="194"/>
      <c r="E47" s="194"/>
    </row>
    <row r="48" spans="2:5" x14ac:dyDescent="0.25">
      <c r="B48" s="194"/>
      <c r="C48" s="194"/>
      <c r="D48" s="194"/>
      <c r="E48" s="194"/>
    </row>
    <row r="49" spans="2:5" x14ac:dyDescent="0.25">
      <c r="B49" s="194"/>
      <c r="C49" s="194"/>
      <c r="D49" s="194"/>
      <c r="E49" s="194"/>
    </row>
    <row r="50" spans="2:5" x14ac:dyDescent="0.25">
      <c r="B50" s="194"/>
      <c r="C50" s="194"/>
      <c r="D50" s="194"/>
      <c r="E50" s="194"/>
    </row>
    <row r="51" spans="2:5" x14ac:dyDescent="0.25">
      <c r="B51" s="194"/>
      <c r="C51" s="194"/>
      <c r="D51" s="194"/>
      <c r="E51" s="194"/>
    </row>
    <row r="52" spans="2:5" x14ac:dyDescent="0.25">
      <c r="B52" s="194"/>
      <c r="C52" s="194"/>
      <c r="D52" s="194"/>
      <c r="E52" s="194"/>
    </row>
    <row r="53" spans="2:5" x14ac:dyDescent="0.25">
      <c r="B53" s="194"/>
      <c r="C53" s="194"/>
      <c r="D53" s="194"/>
      <c r="E53" s="194"/>
    </row>
    <row r="54" spans="2:5" x14ac:dyDescent="0.25">
      <c r="B54" s="194"/>
      <c r="C54" s="194"/>
      <c r="D54" s="194"/>
      <c r="E54" s="194"/>
    </row>
    <row r="55" spans="2:5" x14ac:dyDescent="0.25">
      <c r="B55" s="194"/>
      <c r="C55" s="194"/>
      <c r="D55" s="194"/>
      <c r="E55" s="194"/>
    </row>
    <row r="56" spans="2:5" x14ac:dyDescent="0.25">
      <c r="B56" s="194"/>
      <c r="C56" s="194"/>
      <c r="D56" s="194"/>
      <c r="E56" s="194"/>
    </row>
    <row r="57" spans="2:5" x14ac:dyDescent="0.25">
      <c r="B57" s="194"/>
      <c r="C57" s="194"/>
      <c r="D57" s="194"/>
      <c r="E57" s="194"/>
    </row>
    <row r="58" spans="2:5" x14ac:dyDescent="0.25">
      <c r="B58" s="194"/>
      <c r="C58" s="194"/>
      <c r="D58" s="194"/>
      <c r="E58" s="194"/>
    </row>
    <row r="59" spans="2:5" x14ac:dyDescent="0.25">
      <c r="B59" s="194"/>
      <c r="C59" s="194"/>
      <c r="D59" s="194"/>
      <c r="E59" s="194"/>
    </row>
    <row r="60" spans="2:5" x14ac:dyDescent="0.25">
      <c r="B60" s="194"/>
      <c r="C60" s="194"/>
      <c r="D60" s="194"/>
      <c r="E60" s="194"/>
    </row>
    <row r="61" spans="2:5" x14ac:dyDescent="0.25">
      <c r="B61" s="194"/>
      <c r="C61" s="194"/>
      <c r="D61" s="194"/>
      <c r="E61" s="194"/>
    </row>
    <row r="62" spans="2:5" x14ac:dyDescent="0.25">
      <c r="B62" s="194"/>
      <c r="C62" s="194"/>
      <c r="D62" s="194"/>
      <c r="E62" s="194"/>
    </row>
    <row r="63" spans="2:5" x14ac:dyDescent="0.25">
      <c r="B63" s="194"/>
      <c r="C63" s="194"/>
      <c r="D63" s="194"/>
      <c r="E63" s="194"/>
    </row>
    <row r="64" spans="2:5" x14ac:dyDescent="0.25">
      <c r="B64" s="194"/>
      <c r="C64" s="194"/>
      <c r="D64" s="194"/>
      <c r="E64" s="194"/>
    </row>
    <row r="65" spans="2:5" x14ac:dyDescent="0.25">
      <c r="B65" s="194"/>
      <c r="C65" s="194"/>
      <c r="D65" s="194"/>
      <c r="E65" s="194"/>
    </row>
    <row r="66" spans="2:5" x14ac:dyDescent="0.25">
      <c r="B66" s="194"/>
      <c r="C66" s="194"/>
      <c r="D66" s="194"/>
      <c r="E66" s="194"/>
    </row>
    <row r="67" spans="2:5" x14ac:dyDescent="0.25">
      <c r="B67" s="194"/>
      <c r="C67" s="194"/>
      <c r="D67" s="194"/>
      <c r="E67" s="194"/>
    </row>
    <row r="68" spans="2:5" x14ac:dyDescent="0.25">
      <c r="B68" s="194"/>
      <c r="C68" s="194"/>
      <c r="D68" s="194"/>
      <c r="E68" s="194"/>
    </row>
    <row r="69" spans="2:5" x14ac:dyDescent="0.25">
      <c r="B69" s="194"/>
      <c r="C69" s="194"/>
      <c r="D69" s="194"/>
      <c r="E69" s="194"/>
    </row>
    <row r="70" spans="2:5" x14ac:dyDescent="0.25">
      <c r="B70" s="194"/>
      <c r="C70" s="194"/>
      <c r="D70" s="194"/>
      <c r="E70" s="194"/>
    </row>
    <row r="71" spans="2:5" x14ac:dyDescent="0.25">
      <c r="B71" s="194"/>
      <c r="C71" s="194"/>
      <c r="D71" s="194"/>
      <c r="E71" s="194"/>
    </row>
    <row r="72" spans="2:5" x14ac:dyDescent="0.25">
      <c r="B72" s="194"/>
      <c r="C72" s="194"/>
      <c r="D72" s="194"/>
      <c r="E72" s="194"/>
    </row>
    <row r="73" spans="2:5" x14ac:dyDescent="0.25">
      <c r="B73" s="194"/>
      <c r="C73" s="194"/>
      <c r="D73" s="194"/>
      <c r="E73" s="194"/>
    </row>
    <row r="74" spans="2:5" x14ac:dyDescent="0.25">
      <c r="B74" s="194"/>
      <c r="C74" s="194"/>
      <c r="D74" s="194"/>
      <c r="E74" s="194"/>
    </row>
    <row r="75" spans="2:5" x14ac:dyDescent="0.25">
      <c r="B75" s="194"/>
      <c r="C75" s="194"/>
      <c r="D75" s="194"/>
      <c r="E75" s="194"/>
    </row>
    <row r="76" spans="2:5" x14ac:dyDescent="0.25">
      <c r="B76" s="194"/>
      <c r="C76" s="194"/>
      <c r="D76" s="194"/>
      <c r="E76" s="194"/>
    </row>
    <row r="77" spans="2:5" x14ac:dyDescent="0.25">
      <c r="B77" s="194"/>
      <c r="C77" s="194"/>
      <c r="D77" s="194"/>
      <c r="E77" s="194"/>
    </row>
    <row r="78" spans="2:5" x14ac:dyDescent="0.25">
      <c r="B78" s="194"/>
      <c r="C78" s="194"/>
      <c r="D78" s="194"/>
      <c r="E78" s="194"/>
    </row>
    <row r="79" spans="2:5" x14ac:dyDescent="0.25">
      <c r="B79" s="194"/>
      <c r="C79" s="194"/>
      <c r="D79" s="194"/>
      <c r="E79" s="194"/>
    </row>
    <row r="80" spans="2:5" x14ac:dyDescent="0.25">
      <c r="B80" s="194"/>
      <c r="C80" s="194"/>
      <c r="D80" s="194"/>
      <c r="E80" s="194"/>
    </row>
    <row r="81" spans="2:5" x14ac:dyDescent="0.25">
      <c r="B81" s="194"/>
      <c r="C81" s="194"/>
      <c r="D81" s="194"/>
      <c r="E81" s="194"/>
    </row>
    <row r="82" spans="2:5" x14ac:dyDescent="0.25">
      <c r="B82" s="194"/>
      <c r="C82" s="194"/>
      <c r="D82" s="194"/>
      <c r="E82" s="194"/>
    </row>
    <row r="83" spans="2:5" x14ac:dyDescent="0.25">
      <c r="B83" s="194"/>
      <c r="C83" s="194"/>
      <c r="D83" s="194"/>
      <c r="E83" s="194"/>
    </row>
    <row r="84" spans="2:5" x14ac:dyDescent="0.25">
      <c r="B84" s="194"/>
      <c r="C84" s="194"/>
      <c r="D84" s="194"/>
      <c r="E84" s="194"/>
    </row>
    <row r="85" spans="2:5" x14ac:dyDescent="0.25">
      <c r="B85" s="194"/>
      <c r="C85" s="194"/>
      <c r="D85" s="194"/>
      <c r="E85" s="194"/>
    </row>
    <row r="86" spans="2:5" x14ac:dyDescent="0.25">
      <c r="B86" s="194"/>
      <c r="C86" s="194"/>
      <c r="D86" s="194"/>
      <c r="E86" s="194"/>
    </row>
    <row r="87" spans="2:5" x14ac:dyDescent="0.25">
      <c r="B87" s="194"/>
      <c r="C87" s="194"/>
      <c r="D87" s="194"/>
      <c r="E87" s="194"/>
    </row>
    <row r="88" spans="2:5" x14ac:dyDescent="0.25">
      <c r="B88" s="194"/>
      <c r="C88" s="194"/>
      <c r="D88" s="194"/>
      <c r="E88" s="194"/>
    </row>
    <row r="89" spans="2:5" x14ac:dyDescent="0.25">
      <c r="B89" s="194"/>
      <c r="C89" s="194"/>
      <c r="D89" s="194"/>
      <c r="E89" s="194"/>
    </row>
    <row r="90" spans="2:5" x14ac:dyDescent="0.25">
      <c r="B90" s="194"/>
      <c r="C90" s="194"/>
      <c r="D90" s="194"/>
      <c r="E90" s="194"/>
    </row>
    <row r="91" spans="2:5" x14ac:dyDescent="0.25">
      <c r="B91" s="194"/>
      <c r="C91" s="194"/>
      <c r="D91" s="194"/>
      <c r="E91" s="194"/>
    </row>
    <row r="92" spans="2:5" x14ac:dyDescent="0.25">
      <c r="B92" s="194"/>
      <c r="C92" s="194"/>
      <c r="D92" s="194"/>
      <c r="E92" s="194"/>
    </row>
    <row r="93" spans="2:5" x14ac:dyDescent="0.25">
      <c r="B93" s="194"/>
      <c r="C93" s="194"/>
      <c r="D93" s="194"/>
      <c r="E93" s="194"/>
    </row>
    <row r="94" spans="2:5" x14ac:dyDescent="0.25">
      <c r="B94" s="194"/>
      <c r="C94" s="194"/>
      <c r="D94" s="194"/>
      <c r="E94" s="194"/>
    </row>
    <row r="95" spans="2:5" x14ac:dyDescent="0.25">
      <c r="B95" s="194"/>
      <c r="C95" s="194"/>
      <c r="D95" s="194"/>
      <c r="E95" s="194"/>
    </row>
    <row r="96" spans="2:5" x14ac:dyDescent="0.25">
      <c r="B96" s="194"/>
      <c r="C96" s="194"/>
      <c r="D96" s="194"/>
      <c r="E96" s="194"/>
    </row>
    <row r="97" spans="2:5" x14ac:dyDescent="0.25">
      <c r="B97" s="194"/>
      <c r="C97" s="194"/>
      <c r="D97" s="194"/>
      <c r="E97" s="194"/>
    </row>
    <row r="98" spans="2:5" x14ac:dyDescent="0.25">
      <c r="B98" s="194"/>
      <c r="C98" s="194"/>
      <c r="D98" s="194"/>
      <c r="E98" s="194"/>
    </row>
    <row r="99" spans="2:5" x14ac:dyDescent="0.25">
      <c r="B99" s="194"/>
      <c r="C99" s="194"/>
      <c r="D99" s="194"/>
      <c r="E99" s="194"/>
    </row>
    <row r="100" spans="2:5" x14ac:dyDescent="0.25">
      <c r="B100" s="194"/>
      <c r="C100" s="194"/>
      <c r="D100" s="194"/>
      <c r="E100" s="194"/>
    </row>
    <row r="101" spans="2:5" x14ac:dyDescent="0.25">
      <c r="B101" s="194"/>
      <c r="C101" s="194"/>
      <c r="D101" s="194"/>
      <c r="E101" s="194"/>
    </row>
    <row r="102" spans="2:5" x14ac:dyDescent="0.25">
      <c r="B102" s="194"/>
      <c r="C102" s="194"/>
      <c r="D102" s="194"/>
      <c r="E102" s="194"/>
    </row>
    <row r="103" spans="2:5" x14ac:dyDescent="0.25">
      <c r="B103" s="194"/>
      <c r="C103" s="194"/>
      <c r="D103" s="194"/>
      <c r="E103" s="194"/>
    </row>
    <row r="104" spans="2:5" x14ac:dyDescent="0.25">
      <c r="B104" s="194"/>
      <c r="C104" s="194"/>
      <c r="D104" s="194"/>
      <c r="E104" s="194"/>
    </row>
    <row r="105" spans="2:5" x14ac:dyDescent="0.25">
      <c r="B105" s="194"/>
      <c r="C105" s="194"/>
      <c r="D105" s="194"/>
      <c r="E105" s="194"/>
    </row>
    <row r="106" spans="2:5" x14ac:dyDescent="0.25">
      <c r="B106" s="194"/>
      <c r="C106" s="194"/>
      <c r="D106" s="194"/>
      <c r="E106" s="194"/>
    </row>
    <row r="107" spans="2:5" x14ac:dyDescent="0.25">
      <c r="B107" s="194"/>
      <c r="C107" s="194"/>
      <c r="D107" s="194"/>
      <c r="E107" s="194"/>
    </row>
    <row r="108" spans="2:5" x14ac:dyDescent="0.25">
      <c r="B108" s="194"/>
      <c r="C108" s="194"/>
      <c r="D108" s="194"/>
      <c r="E108" s="194"/>
    </row>
    <row r="109" spans="2:5" x14ac:dyDescent="0.25">
      <c r="B109" s="194"/>
      <c r="C109" s="194"/>
      <c r="D109" s="194"/>
      <c r="E109" s="194"/>
    </row>
    <row r="110" spans="2:5" x14ac:dyDescent="0.25">
      <c r="B110" s="194"/>
      <c r="C110" s="194"/>
      <c r="D110" s="194"/>
      <c r="E110" s="194"/>
    </row>
    <row r="111" spans="2:5" x14ac:dyDescent="0.25">
      <c r="B111" s="194"/>
      <c r="C111" s="194"/>
      <c r="D111" s="194"/>
      <c r="E111" s="194"/>
    </row>
    <row r="112" spans="2:5" x14ac:dyDescent="0.25">
      <c r="B112" s="194"/>
      <c r="C112" s="194"/>
      <c r="D112" s="194"/>
      <c r="E112" s="194"/>
    </row>
    <row r="113" spans="2:5" x14ac:dyDescent="0.25">
      <c r="B113" s="194"/>
      <c r="C113" s="194"/>
      <c r="D113" s="194"/>
      <c r="E113" s="194"/>
    </row>
    <row r="114" spans="2:5" x14ac:dyDescent="0.25">
      <c r="B114" s="194"/>
      <c r="C114" s="194"/>
      <c r="D114" s="194"/>
      <c r="E114" s="194"/>
    </row>
    <row r="115" spans="2:5" x14ac:dyDescent="0.25">
      <c r="B115" s="194"/>
      <c r="C115" s="194"/>
      <c r="D115" s="194"/>
      <c r="E115" s="194"/>
    </row>
    <row r="116" spans="2:5" x14ac:dyDescent="0.25">
      <c r="B116" s="194"/>
      <c r="C116" s="194"/>
      <c r="D116" s="194"/>
      <c r="E116" s="194"/>
    </row>
    <row r="117" spans="2:5" x14ac:dyDescent="0.25">
      <c r="B117" s="194"/>
      <c r="C117" s="194"/>
      <c r="D117" s="194"/>
      <c r="E117" s="194"/>
    </row>
    <row r="118" spans="2:5" x14ac:dyDescent="0.25">
      <c r="B118" s="194"/>
      <c r="C118" s="194"/>
      <c r="D118" s="194"/>
      <c r="E118" s="194"/>
    </row>
    <row r="119" spans="2:5" x14ac:dyDescent="0.25">
      <c r="B119" s="194"/>
      <c r="C119" s="194"/>
      <c r="D119" s="194"/>
      <c r="E119" s="194"/>
    </row>
    <row r="120" spans="2:5" x14ac:dyDescent="0.25">
      <c r="B120" s="194"/>
      <c r="C120" s="194"/>
      <c r="D120" s="194"/>
      <c r="E120" s="194"/>
    </row>
    <row r="121" spans="2:5" x14ac:dyDescent="0.25">
      <c r="B121" s="194"/>
      <c r="C121" s="194"/>
      <c r="D121" s="194"/>
      <c r="E121" s="194"/>
    </row>
    <row r="122" spans="2:5" x14ac:dyDescent="0.25">
      <c r="B122" s="194"/>
      <c r="C122" s="194"/>
      <c r="D122" s="194"/>
      <c r="E122" s="194"/>
    </row>
    <row r="123" spans="2:5" x14ac:dyDescent="0.25">
      <c r="B123" s="194"/>
      <c r="C123" s="194"/>
      <c r="D123" s="194"/>
      <c r="E123" s="194"/>
    </row>
    <row r="124" spans="2:5" x14ac:dyDescent="0.25">
      <c r="B124" s="194"/>
      <c r="C124" s="194"/>
      <c r="D124" s="194"/>
      <c r="E124" s="194"/>
    </row>
    <row r="125" spans="2:5" x14ac:dyDescent="0.25">
      <c r="B125" s="194"/>
      <c r="C125" s="194"/>
      <c r="D125" s="194"/>
      <c r="E125" s="194"/>
    </row>
    <row r="126" spans="2:5" x14ac:dyDescent="0.25">
      <c r="B126" s="194"/>
      <c r="C126" s="194"/>
      <c r="D126" s="194"/>
      <c r="E126" s="194"/>
    </row>
    <row r="127" spans="2:5" x14ac:dyDescent="0.25">
      <c r="B127" s="194"/>
      <c r="C127" s="194"/>
      <c r="D127" s="194"/>
      <c r="E127" s="194"/>
    </row>
    <row r="128" spans="2:5" x14ac:dyDescent="0.25">
      <c r="B128" s="194"/>
      <c r="C128" s="194"/>
      <c r="D128" s="194"/>
      <c r="E128" s="194"/>
    </row>
    <row r="129" spans="2:5" x14ac:dyDescent="0.25">
      <c r="B129" s="194"/>
      <c r="C129" s="194"/>
      <c r="D129" s="194"/>
      <c r="E129" s="194"/>
    </row>
    <row r="130" spans="2:5" x14ac:dyDescent="0.25">
      <c r="B130" s="194"/>
      <c r="C130" s="194"/>
      <c r="D130" s="194"/>
      <c r="E130" s="194"/>
    </row>
    <row r="131" spans="2:5" x14ac:dyDescent="0.25">
      <c r="B131" s="194"/>
      <c r="C131" s="194"/>
      <c r="D131" s="194"/>
      <c r="E131" s="194"/>
    </row>
    <row r="132" spans="2:5" x14ac:dyDescent="0.25">
      <c r="B132" s="194"/>
      <c r="C132" s="194"/>
      <c r="D132" s="194"/>
      <c r="E132" s="194"/>
    </row>
    <row r="133" spans="2:5" x14ac:dyDescent="0.25">
      <c r="B133" s="194"/>
      <c r="C133" s="194"/>
      <c r="D133" s="194"/>
      <c r="E133" s="194"/>
    </row>
    <row r="134" spans="2:5" x14ac:dyDescent="0.25">
      <c r="B134" s="194"/>
      <c r="C134" s="194"/>
      <c r="D134" s="194"/>
      <c r="E134" s="194"/>
    </row>
    <row r="135" spans="2:5" x14ac:dyDescent="0.25">
      <c r="B135" s="194"/>
      <c r="C135" s="194"/>
      <c r="D135" s="194"/>
      <c r="E135" s="194"/>
    </row>
    <row r="136" spans="2:5" x14ac:dyDescent="0.25">
      <c r="B136" s="194"/>
      <c r="C136" s="194"/>
      <c r="D136" s="194"/>
      <c r="E136" s="194"/>
    </row>
    <row r="137" spans="2:5" x14ac:dyDescent="0.25">
      <c r="B137" s="194"/>
      <c r="C137" s="194"/>
      <c r="D137" s="194"/>
      <c r="E137" s="194"/>
    </row>
    <row r="138" spans="2:5" x14ac:dyDescent="0.25">
      <c r="B138" s="194"/>
      <c r="C138" s="194"/>
      <c r="D138" s="194"/>
      <c r="E138" s="194"/>
    </row>
    <row r="139" spans="2:5" x14ac:dyDescent="0.25">
      <c r="B139" s="194"/>
      <c r="C139" s="194"/>
      <c r="D139" s="194"/>
      <c r="E139" s="194"/>
    </row>
    <row r="140" spans="2:5" x14ac:dyDescent="0.25">
      <c r="B140" s="194"/>
      <c r="C140" s="194"/>
      <c r="D140" s="194"/>
      <c r="E140" s="194"/>
    </row>
    <row r="141" spans="2:5" x14ac:dyDescent="0.25">
      <c r="B141" s="194"/>
      <c r="C141" s="194"/>
      <c r="D141" s="194"/>
      <c r="E141" s="194"/>
    </row>
    <row r="142" spans="2:5" x14ac:dyDescent="0.25">
      <c r="B142" s="194"/>
      <c r="C142" s="194"/>
      <c r="D142" s="194"/>
      <c r="E142" s="194"/>
    </row>
    <row r="143" spans="2:5" x14ac:dyDescent="0.25">
      <c r="B143" s="194"/>
      <c r="C143" s="194"/>
      <c r="D143" s="194"/>
      <c r="E143" s="194"/>
    </row>
    <row r="144" spans="2:5" x14ac:dyDescent="0.25">
      <c r="B144" s="194"/>
      <c r="C144" s="194"/>
      <c r="D144" s="194"/>
      <c r="E144" s="194"/>
    </row>
    <row r="145" spans="2:5" x14ac:dyDescent="0.25">
      <c r="B145" s="194"/>
      <c r="C145" s="194"/>
      <c r="D145" s="194"/>
      <c r="E145" s="194"/>
    </row>
    <row r="146" spans="2:5" x14ac:dyDescent="0.25">
      <c r="B146" s="194"/>
      <c r="C146" s="194"/>
      <c r="D146" s="194"/>
      <c r="E146" s="194"/>
    </row>
    <row r="147" spans="2:5" x14ac:dyDescent="0.25">
      <c r="B147" s="194"/>
      <c r="C147" s="194"/>
      <c r="D147" s="194"/>
      <c r="E147" s="194"/>
    </row>
    <row r="148" spans="2:5" x14ac:dyDescent="0.25">
      <c r="B148" s="194"/>
      <c r="C148" s="194"/>
      <c r="D148" s="194"/>
      <c r="E148" s="194"/>
    </row>
    <row r="149" spans="2:5" x14ac:dyDescent="0.25">
      <c r="B149" s="194"/>
      <c r="C149" s="194"/>
      <c r="D149" s="194"/>
      <c r="E149" s="194"/>
    </row>
    <row r="150" spans="2:5" x14ac:dyDescent="0.25">
      <c r="B150" s="194"/>
      <c r="C150" s="194"/>
      <c r="D150" s="194"/>
      <c r="E150" s="194"/>
    </row>
    <row r="151" spans="2:5" x14ac:dyDescent="0.25">
      <c r="B151" s="194"/>
      <c r="C151" s="194"/>
      <c r="D151" s="194"/>
      <c r="E151" s="194"/>
    </row>
    <row r="152" spans="2:5" x14ac:dyDescent="0.25">
      <c r="B152" s="194"/>
      <c r="C152" s="194"/>
      <c r="D152" s="194"/>
      <c r="E152" s="194"/>
    </row>
    <row r="153" spans="2:5" x14ac:dyDescent="0.25">
      <c r="B153" s="194"/>
      <c r="C153" s="194"/>
      <c r="D153" s="194"/>
      <c r="E153" s="194"/>
    </row>
    <row r="154" spans="2:5" x14ac:dyDescent="0.25">
      <c r="B154" s="194"/>
      <c r="C154" s="194"/>
      <c r="D154" s="194"/>
      <c r="E154" s="194"/>
    </row>
    <row r="155" spans="2:5" x14ac:dyDescent="0.25">
      <c r="B155" s="194"/>
      <c r="C155" s="194"/>
      <c r="D155" s="194"/>
      <c r="E155" s="194"/>
    </row>
    <row r="156" spans="2:5" x14ac:dyDescent="0.25">
      <c r="B156" s="194"/>
      <c r="C156" s="194"/>
      <c r="D156" s="194"/>
      <c r="E156" s="194"/>
    </row>
    <row r="157" spans="2:5" x14ac:dyDescent="0.25">
      <c r="B157" s="194"/>
      <c r="C157" s="194"/>
      <c r="D157" s="194"/>
      <c r="E157" s="194"/>
    </row>
    <row r="158" spans="2:5" x14ac:dyDescent="0.25">
      <c r="B158" s="194"/>
      <c r="C158" s="194"/>
      <c r="D158" s="194"/>
      <c r="E158" s="194"/>
    </row>
    <row r="159" spans="2:5" x14ac:dyDescent="0.25">
      <c r="B159" s="194"/>
      <c r="C159" s="194"/>
      <c r="D159" s="194"/>
      <c r="E159" s="194"/>
    </row>
    <row r="160" spans="2:5" x14ac:dyDescent="0.25">
      <c r="B160" s="194"/>
      <c r="C160" s="194"/>
      <c r="D160" s="194"/>
      <c r="E160" s="194"/>
    </row>
    <row r="161" spans="2:5" x14ac:dyDescent="0.25">
      <c r="B161" s="194"/>
      <c r="C161" s="194"/>
      <c r="D161" s="194"/>
      <c r="E161" s="194"/>
    </row>
    <row r="162" spans="2:5" x14ac:dyDescent="0.25">
      <c r="B162" s="194"/>
      <c r="C162" s="194"/>
      <c r="D162" s="194"/>
      <c r="E162" s="194"/>
    </row>
    <row r="163" spans="2:5" x14ac:dyDescent="0.25">
      <c r="B163" s="194"/>
      <c r="C163" s="194"/>
      <c r="D163" s="194"/>
      <c r="E163" s="194"/>
    </row>
    <row r="164" spans="2:5" x14ac:dyDescent="0.25">
      <c r="B164" s="194"/>
      <c r="C164" s="194"/>
      <c r="D164" s="194"/>
      <c r="E164" s="194"/>
    </row>
    <row r="165" spans="2:5" x14ac:dyDescent="0.25">
      <c r="B165" s="194"/>
      <c r="C165" s="194"/>
      <c r="D165" s="194"/>
      <c r="E165" s="194"/>
    </row>
    <row r="166" spans="2:5" x14ac:dyDescent="0.25">
      <c r="B166" s="194"/>
      <c r="C166" s="194"/>
      <c r="D166" s="194"/>
      <c r="E166" s="194"/>
    </row>
    <row r="167" spans="2:5" x14ac:dyDescent="0.25">
      <c r="B167" s="194"/>
      <c r="C167" s="194"/>
      <c r="D167" s="194"/>
      <c r="E167" s="194"/>
    </row>
    <row r="168" spans="2:5" x14ac:dyDescent="0.25">
      <c r="B168" s="194"/>
      <c r="C168" s="194"/>
      <c r="D168" s="194"/>
      <c r="E168" s="194"/>
    </row>
    <row r="169" spans="2:5" x14ac:dyDescent="0.25">
      <c r="B169" s="194"/>
      <c r="C169" s="194"/>
      <c r="D169" s="194"/>
      <c r="E169" s="194"/>
    </row>
    <row r="170" spans="2:5" x14ac:dyDescent="0.25">
      <c r="B170" s="194"/>
      <c r="C170" s="194"/>
      <c r="D170" s="194"/>
      <c r="E170" s="194"/>
    </row>
    <row r="171" spans="2:5" x14ac:dyDescent="0.25">
      <c r="B171" s="194"/>
      <c r="C171" s="194"/>
      <c r="D171" s="194"/>
      <c r="E171" s="194"/>
    </row>
    <row r="172" spans="2:5" x14ac:dyDescent="0.25">
      <c r="B172" s="194"/>
      <c r="C172" s="194"/>
      <c r="D172" s="194"/>
      <c r="E172" s="194"/>
    </row>
    <row r="173" spans="2:5" x14ac:dyDescent="0.25">
      <c r="B173" s="194"/>
      <c r="C173" s="194"/>
      <c r="D173" s="194"/>
      <c r="E173" s="194"/>
    </row>
    <row r="174" spans="2:5" x14ac:dyDescent="0.25">
      <c r="B174" s="194"/>
      <c r="C174" s="194"/>
      <c r="D174" s="194"/>
      <c r="E174" s="194"/>
    </row>
    <row r="175" spans="2:5" x14ac:dyDescent="0.25">
      <c r="B175" s="194"/>
      <c r="C175" s="194"/>
      <c r="D175" s="194"/>
      <c r="E175" s="194"/>
    </row>
    <row r="176" spans="2:5" x14ac:dyDescent="0.25">
      <c r="B176" s="194"/>
      <c r="C176" s="194"/>
      <c r="D176" s="194"/>
      <c r="E176" s="194"/>
    </row>
    <row r="177" spans="2:5" x14ac:dyDescent="0.25">
      <c r="B177" s="194"/>
      <c r="C177" s="194"/>
      <c r="D177" s="194"/>
      <c r="E177" s="194"/>
    </row>
    <row r="178" spans="2:5" x14ac:dyDescent="0.25">
      <c r="B178" s="194"/>
      <c r="C178" s="194"/>
      <c r="D178" s="194"/>
      <c r="E178" s="194"/>
    </row>
    <row r="179" spans="2:5" x14ac:dyDescent="0.25">
      <c r="B179" s="194"/>
      <c r="C179" s="194"/>
      <c r="D179" s="194"/>
      <c r="E179" s="194"/>
    </row>
    <row r="180" spans="2:5" x14ac:dyDescent="0.25">
      <c r="B180" s="194"/>
      <c r="C180" s="194"/>
      <c r="D180" s="194"/>
      <c r="E180" s="194"/>
    </row>
    <row r="181" spans="2:5" x14ac:dyDescent="0.25">
      <c r="B181" s="194"/>
      <c r="C181" s="194"/>
      <c r="D181" s="194"/>
      <c r="E181" s="194"/>
    </row>
    <row r="182" spans="2:5" x14ac:dyDescent="0.25">
      <c r="B182" s="194"/>
      <c r="C182" s="194"/>
      <c r="D182" s="194"/>
      <c r="E182" s="194"/>
    </row>
    <row r="183" spans="2:5" x14ac:dyDescent="0.25">
      <c r="B183" s="194"/>
      <c r="C183" s="194"/>
      <c r="D183" s="194"/>
      <c r="E183" s="194"/>
    </row>
    <row r="184" spans="2:5" x14ac:dyDescent="0.25">
      <c r="B184" s="194"/>
      <c r="C184" s="194"/>
      <c r="D184" s="194"/>
      <c r="E184" s="194"/>
    </row>
    <row r="185" spans="2:5" x14ac:dyDescent="0.25">
      <c r="B185" s="194"/>
      <c r="C185" s="194"/>
      <c r="D185" s="194"/>
      <c r="E185" s="194"/>
    </row>
    <row r="186" spans="2:5" x14ac:dyDescent="0.25">
      <c r="B186" s="194"/>
      <c r="C186" s="194"/>
      <c r="D186" s="194"/>
      <c r="E186" s="194"/>
    </row>
    <row r="187" spans="2:5" x14ac:dyDescent="0.25">
      <c r="B187" s="194"/>
      <c r="C187" s="194"/>
      <c r="D187" s="194"/>
      <c r="E187" s="194"/>
    </row>
    <row r="188" spans="2:5" x14ac:dyDescent="0.25">
      <c r="B188" s="194"/>
      <c r="C188" s="194"/>
      <c r="D188" s="194"/>
      <c r="E188" s="194"/>
    </row>
    <row r="189" spans="2:5" x14ac:dyDescent="0.25">
      <c r="B189" s="194"/>
      <c r="C189" s="194"/>
      <c r="D189" s="194"/>
      <c r="E189" s="194"/>
    </row>
    <row r="190" spans="2:5" x14ac:dyDescent="0.25">
      <c r="B190" s="194"/>
      <c r="C190" s="194"/>
      <c r="D190" s="194"/>
      <c r="E190" s="194"/>
    </row>
    <row r="191" spans="2:5" x14ac:dyDescent="0.25">
      <c r="B191" s="194"/>
      <c r="C191" s="194"/>
      <c r="D191" s="194"/>
      <c r="E191" s="194"/>
    </row>
    <row r="192" spans="2:5" x14ac:dyDescent="0.25">
      <c r="B192" s="194"/>
      <c r="C192" s="194"/>
      <c r="D192" s="194"/>
      <c r="E192" s="194"/>
    </row>
    <row r="193" spans="2:5" x14ac:dyDescent="0.25">
      <c r="B193" s="194"/>
      <c r="C193" s="194"/>
      <c r="D193" s="194"/>
      <c r="E193" s="194"/>
    </row>
    <row r="194" spans="2:5" x14ac:dyDescent="0.25">
      <c r="B194" s="194"/>
      <c r="C194" s="194"/>
      <c r="D194" s="194"/>
      <c r="E194" s="194"/>
    </row>
    <row r="195" spans="2:5" x14ac:dyDescent="0.25">
      <c r="B195" s="194"/>
      <c r="C195" s="194"/>
      <c r="D195" s="194"/>
      <c r="E195" s="194"/>
    </row>
    <row r="196" spans="2:5" x14ac:dyDescent="0.25">
      <c r="B196" s="194"/>
      <c r="C196" s="194"/>
      <c r="D196" s="194"/>
      <c r="E196" s="194"/>
    </row>
    <row r="197" spans="2:5" x14ac:dyDescent="0.25">
      <c r="B197" s="194"/>
      <c r="C197" s="194"/>
      <c r="D197" s="194"/>
      <c r="E197" s="194"/>
    </row>
    <row r="198" spans="2:5" x14ac:dyDescent="0.25">
      <c r="B198" s="194"/>
      <c r="C198" s="194"/>
      <c r="D198" s="194"/>
      <c r="E198" s="194"/>
    </row>
    <row r="199" spans="2:5" x14ac:dyDescent="0.25">
      <c r="B199" s="194"/>
      <c r="C199" s="194"/>
      <c r="D199" s="194"/>
      <c r="E199" s="194"/>
    </row>
    <row r="200" spans="2:5" x14ac:dyDescent="0.25">
      <c r="B200" s="194"/>
      <c r="C200" s="194"/>
      <c r="D200" s="194"/>
      <c r="E200" s="194"/>
    </row>
    <row r="201" spans="2:5" x14ac:dyDescent="0.25">
      <c r="B201" s="194"/>
      <c r="C201" s="194"/>
      <c r="D201" s="194"/>
      <c r="E201" s="194"/>
    </row>
    <row r="202" spans="2:5" x14ac:dyDescent="0.25">
      <c r="B202" s="194"/>
      <c r="C202" s="194"/>
      <c r="D202" s="194"/>
      <c r="E202" s="194"/>
    </row>
    <row r="203" spans="2:5" x14ac:dyDescent="0.25">
      <c r="B203" s="194"/>
      <c r="C203" s="194"/>
      <c r="D203" s="194"/>
      <c r="E203" s="194"/>
    </row>
    <row r="204" spans="2:5" x14ac:dyDescent="0.25">
      <c r="B204" s="194"/>
      <c r="C204" s="194"/>
      <c r="D204" s="194"/>
      <c r="E204" s="194"/>
    </row>
    <row r="205" spans="2:5" x14ac:dyDescent="0.25">
      <c r="B205" s="194"/>
      <c r="C205" s="194"/>
      <c r="D205" s="194"/>
      <c r="E205" s="194"/>
    </row>
    <row r="206" spans="2:5" x14ac:dyDescent="0.25">
      <c r="B206" s="194"/>
      <c r="C206" s="194"/>
      <c r="D206" s="194"/>
      <c r="E206" s="194"/>
    </row>
    <row r="207" spans="2:5" x14ac:dyDescent="0.25">
      <c r="B207" s="194"/>
      <c r="C207" s="194"/>
      <c r="D207" s="194"/>
      <c r="E207" s="194"/>
    </row>
    <row r="208" spans="2:5" x14ac:dyDescent="0.25">
      <c r="B208" s="194"/>
      <c r="C208" s="194"/>
      <c r="D208" s="194"/>
      <c r="E208" s="194"/>
    </row>
    <row r="209" spans="2:5" x14ac:dyDescent="0.25">
      <c r="B209" s="194"/>
      <c r="C209" s="194"/>
      <c r="D209" s="194"/>
      <c r="E209" s="194"/>
    </row>
    <row r="210" spans="2:5" x14ac:dyDescent="0.25">
      <c r="B210" s="194"/>
      <c r="C210" s="194"/>
      <c r="D210" s="194"/>
      <c r="E210" s="194"/>
    </row>
    <row r="211" spans="2:5" x14ac:dyDescent="0.25">
      <c r="B211" s="194"/>
      <c r="C211" s="194"/>
      <c r="D211" s="194"/>
      <c r="E211" s="194"/>
    </row>
    <row r="212" spans="2:5" x14ac:dyDescent="0.25">
      <c r="B212" s="194"/>
      <c r="C212" s="194"/>
      <c r="D212" s="194"/>
      <c r="E212" s="194"/>
    </row>
    <row r="213" spans="2:5" x14ac:dyDescent="0.25">
      <c r="B213" s="194"/>
      <c r="C213" s="194"/>
      <c r="D213" s="194"/>
      <c r="E213" s="194"/>
    </row>
    <row r="214" spans="2:5" x14ac:dyDescent="0.25">
      <c r="B214" s="194"/>
      <c r="C214" s="194"/>
      <c r="D214" s="194"/>
      <c r="E214" s="194"/>
    </row>
    <row r="215" spans="2:5" x14ac:dyDescent="0.25">
      <c r="B215" s="194"/>
      <c r="C215" s="194"/>
      <c r="D215" s="194"/>
      <c r="E215" s="194"/>
    </row>
    <row r="216" spans="2:5" x14ac:dyDescent="0.25">
      <c r="B216" s="194"/>
      <c r="C216" s="194"/>
      <c r="D216" s="194"/>
      <c r="E216" s="194"/>
    </row>
    <row r="217" spans="2:5" x14ac:dyDescent="0.25">
      <c r="B217" s="194"/>
      <c r="C217" s="194"/>
      <c r="D217" s="194"/>
      <c r="E217" s="194"/>
    </row>
    <row r="218" spans="2:5" x14ac:dyDescent="0.25">
      <c r="B218" s="194"/>
      <c r="C218" s="194"/>
      <c r="D218" s="194"/>
      <c r="E218" s="194"/>
    </row>
    <row r="219" spans="2:5" x14ac:dyDescent="0.25">
      <c r="B219" s="194"/>
      <c r="C219" s="194"/>
      <c r="D219" s="194"/>
      <c r="E219" s="194"/>
    </row>
    <row r="220" spans="2:5" x14ac:dyDescent="0.25">
      <c r="B220" s="194"/>
      <c r="C220" s="194"/>
      <c r="D220" s="194"/>
      <c r="E220" s="194"/>
    </row>
    <row r="221" spans="2:5" x14ac:dyDescent="0.25">
      <c r="B221" s="194"/>
      <c r="C221" s="194"/>
      <c r="D221" s="194"/>
      <c r="E221" s="194"/>
    </row>
    <row r="222" spans="2:5" x14ac:dyDescent="0.25">
      <c r="B222" s="194"/>
      <c r="C222" s="194"/>
      <c r="D222" s="194"/>
      <c r="E222" s="194"/>
    </row>
    <row r="223" spans="2:5" x14ac:dyDescent="0.25">
      <c r="B223" s="194"/>
      <c r="C223" s="194"/>
      <c r="D223" s="194"/>
      <c r="E223" s="194"/>
    </row>
    <row r="224" spans="2:5" x14ac:dyDescent="0.25">
      <c r="B224" s="194"/>
      <c r="C224" s="194"/>
      <c r="D224" s="194"/>
      <c r="E224" s="194"/>
    </row>
    <row r="225" spans="2:5" x14ac:dyDescent="0.25">
      <c r="B225" s="194"/>
      <c r="C225" s="194"/>
      <c r="D225" s="194"/>
      <c r="E225" s="194"/>
    </row>
    <row r="226" spans="2:5" x14ac:dyDescent="0.25">
      <c r="B226" s="194"/>
      <c r="C226" s="194"/>
      <c r="D226" s="194"/>
      <c r="E226" s="194"/>
    </row>
    <row r="227" spans="2:5" x14ac:dyDescent="0.25">
      <c r="B227" s="194"/>
      <c r="C227" s="194"/>
      <c r="D227" s="194"/>
      <c r="E227" s="194"/>
    </row>
    <row r="228" spans="2:5" x14ac:dyDescent="0.25">
      <c r="B228" s="194"/>
      <c r="C228" s="194"/>
      <c r="D228" s="194"/>
      <c r="E228" s="194"/>
    </row>
    <row r="229" spans="2:5" x14ac:dyDescent="0.25">
      <c r="B229" s="194"/>
      <c r="C229" s="194"/>
      <c r="D229" s="194"/>
      <c r="E229" s="194"/>
    </row>
    <row r="230" spans="2:5" x14ac:dyDescent="0.25">
      <c r="B230" s="194"/>
      <c r="C230" s="194"/>
      <c r="D230" s="194"/>
      <c r="E230" s="194"/>
    </row>
    <row r="231" spans="2:5" x14ac:dyDescent="0.25">
      <c r="B231" s="194"/>
      <c r="C231" s="194"/>
      <c r="D231" s="194"/>
      <c r="E231" s="194"/>
    </row>
    <row r="232" spans="2:5" x14ac:dyDescent="0.25">
      <c r="B232" s="194"/>
      <c r="C232" s="194"/>
      <c r="D232" s="194"/>
      <c r="E232" s="194"/>
    </row>
    <row r="233" spans="2:5" x14ac:dyDescent="0.25">
      <c r="B233" s="194"/>
      <c r="C233" s="194"/>
      <c r="D233" s="194"/>
      <c r="E233" s="194"/>
    </row>
    <row r="234" spans="2:5" x14ac:dyDescent="0.25">
      <c r="B234" s="194"/>
      <c r="C234" s="194"/>
      <c r="D234" s="194"/>
      <c r="E234" s="194"/>
    </row>
    <row r="235" spans="2:5" x14ac:dyDescent="0.25">
      <c r="B235" s="194"/>
      <c r="C235" s="194"/>
      <c r="D235" s="194"/>
      <c r="E235" s="194"/>
    </row>
    <row r="236" spans="2:5" x14ac:dyDescent="0.25">
      <c r="B236" s="194"/>
      <c r="C236" s="194"/>
      <c r="D236" s="194"/>
      <c r="E236" s="194"/>
    </row>
    <row r="237" spans="2:5" x14ac:dyDescent="0.25">
      <c r="B237" s="194"/>
      <c r="C237" s="194"/>
      <c r="D237" s="194"/>
      <c r="E237" s="194"/>
    </row>
    <row r="238" spans="2:5" x14ac:dyDescent="0.25">
      <c r="B238" s="194"/>
      <c r="C238" s="194"/>
      <c r="D238" s="194"/>
      <c r="E238" s="194"/>
    </row>
    <row r="239" spans="2:5" x14ac:dyDescent="0.25">
      <c r="B239" s="194"/>
      <c r="C239" s="194"/>
      <c r="D239" s="194"/>
      <c r="E239" s="194"/>
    </row>
    <row r="240" spans="2:5" x14ac:dyDescent="0.25">
      <c r="B240" s="194"/>
      <c r="C240" s="194"/>
      <c r="D240" s="194"/>
      <c r="E240" s="194"/>
    </row>
    <row r="241" spans="2:5" x14ac:dyDescent="0.25">
      <c r="B241" s="194"/>
      <c r="C241" s="194"/>
      <c r="D241" s="194"/>
      <c r="E241" s="194"/>
    </row>
    <row r="242" spans="2:5" x14ac:dyDescent="0.25">
      <c r="B242" s="194"/>
      <c r="C242" s="194"/>
      <c r="D242" s="194"/>
      <c r="E242" s="194"/>
    </row>
    <row r="243" spans="2:5" x14ac:dyDescent="0.25">
      <c r="B243" s="194"/>
      <c r="C243" s="194"/>
      <c r="D243" s="194"/>
      <c r="E243" s="194"/>
    </row>
    <row r="244" spans="2:5" x14ac:dyDescent="0.25">
      <c r="B244" s="194"/>
      <c r="C244" s="194"/>
      <c r="D244" s="194"/>
      <c r="E244" s="194"/>
    </row>
    <row r="245" spans="2:5" x14ac:dyDescent="0.25">
      <c r="B245" s="194"/>
      <c r="C245" s="194"/>
      <c r="D245" s="194"/>
      <c r="E245" s="194"/>
    </row>
    <row r="246" spans="2:5" x14ac:dyDescent="0.25">
      <c r="B246" s="194"/>
      <c r="C246" s="194"/>
      <c r="D246" s="194"/>
      <c r="E246" s="194"/>
    </row>
    <row r="247" spans="2:5" x14ac:dyDescent="0.25">
      <c r="B247" s="194"/>
      <c r="C247" s="194"/>
      <c r="D247" s="194"/>
      <c r="E247" s="194"/>
    </row>
    <row r="248" spans="2:5" x14ac:dyDescent="0.25">
      <c r="B248" s="194"/>
      <c r="C248" s="194"/>
      <c r="D248" s="194"/>
      <c r="E248" s="194"/>
    </row>
    <row r="249" spans="2:5" x14ac:dyDescent="0.25">
      <c r="B249" s="194"/>
      <c r="C249" s="194"/>
      <c r="D249" s="194"/>
      <c r="E249" s="194"/>
    </row>
    <row r="250" spans="2:5" x14ac:dyDescent="0.25">
      <c r="B250" s="194"/>
      <c r="C250" s="194"/>
      <c r="D250" s="194"/>
      <c r="E250" s="194"/>
    </row>
    <row r="251" spans="2:5" x14ac:dyDescent="0.25">
      <c r="B251" s="194"/>
      <c r="C251" s="194"/>
      <c r="D251" s="194"/>
      <c r="E251" s="194"/>
    </row>
    <row r="252" spans="2:5" x14ac:dyDescent="0.25">
      <c r="B252" s="194"/>
      <c r="C252" s="194"/>
      <c r="D252" s="194"/>
      <c r="E252" s="194"/>
    </row>
    <row r="253" spans="2:5" x14ac:dyDescent="0.25">
      <c r="B253" s="194"/>
      <c r="C253" s="194"/>
      <c r="D253" s="194"/>
      <c r="E253" s="194"/>
    </row>
    <row r="254" spans="2:5" x14ac:dyDescent="0.25">
      <c r="B254" s="194"/>
      <c r="C254" s="194"/>
      <c r="D254" s="194"/>
      <c r="E254" s="194"/>
    </row>
    <row r="255" spans="2:5" x14ac:dyDescent="0.25">
      <c r="B255" s="194"/>
      <c r="C255" s="194"/>
      <c r="D255" s="194"/>
      <c r="E255" s="194"/>
    </row>
    <row r="256" spans="2:5" x14ac:dyDescent="0.25">
      <c r="B256" s="194"/>
      <c r="C256" s="194"/>
      <c r="D256" s="194"/>
      <c r="E256" s="194"/>
    </row>
    <row r="257" spans="2:5" x14ac:dyDescent="0.25">
      <c r="B257" s="194"/>
      <c r="C257" s="194"/>
      <c r="D257" s="194"/>
      <c r="E257" s="194"/>
    </row>
    <row r="258" spans="2:5" x14ac:dyDescent="0.25">
      <c r="B258" s="194"/>
      <c r="C258" s="194"/>
      <c r="D258" s="194"/>
      <c r="E258" s="194"/>
    </row>
    <row r="259" spans="2:5" x14ac:dyDescent="0.25">
      <c r="B259" s="194"/>
      <c r="C259" s="194"/>
      <c r="D259" s="194"/>
      <c r="E259" s="194"/>
    </row>
    <row r="260" spans="2:5" x14ac:dyDescent="0.25">
      <c r="B260" s="194"/>
      <c r="C260" s="194"/>
      <c r="D260" s="194"/>
      <c r="E260" s="194"/>
    </row>
    <row r="261" spans="2:5" x14ac:dyDescent="0.25">
      <c r="B261" s="194"/>
      <c r="C261" s="194"/>
      <c r="D261" s="194"/>
      <c r="E261" s="194"/>
    </row>
    <row r="262" spans="2:5" x14ac:dyDescent="0.25">
      <c r="B262" s="194"/>
      <c r="C262" s="194"/>
      <c r="D262" s="194"/>
      <c r="E262" s="194"/>
    </row>
    <row r="263" spans="2:5" x14ac:dyDescent="0.25">
      <c r="B263" s="194"/>
      <c r="C263" s="194"/>
      <c r="D263" s="194"/>
      <c r="E263" s="194"/>
    </row>
    <row r="264" spans="2:5" x14ac:dyDescent="0.25">
      <c r="B264" s="194"/>
      <c r="C264" s="194"/>
      <c r="D264" s="194"/>
      <c r="E264" s="194"/>
    </row>
    <row r="265" spans="2:5" x14ac:dyDescent="0.25">
      <c r="B265" s="194"/>
      <c r="C265" s="194"/>
      <c r="D265" s="194"/>
      <c r="E265" s="194"/>
    </row>
    <row r="266" spans="2:5" x14ac:dyDescent="0.25">
      <c r="B266" s="194"/>
      <c r="C266" s="194"/>
      <c r="D266" s="194"/>
      <c r="E266" s="194"/>
    </row>
    <row r="267" spans="2:5" x14ac:dyDescent="0.25">
      <c r="B267" s="194"/>
      <c r="C267" s="194"/>
      <c r="D267" s="194"/>
      <c r="E267" s="194"/>
    </row>
    <row r="268" spans="2:5" x14ac:dyDescent="0.25">
      <c r="B268" s="194"/>
      <c r="C268" s="194"/>
      <c r="D268" s="194"/>
      <c r="E268" s="194"/>
    </row>
    <row r="269" spans="2:5" x14ac:dyDescent="0.25">
      <c r="B269" s="194"/>
      <c r="C269" s="194"/>
      <c r="D269" s="194"/>
      <c r="E269" s="194"/>
    </row>
    <row r="270" spans="2:5" x14ac:dyDescent="0.25">
      <c r="B270" s="194"/>
      <c r="C270" s="194"/>
      <c r="D270" s="194"/>
      <c r="E270" s="194"/>
    </row>
    <row r="271" spans="2:5" x14ac:dyDescent="0.25">
      <c r="B271" s="194"/>
      <c r="C271" s="194"/>
      <c r="D271" s="194"/>
      <c r="E271" s="194"/>
    </row>
    <row r="272" spans="2:5" x14ac:dyDescent="0.25">
      <c r="B272" s="194"/>
      <c r="C272" s="194"/>
      <c r="D272" s="194"/>
      <c r="E272" s="194"/>
    </row>
  </sheetData>
  <mergeCells count="3">
    <mergeCell ref="B2:D2"/>
    <mergeCell ref="B3:B4"/>
    <mergeCell ref="C3:D3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72"/>
  <sheetViews>
    <sheetView topLeftCell="B1" workbookViewId="0">
      <selection activeCell="O15" sqref="O15"/>
    </sheetView>
  </sheetViews>
  <sheetFormatPr baseColWidth="10" defaultRowHeight="15" x14ac:dyDescent="0.25"/>
  <cols>
    <col min="1" max="1" width="27.28515625" style="18" customWidth="1"/>
    <col min="2" max="2" width="13" style="18" customWidth="1"/>
    <col min="3" max="3" width="14.85546875" style="18" customWidth="1"/>
    <col min="4" max="4" width="15.140625" style="18" customWidth="1"/>
    <col min="5" max="5" width="11.42578125" style="18"/>
    <col min="6" max="6" width="12.28515625" style="18" bestFit="1" customWidth="1"/>
    <col min="7" max="7" width="13.5703125" style="18" customWidth="1"/>
    <col min="8" max="8" width="3.140625" style="18" customWidth="1"/>
    <col min="9" max="9" width="12.85546875" style="18" bestFit="1" customWidth="1"/>
    <col min="10" max="10" width="14.5703125" style="18" customWidth="1"/>
    <col min="11" max="11" width="15.28515625" style="18" customWidth="1"/>
    <col min="12" max="12" width="12" style="18" customWidth="1"/>
    <col min="13" max="13" width="12.85546875" style="18" bestFit="1" customWidth="1"/>
    <col min="14" max="14" width="14.85546875" style="18" customWidth="1"/>
    <col min="15" max="15" width="11.42578125" style="18"/>
    <col min="16" max="16" width="2.7109375" style="18" customWidth="1"/>
    <col min="257" max="257" width="27.28515625" customWidth="1"/>
    <col min="258" max="258" width="13" customWidth="1"/>
    <col min="259" max="259" width="14.85546875" customWidth="1"/>
    <col min="260" max="260" width="15.140625" customWidth="1"/>
    <col min="262" max="262" width="12.28515625" bestFit="1" customWidth="1"/>
    <col min="263" max="263" width="13.5703125" customWidth="1"/>
    <col min="264" max="264" width="3.140625" customWidth="1"/>
    <col min="265" max="265" width="12.85546875" bestFit="1" customWidth="1"/>
    <col min="266" max="266" width="14.5703125" customWidth="1"/>
    <col min="267" max="267" width="15.28515625" customWidth="1"/>
    <col min="268" max="268" width="12" customWidth="1"/>
    <col min="269" max="269" width="12.85546875" bestFit="1" customWidth="1"/>
    <col min="270" max="270" width="14.85546875" customWidth="1"/>
    <col min="272" max="272" width="2.7109375" customWidth="1"/>
    <col min="513" max="513" width="27.28515625" customWidth="1"/>
    <col min="514" max="514" width="13" customWidth="1"/>
    <col min="515" max="515" width="14.85546875" customWidth="1"/>
    <col min="516" max="516" width="15.140625" customWidth="1"/>
    <col min="518" max="518" width="12.28515625" bestFit="1" customWidth="1"/>
    <col min="519" max="519" width="13.5703125" customWidth="1"/>
    <col min="520" max="520" width="3.140625" customWidth="1"/>
    <col min="521" max="521" width="12.85546875" bestFit="1" customWidth="1"/>
    <col min="522" max="522" width="14.5703125" customWidth="1"/>
    <col min="523" max="523" width="15.28515625" customWidth="1"/>
    <col min="524" max="524" width="12" customWidth="1"/>
    <col min="525" max="525" width="12.85546875" bestFit="1" customWidth="1"/>
    <col min="526" max="526" width="14.85546875" customWidth="1"/>
    <col min="528" max="528" width="2.7109375" customWidth="1"/>
    <col min="769" max="769" width="27.28515625" customWidth="1"/>
    <col min="770" max="770" width="13" customWidth="1"/>
    <col min="771" max="771" width="14.85546875" customWidth="1"/>
    <col min="772" max="772" width="15.140625" customWidth="1"/>
    <col min="774" max="774" width="12.28515625" bestFit="1" customWidth="1"/>
    <col min="775" max="775" width="13.5703125" customWidth="1"/>
    <col min="776" max="776" width="3.140625" customWidth="1"/>
    <col min="777" max="777" width="12.85546875" bestFit="1" customWidth="1"/>
    <col min="778" max="778" width="14.5703125" customWidth="1"/>
    <col min="779" max="779" width="15.28515625" customWidth="1"/>
    <col min="780" max="780" width="12" customWidth="1"/>
    <col min="781" max="781" width="12.85546875" bestFit="1" customWidth="1"/>
    <col min="782" max="782" width="14.85546875" customWidth="1"/>
    <col min="784" max="784" width="2.7109375" customWidth="1"/>
    <col min="1025" max="1025" width="27.28515625" customWidth="1"/>
    <col min="1026" max="1026" width="13" customWidth="1"/>
    <col min="1027" max="1027" width="14.85546875" customWidth="1"/>
    <col min="1028" max="1028" width="15.140625" customWidth="1"/>
    <col min="1030" max="1030" width="12.28515625" bestFit="1" customWidth="1"/>
    <col min="1031" max="1031" width="13.5703125" customWidth="1"/>
    <col min="1032" max="1032" width="3.140625" customWidth="1"/>
    <col min="1033" max="1033" width="12.85546875" bestFit="1" customWidth="1"/>
    <col min="1034" max="1034" width="14.5703125" customWidth="1"/>
    <col min="1035" max="1035" width="15.28515625" customWidth="1"/>
    <col min="1036" max="1036" width="12" customWidth="1"/>
    <col min="1037" max="1037" width="12.85546875" bestFit="1" customWidth="1"/>
    <col min="1038" max="1038" width="14.85546875" customWidth="1"/>
    <col min="1040" max="1040" width="2.7109375" customWidth="1"/>
    <col min="1281" max="1281" width="27.28515625" customWidth="1"/>
    <col min="1282" max="1282" width="13" customWidth="1"/>
    <col min="1283" max="1283" width="14.85546875" customWidth="1"/>
    <col min="1284" max="1284" width="15.140625" customWidth="1"/>
    <col min="1286" max="1286" width="12.28515625" bestFit="1" customWidth="1"/>
    <col min="1287" max="1287" width="13.5703125" customWidth="1"/>
    <col min="1288" max="1288" width="3.140625" customWidth="1"/>
    <col min="1289" max="1289" width="12.85546875" bestFit="1" customWidth="1"/>
    <col min="1290" max="1290" width="14.5703125" customWidth="1"/>
    <col min="1291" max="1291" width="15.28515625" customWidth="1"/>
    <col min="1292" max="1292" width="12" customWidth="1"/>
    <col min="1293" max="1293" width="12.85546875" bestFit="1" customWidth="1"/>
    <col min="1294" max="1294" width="14.85546875" customWidth="1"/>
    <col min="1296" max="1296" width="2.7109375" customWidth="1"/>
    <col min="1537" max="1537" width="27.28515625" customWidth="1"/>
    <col min="1538" max="1538" width="13" customWidth="1"/>
    <col min="1539" max="1539" width="14.85546875" customWidth="1"/>
    <col min="1540" max="1540" width="15.140625" customWidth="1"/>
    <col min="1542" max="1542" width="12.28515625" bestFit="1" customWidth="1"/>
    <col min="1543" max="1543" width="13.5703125" customWidth="1"/>
    <col min="1544" max="1544" width="3.140625" customWidth="1"/>
    <col min="1545" max="1545" width="12.85546875" bestFit="1" customWidth="1"/>
    <col min="1546" max="1546" width="14.5703125" customWidth="1"/>
    <col min="1547" max="1547" width="15.28515625" customWidth="1"/>
    <col min="1548" max="1548" width="12" customWidth="1"/>
    <col min="1549" max="1549" width="12.85546875" bestFit="1" customWidth="1"/>
    <col min="1550" max="1550" width="14.85546875" customWidth="1"/>
    <col min="1552" max="1552" width="2.7109375" customWidth="1"/>
    <col min="1793" max="1793" width="27.28515625" customWidth="1"/>
    <col min="1794" max="1794" width="13" customWidth="1"/>
    <col min="1795" max="1795" width="14.85546875" customWidth="1"/>
    <col min="1796" max="1796" width="15.140625" customWidth="1"/>
    <col min="1798" max="1798" width="12.28515625" bestFit="1" customWidth="1"/>
    <col min="1799" max="1799" width="13.5703125" customWidth="1"/>
    <col min="1800" max="1800" width="3.140625" customWidth="1"/>
    <col min="1801" max="1801" width="12.85546875" bestFit="1" customWidth="1"/>
    <col min="1802" max="1802" width="14.5703125" customWidth="1"/>
    <col min="1803" max="1803" width="15.28515625" customWidth="1"/>
    <col min="1804" max="1804" width="12" customWidth="1"/>
    <col min="1805" max="1805" width="12.85546875" bestFit="1" customWidth="1"/>
    <col min="1806" max="1806" width="14.85546875" customWidth="1"/>
    <col min="1808" max="1808" width="2.7109375" customWidth="1"/>
    <col min="2049" max="2049" width="27.28515625" customWidth="1"/>
    <col min="2050" max="2050" width="13" customWidth="1"/>
    <col min="2051" max="2051" width="14.85546875" customWidth="1"/>
    <col min="2052" max="2052" width="15.140625" customWidth="1"/>
    <col min="2054" max="2054" width="12.28515625" bestFit="1" customWidth="1"/>
    <col min="2055" max="2055" width="13.5703125" customWidth="1"/>
    <col min="2056" max="2056" width="3.140625" customWidth="1"/>
    <col min="2057" max="2057" width="12.85546875" bestFit="1" customWidth="1"/>
    <col min="2058" max="2058" width="14.5703125" customWidth="1"/>
    <col min="2059" max="2059" width="15.28515625" customWidth="1"/>
    <col min="2060" max="2060" width="12" customWidth="1"/>
    <col min="2061" max="2061" width="12.85546875" bestFit="1" customWidth="1"/>
    <col min="2062" max="2062" width="14.85546875" customWidth="1"/>
    <col min="2064" max="2064" width="2.7109375" customWidth="1"/>
    <col min="2305" max="2305" width="27.28515625" customWidth="1"/>
    <col min="2306" max="2306" width="13" customWidth="1"/>
    <col min="2307" max="2307" width="14.85546875" customWidth="1"/>
    <col min="2308" max="2308" width="15.140625" customWidth="1"/>
    <col min="2310" max="2310" width="12.28515625" bestFit="1" customWidth="1"/>
    <col min="2311" max="2311" width="13.5703125" customWidth="1"/>
    <col min="2312" max="2312" width="3.140625" customWidth="1"/>
    <col min="2313" max="2313" width="12.85546875" bestFit="1" customWidth="1"/>
    <col min="2314" max="2314" width="14.5703125" customWidth="1"/>
    <col min="2315" max="2315" width="15.28515625" customWidth="1"/>
    <col min="2316" max="2316" width="12" customWidth="1"/>
    <col min="2317" max="2317" width="12.85546875" bestFit="1" customWidth="1"/>
    <col min="2318" max="2318" width="14.85546875" customWidth="1"/>
    <col min="2320" max="2320" width="2.7109375" customWidth="1"/>
    <col min="2561" max="2561" width="27.28515625" customWidth="1"/>
    <col min="2562" max="2562" width="13" customWidth="1"/>
    <col min="2563" max="2563" width="14.85546875" customWidth="1"/>
    <col min="2564" max="2564" width="15.140625" customWidth="1"/>
    <col min="2566" max="2566" width="12.28515625" bestFit="1" customWidth="1"/>
    <col min="2567" max="2567" width="13.5703125" customWidth="1"/>
    <col min="2568" max="2568" width="3.140625" customWidth="1"/>
    <col min="2569" max="2569" width="12.85546875" bestFit="1" customWidth="1"/>
    <col min="2570" max="2570" width="14.5703125" customWidth="1"/>
    <col min="2571" max="2571" width="15.28515625" customWidth="1"/>
    <col min="2572" max="2572" width="12" customWidth="1"/>
    <col min="2573" max="2573" width="12.85546875" bestFit="1" customWidth="1"/>
    <col min="2574" max="2574" width="14.85546875" customWidth="1"/>
    <col min="2576" max="2576" width="2.7109375" customWidth="1"/>
    <col min="2817" max="2817" width="27.28515625" customWidth="1"/>
    <col min="2818" max="2818" width="13" customWidth="1"/>
    <col min="2819" max="2819" width="14.85546875" customWidth="1"/>
    <col min="2820" max="2820" width="15.140625" customWidth="1"/>
    <col min="2822" max="2822" width="12.28515625" bestFit="1" customWidth="1"/>
    <col min="2823" max="2823" width="13.5703125" customWidth="1"/>
    <col min="2824" max="2824" width="3.140625" customWidth="1"/>
    <col min="2825" max="2825" width="12.85546875" bestFit="1" customWidth="1"/>
    <col min="2826" max="2826" width="14.5703125" customWidth="1"/>
    <col min="2827" max="2827" width="15.28515625" customWidth="1"/>
    <col min="2828" max="2828" width="12" customWidth="1"/>
    <col min="2829" max="2829" width="12.85546875" bestFit="1" customWidth="1"/>
    <col min="2830" max="2830" width="14.85546875" customWidth="1"/>
    <col min="2832" max="2832" width="2.7109375" customWidth="1"/>
    <col min="3073" max="3073" width="27.28515625" customWidth="1"/>
    <col min="3074" max="3074" width="13" customWidth="1"/>
    <col min="3075" max="3075" width="14.85546875" customWidth="1"/>
    <col min="3076" max="3076" width="15.140625" customWidth="1"/>
    <col min="3078" max="3078" width="12.28515625" bestFit="1" customWidth="1"/>
    <col min="3079" max="3079" width="13.5703125" customWidth="1"/>
    <col min="3080" max="3080" width="3.140625" customWidth="1"/>
    <col min="3081" max="3081" width="12.85546875" bestFit="1" customWidth="1"/>
    <col min="3082" max="3082" width="14.5703125" customWidth="1"/>
    <col min="3083" max="3083" width="15.28515625" customWidth="1"/>
    <col min="3084" max="3084" width="12" customWidth="1"/>
    <col min="3085" max="3085" width="12.85546875" bestFit="1" customWidth="1"/>
    <col min="3086" max="3086" width="14.85546875" customWidth="1"/>
    <col min="3088" max="3088" width="2.7109375" customWidth="1"/>
    <col min="3329" max="3329" width="27.28515625" customWidth="1"/>
    <col min="3330" max="3330" width="13" customWidth="1"/>
    <col min="3331" max="3331" width="14.85546875" customWidth="1"/>
    <col min="3332" max="3332" width="15.140625" customWidth="1"/>
    <col min="3334" max="3334" width="12.28515625" bestFit="1" customWidth="1"/>
    <col min="3335" max="3335" width="13.5703125" customWidth="1"/>
    <col min="3336" max="3336" width="3.140625" customWidth="1"/>
    <col min="3337" max="3337" width="12.85546875" bestFit="1" customWidth="1"/>
    <col min="3338" max="3338" width="14.5703125" customWidth="1"/>
    <col min="3339" max="3339" width="15.28515625" customWidth="1"/>
    <col min="3340" max="3340" width="12" customWidth="1"/>
    <col min="3341" max="3341" width="12.85546875" bestFit="1" customWidth="1"/>
    <col min="3342" max="3342" width="14.85546875" customWidth="1"/>
    <col min="3344" max="3344" width="2.7109375" customWidth="1"/>
    <col min="3585" max="3585" width="27.28515625" customWidth="1"/>
    <col min="3586" max="3586" width="13" customWidth="1"/>
    <col min="3587" max="3587" width="14.85546875" customWidth="1"/>
    <col min="3588" max="3588" width="15.140625" customWidth="1"/>
    <col min="3590" max="3590" width="12.28515625" bestFit="1" customWidth="1"/>
    <col min="3591" max="3591" width="13.5703125" customWidth="1"/>
    <col min="3592" max="3592" width="3.140625" customWidth="1"/>
    <col min="3593" max="3593" width="12.85546875" bestFit="1" customWidth="1"/>
    <col min="3594" max="3594" width="14.5703125" customWidth="1"/>
    <col min="3595" max="3595" width="15.28515625" customWidth="1"/>
    <col min="3596" max="3596" width="12" customWidth="1"/>
    <col min="3597" max="3597" width="12.85546875" bestFit="1" customWidth="1"/>
    <col min="3598" max="3598" width="14.85546875" customWidth="1"/>
    <col min="3600" max="3600" width="2.7109375" customWidth="1"/>
    <col min="3841" max="3841" width="27.28515625" customWidth="1"/>
    <col min="3842" max="3842" width="13" customWidth="1"/>
    <col min="3843" max="3843" width="14.85546875" customWidth="1"/>
    <col min="3844" max="3844" width="15.140625" customWidth="1"/>
    <col min="3846" max="3846" width="12.28515625" bestFit="1" customWidth="1"/>
    <col min="3847" max="3847" width="13.5703125" customWidth="1"/>
    <col min="3848" max="3848" width="3.140625" customWidth="1"/>
    <col min="3849" max="3849" width="12.85546875" bestFit="1" customWidth="1"/>
    <col min="3850" max="3850" width="14.5703125" customWidth="1"/>
    <col min="3851" max="3851" width="15.28515625" customWidth="1"/>
    <col min="3852" max="3852" width="12" customWidth="1"/>
    <col min="3853" max="3853" width="12.85546875" bestFit="1" customWidth="1"/>
    <col min="3854" max="3854" width="14.85546875" customWidth="1"/>
    <col min="3856" max="3856" width="2.7109375" customWidth="1"/>
    <col min="4097" max="4097" width="27.28515625" customWidth="1"/>
    <col min="4098" max="4098" width="13" customWidth="1"/>
    <col min="4099" max="4099" width="14.85546875" customWidth="1"/>
    <col min="4100" max="4100" width="15.140625" customWidth="1"/>
    <col min="4102" max="4102" width="12.28515625" bestFit="1" customWidth="1"/>
    <col min="4103" max="4103" width="13.5703125" customWidth="1"/>
    <col min="4104" max="4104" width="3.140625" customWidth="1"/>
    <col min="4105" max="4105" width="12.85546875" bestFit="1" customWidth="1"/>
    <col min="4106" max="4106" width="14.5703125" customWidth="1"/>
    <col min="4107" max="4107" width="15.28515625" customWidth="1"/>
    <col min="4108" max="4108" width="12" customWidth="1"/>
    <col min="4109" max="4109" width="12.85546875" bestFit="1" customWidth="1"/>
    <col min="4110" max="4110" width="14.85546875" customWidth="1"/>
    <col min="4112" max="4112" width="2.7109375" customWidth="1"/>
    <col min="4353" max="4353" width="27.28515625" customWidth="1"/>
    <col min="4354" max="4354" width="13" customWidth="1"/>
    <col min="4355" max="4355" width="14.85546875" customWidth="1"/>
    <col min="4356" max="4356" width="15.140625" customWidth="1"/>
    <col min="4358" max="4358" width="12.28515625" bestFit="1" customWidth="1"/>
    <col min="4359" max="4359" width="13.5703125" customWidth="1"/>
    <col min="4360" max="4360" width="3.140625" customWidth="1"/>
    <col min="4361" max="4361" width="12.85546875" bestFit="1" customWidth="1"/>
    <col min="4362" max="4362" width="14.5703125" customWidth="1"/>
    <col min="4363" max="4363" width="15.28515625" customWidth="1"/>
    <col min="4364" max="4364" width="12" customWidth="1"/>
    <col min="4365" max="4365" width="12.85546875" bestFit="1" customWidth="1"/>
    <col min="4366" max="4366" width="14.85546875" customWidth="1"/>
    <col min="4368" max="4368" width="2.7109375" customWidth="1"/>
    <col min="4609" max="4609" width="27.28515625" customWidth="1"/>
    <col min="4610" max="4610" width="13" customWidth="1"/>
    <col min="4611" max="4611" width="14.85546875" customWidth="1"/>
    <col min="4612" max="4612" width="15.140625" customWidth="1"/>
    <col min="4614" max="4614" width="12.28515625" bestFit="1" customWidth="1"/>
    <col min="4615" max="4615" width="13.5703125" customWidth="1"/>
    <col min="4616" max="4616" width="3.140625" customWidth="1"/>
    <col min="4617" max="4617" width="12.85546875" bestFit="1" customWidth="1"/>
    <col min="4618" max="4618" width="14.5703125" customWidth="1"/>
    <col min="4619" max="4619" width="15.28515625" customWidth="1"/>
    <col min="4620" max="4620" width="12" customWidth="1"/>
    <col min="4621" max="4621" width="12.85546875" bestFit="1" customWidth="1"/>
    <col min="4622" max="4622" width="14.85546875" customWidth="1"/>
    <col min="4624" max="4624" width="2.7109375" customWidth="1"/>
    <col min="4865" max="4865" width="27.28515625" customWidth="1"/>
    <col min="4866" max="4866" width="13" customWidth="1"/>
    <col min="4867" max="4867" width="14.85546875" customWidth="1"/>
    <col min="4868" max="4868" width="15.140625" customWidth="1"/>
    <col min="4870" max="4870" width="12.28515625" bestFit="1" customWidth="1"/>
    <col min="4871" max="4871" width="13.5703125" customWidth="1"/>
    <col min="4872" max="4872" width="3.140625" customWidth="1"/>
    <col min="4873" max="4873" width="12.85546875" bestFit="1" customWidth="1"/>
    <col min="4874" max="4874" width="14.5703125" customWidth="1"/>
    <col min="4875" max="4875" width="15.28515625" customWidth="1"/>
    <col min="4876" max="4876" width="12" customWidth="1"/>
    <col min="4877" max="4877" width="12.85546875" bestFit="1" customWidth="1"/>
    <col min="4878" max="4878" width="14.85546875" customWidth="1"/>
    <col min="4880" max="4880" width="2.7109375" customWidth="1"/>
    <col min="5121" max="5121" width="27.28515625" customWidth="1"/>
    <col min="5122" max="5122" width="13" customWidth="1"/>
    <col min="5123" max="5123" width="14.85546875" customWidth="1"/>
    <col min="5124" max="5124" width="15.140625" customWidth="1"/>
    <col min="5126" max="5126" width="12.28515625" bestFit="1" customWidth="1"/>
    <col min="5127" max="5127" width="13.5703125" customWidth="1"/>
    <col min="5128" max="5128" width="3.140625" customWidth="1"/>
    <col min="5129" max="5129" width="12.85546875" bestFit="1" customWidth="1"/>
    <col min="5130" max="5130" width="14.5703125" customWidth="1"/>
    <col min="5131" max="5131" width="15.28515625" customWidth="1"/>
    <col min="5132" max="5132" width="12" customWidth="1"/>
    <col min="5133" max="5133" width="12.85546875" bestFit="1" customWidth="1"/>
    <col min="5134" max="5134" width="14.85546875" customWidth="1"/>
    <col min="5136" max="5136" width="2.7109375" customWidth="1"/>
    <col min="5377" max="5377" width="27.28515625" customWidth="1"/>
    <col min="5378" max="5378" width="13" customWidth="1"/>
    <col min="5379" max="5379" width="14.85546875" customWidth="1"/>
    <col min="5380" max="5380" width="15.140625" customWidth="1"/>
    <col min="5382" max="5382" width="12.28515625" bestFit="1" customWidth="1"/>
    <col min="5383" max="5383" width="13.5703125" customWidth="1"/>
    <col min="5384" max="5384" width="3.140625" customWidth="1"/>
    <col min="5385" max="5385" width="12.85546875" bestFit="1" customWidth="1"/>
    <col min="5386" max="5386" width="14.5703125" customWidth="1"/>
    <col min="5387" max="5387" width="15.28515625" customWidth="1"/>
    <col min="5388" max="5388" width="12" customWidth="1"/>
    <col min="5389" max="5389" width="12.85546875" bestFit="1" customWidth="1"/>
    <col min="5390" max="5390" width="14.85546875" customWidth="1"/>
    <col min="5392" max="5392" width="2.7109375" customWidth="1"/>
    <col min="5633" max="5633" width="27.28515625" customWidth="1"/>
    <col min="5634" max="5634" width="13" customWidth="1"/>
    <col min="5635" max="5635" width="14.85546875" customWidth="1"/>
    <col min="5636" max="5636" width="15.140625" customWidth="1"/>
    <col min="5638" max="5638" width="12.28515625" bestFit="1" customWidth="1"/>
    <col min="5639" max="5639" width="13.5703125" customWidth="1"/>
    <col min="5640" max="5640" width="3.140625" customWidth="1"/>
    <col min="5641" max="5641" width="12.85546875" bestFit="1" customWidth="1"/>
    <col min="5642" max="5642" width="14.5703125" customWidth="1"/>
    <col min="5643" max="5643" width="15.28515625" customWidth="1"/>
    <col min="5644" max="5644" width="12" customWidth="1"/>
    <col min="5645" max="5645" width="12.85546875" bestFit="1" customWidth="1"/>
    <col min="5646" max="5646" width="14.85546875" customWidth="1"/>
    <col min="5648" max="5648" width="2.7109375" customWidth="1"/>
    <col min="5889" max="5889" width="27.28515625" customWidth="1"/>
    <col min="5890" max="5890" width="13" customWidth="1"/>
    <col min="5891" max="5891" width="14.85546875" customWidth="1"/>
    <col min="5892" max="5892" width="15.140625" customWidth="1"/>
    <col min="5894" max="5894" width="12.28515625" bestFit="1" customWidth="1"/>
    <col min="5895" max="5895" width="13.5703125" customWidth="1"/>
    <col min="5896" max="5896" width="3.140625" customWidth="1"/>
    <col min="5897" max="5897" width="12.85546875" bestFit="1" customWidth="1"/>
    <col min="5898" max="5898" width="14.5703125" customWidth="1"/>
    <col min="5899" max="5899" width="15.28515625" customWidth="1"/>
    <col min="5900" max="5900" width="12" customWidth="1"/>
    <col min="5901" max="5901" width="12.85546875" bestFit="1" customWidth="1"/>
    <col min="5902" max="5902" width="14.85546875" customWidth="1"/>
    <col min="5904" max="5904" width="2.7109375" customWidth="1"/>
    <col min="6145" max="6145" width="27.28515625" customWidth="1"/>
    <col min="6146" max="6146" width="13" customWidth="1"/>
    <col min="6147" max="6147" width="14.85546875" customWidth="1"/>
    <col min="6148" max="6148" width="15.140625" customWidth="1"/>
    <col min="6150" max="6150" width="12.28515625" bestFit="1" customWidth="1"/>
    <col min="6151" max="6151" width="13.5703125" customWidth="1"/>
    <col min="6152" max="6152" width="3.140625" customWidth="1"/>
    <col min="6153" max="6153" width="12.85546875" bestFit="1" customWidth="1"/>
    <col min="6154" max="6154" width="14.5703125" customWidth="1"/>
    <col min="6155" max="6155" width="15.28515625" customWidth="1"/>
    <col min="6156" max="6156" width="12" customWidth="1"/>
    <col min="6157" max="6157" width="12.85546875" bestFit="1" customWidth="1"/>
    <col min="6158" max="6158" width="14.85546875" customWidth="1"/>
    <col min="6160" max="6160" width="2.7109375" customWidth="1"/>
    <col min="6401" max="6401" width="27.28515625" customWidth="1"/>
    <col min="6402" max="6402" width="13" customWidth="1"/>
    <col min="6403" max="6403" width="14.85546875" customWidth="1"/>
    <col min="6404" max="6404" width="15.140625" customWidth="1"/>
    <col min="6406" max="6406" width="12.28515625" bestFit="1" customWidth="1"/>
    <col min="6407" max="6407" width="13.5703125" customWidth="1"/>
    <col min="6408" max="6408" width="3.140625" customWidth="1"/>
    <col min="6409" max="6409" width="12.85546875" bestFit="1" customWidth="1"/>
    <col min="6410" max="6410" width="14.5703125" customWidth="1"/>
    <col min="6411" max="6411" width="15.28515625" customWidth="1"/>
    <col min="6412" max="6412" width="12" customWidth="1"/>
    <col min="6413" max="6413" width="12.85546875" bestFit="1" customWidth="1"/>
    <col min="6414" max="6414" width="14.85546875" customWidth="1"/>
    <col min="6416" max="6416" width="2.7109375" customWidth="1"/>
    <col min="6657" max="6657" width="27.28515625" customWidth="1"/>
    <col min="6658" max="6658" width="13" customWidth="1"/>
    <col min="6659" max="6659" width="14.85546875" customWidth="1"/>
    <col min="6660" max="6660" width="15.140625" customWidth="1"/>
    <col min="6662" max="6662" width="12.28515625" bestFit="1" customWidth="1"/>
    <col min="6663" max="6663" width="13.5703125" customWidth="1"/>
    <col min="6664" max="6664" width="3.140625" customWidth="1"/>
    <col min="6665" max="6665" width="12.85546875" bestFit="1" customWidth="1"/>
    <col min="6666" max="6666" width="14.5703125" customWidth="1"/>
    <col min="6667" max="6667" width="15.28515625" customWidth="1"/>
    <col min="6668" max="6668" width="12" customWidth="1"/>
    <col min="6669" max="6669" width="12.85546875" bestFit="1" customWidth="1"/>
    <col min="6670" max="6670" width="14.85546875" customWidth="1"/>
    <col min="6672" max="6672" width="2.7109375" customWidth="1"/>
    <col min="6913" max="6913" width="27.28515625" customWidth="1"/>
    <col min="6914" max="6914" width="13" customWidth="1"/>
    <col min="6915" max="6915" width="14.85546875" customWidth="1"/>
    <col min="6916" max="6916" width="15.140625" customWidth="1"/>
    <col min="6918" max="6918" width="12.28515625" bestFit="1" customWidth="1"/>
    <col min="6919" max="6919" width="13.5703125" customWidth="1"/>
    <col min="6920" max="6920" width="3.140625" customWidth="1"/>
    <col min="6921" max="6921" width="12.85546875" bestFit="1" customWidth="1"/>
    <col min="6922" max="6922" width="14.5703125" customWidth="1"/>
    <col min="6923" max="6923" width="15.28515625" customWidth="1"/>
    <col min="6924" max="6924" width="12" customWidth="1"/>
    <col min="6925" max="6925" width="12.85546875" bestFit="1" customWidth="1"/>
    <col min="6926" max="6926" width="14.85546875" customWidth="1"/>
    <col min="6928" max="6928" width="2.7109375" customWidth="1"/>
    <col min="7169" max="7169" width="27.28515625" customWidth="1"/>
    <col min="7170" max="7170" width="13" customWidth="1"/>
    <col min="7171" max="7171" width="14.85546875" customWidth="1"/>
    <col min="7172" max="7172" width="15.140625" customWidth="1"/>
    <col min="7174" max="7174" width="12.28515625" bestFit="1" customWidth="1"/>
    <col min="7175" max="7175" width="13.5703125" customWidth="1"/>
    <col min="7176" max="7176" width="3.140625" customWidth="1"/>
    <col min="7177" max="7177" width="12.85546875" bestFit="1" customWidth="1"/>
    <col min="7178" max="7178" width="14.5703125" customWidth="1"/>
    <col min="7179" max="7179" width="15.28515625" customWidth="1"/>
    <col min="7180" max="7180" width="12" customWidth="1"/>
    <col min="7181" max="7181" width="12.85546875" bestFit="1" customWidth="1"/>
    <col min="7182" max="7182" width="14.85546875" customWidth="1"/>
    <col min="7184" max="7184" width="2.7109375" customWidth="1"/>
    <col min="7425" max="7425" width="27.28515625" customWidth="1"/>
    <col min="7426" max="7426" width="13" customWidth="1"/>
    <col min="7427" max="7427" width="14.85546875" customWidth="1"/>
    <col min="7428" max="7428" width="15.140625" customWidth="1"/>
    <col min="7430" max="7430" width="12.28515625" bestFit="1" customWidth="1"/>
    <col min="7431" max="7431" width="13.5703125" customWidth="1"/>
    <col min="7432" max="7432" width="3.140625" customWidth="1"/>
    <col min="7433" max="7433" width="12.85546875" bestFit="1" customWidth="1"/>
    <col min="7434" max="7434" width="14.5703125" customWidth="1"/>
    <col min="7435" max="7435" width="15.28515625" customWidth="1"/>
    <col min="7436" max="7436" width="12" customWidth="1"/>
    <col min="7437" max="7437" width="12.85546875" bestFit="1" customWidth="1"/>
    <col min="7438" max="7438" width="14.85546875" customWidth="1"/>
    <col min="7440" max="7440" width="2.7109375" customWidth="1"/>
    <col min="7681" max="7681" width="27.28515625" customWidth="1"/>
    <col min="7682" max="7682" width="13" customWidth="1"/>
    <col min="7683" max="7683" width="14.85546875" customWidth="1"/>
    <col min="7684" max="7684" width="15.140625" customWidth="1"/>
    <col min="7686" max="7686" width="12.28515625" bestFit="1" customWidth="1"/>
    <col min="7687" max="7687" width="13.5703125" customWidth="1"/>
    <col min="7688" max="7688" width="3.140625" customWidth="1"/>
    <col min="7689" max="7689" width="12.85546875" bestFit="1" customWidth="1"/>
    <col min="7690" max="7690" width="14.5703125" customWidth="1"/>
    <col min="7691" max="7691" width="15.28515625" customWidth="1"/>
    <col min="7692" max="7692" width="12" customWidth="1"/>
    <col min="7693" max="7693" width="12.85546875" bestFit="1" customWidth="1"/>
    <col min="7694" max="7694" width="14.85546875" customWidth="1"/>
    <col min="7696" max="7696" width="2.7109375" customWidth="1"/>
    <col min="7937" max="7937" width="27.28515625" customWidth="1"/>
    <col min="7938" max="7938" width="13" customWidth="1"/>
    <col min="7939" max="7939" width="14.85546875" customWidth="1"/>
    <col min="7940" max="7940" width="15.140625" customWidth="1"/>
    <col min="7942" max="7942" width="12.28515625" bestFit="1" customWidth="1"/>
    <col min="7943" max="7943" width="13.5703125" customWidth="1"/>
    <col min="7944" max="7944" width="3.140625" customWidth="1"/>
    <col min="7945" max="7945" width="12.85546875" bestFit="1" customWidth="1"/>
    <col min="7946" max="7946" width="14.5703125" customWidth="1"/>
    <col min="7947" max="7947" width="15.28515625" customWidth="1"/>
    <col min="7948" max="7948" width="12" customWidth="1"/>
    <col min="7949" max="7949" width="12.85546875" bestFit="1" customWidth="1"/>
    <col min="7950" max="7950" width="14.85546875" customWidth="1"/>
    <col min="7952" max="7952" width="2.7109375" customWidth="1"/>
    <col min="8193" max="8193" width="27.28515625" customWidth="1"/>
    <col min="8194" max="8194" width="13" customWidth="1"/>
    <col min="8195" max="8195" width="14.85546875" customWidth="1"/>
    <col min="8196" max="8196" width="15.140625" customWidth="1"/>
    <col min="8198" max="8198" width="12.28515625" bestFit="1" customWidth="1"/>
    <col min="8199" max="8199" width="13.5703125" customWidth="1"/>
    <col min="8200" max="8200" width="3.140625" customWidth="1"/>
    <col min="8201" max="8201" width="12.85546875" bestFit="1" customWidth="1"/>
    <col min="8202" max="8202" width="14.5703125" customWidth="1"/>
    <col min="8203" max="8203" width="15.28515625" customWidth="1"/>
    <col min="8204" max="8204" width="12" customWidth="1"/>
    <col min="8205" max="8205" width="12.85546875" bestFit="1" customWidth="1"/>
    <col min="8206" max="8206" width="14.85546875" customWidth="1"/>
    <col min="8208" max="8208" width="2.7109375" customWidth="1"/>
    <col min="8449" max="8449" width="27.28515625" customWidth="1"/>
    <col min="8450" max="8450" width="13" customWidth="1"/>
    <col min="8451" max="8451" width="14.85546875" customWidth="1"/>
    <col min="8452" max="8452" width="15.140625" customWidth="1"/>
    <col min="8454" max="8454" width="12.28515625" bestFit="1" customWidth="1"/>
    <col min="8455" max="8455" width="13.5703125" customWidth="1"/>
    <col min="8456" max="8456" width="3.140625" customWidth="1"/>
    <col min="8457" max="8457" width="12.85546875" bestFit="1" customWidth="1"/>
    <col min="8458" max="8458" width="14.5703125" customWidth="1"/>
    <col min="8459" max="8459" width="15.28515625" customWidth="1"/>
    <col min="8460" max="8460" width="12" customWidth="1"/>
    <col min="8461" max="8461" width="12.85546875" bestFit="1" customWidth="1"/>
    <col min="8462" max="8462" width="14.85546875" customWidth="1"/>
    <col min="8464" max="8464" width="2.7109375" customWidth="1"/>
    <col min="8705" max="8705" width="27.28515625" customWidth="1"/>
    <col min="8706" max="8706" width="13" customWidth="1"/>
    <col min="8707" max="8707" width="14.85546875" customWidth="1"/>
    <col min="8708" max="8708" width="15.140625" customWidth="1"/>
    <col min="8710" max="8710" width="12.28515625" bestFit="1" customWidth="1"/>
    <col min="8711" max="8711" width="13.5703125" customWidth="1"/>
    <col min="8712" max="8712" width="3.140625" customWidth="1"/>
    <col min="8713" max="8713" width="12.85546875" bestFit="1" customWidth="1"/>
    <col min="8714" max="8714" width="14.5703125" customWidth="1"/>
    <col min="8715" max="8715" width="15.28515625" customWidth="1"/>
    <col min="8716" max="8716" width="12" customWidth="1"/>
    <col min="8717" max="8717" width="12.85546875" bestFit="1" customWidth="1"/>
    <col min="8718" max="8718" width="14.85546875" customWidth="1"/>
    <col min="8720" max="8720" width="2.7109375" customWidth="1"/>
    <col min="8961" max="8961" width="27.28515625" customWidth="1"/>
    <col min="8962" max="8962" width="13" customWidth="1"/>
    <col min="8963" max="8963" width="14.85546875" customWidth="1"/>
    <col min="8964" max="8964" width="15.140625" customWidth="1"/>
    <col min="8966" max="8966" width="12.28515625" bestFit="1" customWidth="1"/>
    <col min="8967" max="8967" width="13.5703125" customWidth="1"/>
    <col min="8968" max="8968" width="3.140625" customWidth="1"/>
    <col min="8969" max="8969" width="12.85546875" bestFit="1" customWidth="1"/>
    <col min="8970" max="8970" width="14.5703125" customWidth="1"/>
    <col min="8971" max="8971" width="15.28515625" customWidth="1"/>
    <col min="8972" max="8972" width="12" customWidth="1"/>
    <col min="8973" max="8973" width="12.85546875" bestFit="1" customWidth="1"/>
    <col min="8974" max="8974" width="14.85546875" customWidth="1"/>
    <col min="8976" max="8976" width="2.7109375" customWidth="1"/>
    <col min="9217" max="9217" width="27.28515625" customWidth="1"/>
    <col min="9218" max="9218" width="13" customWidth="1"/>
    <col min="9219" max="9219" width="14.85546875" customWidth="1"/>
    <col min="9220" max="9220" width="15.140625" customWidth="1"/>
    <col min="9222" max="9222" width="12.28515625" bestFit="1" customWidth="1"/>
    <col min="9223" max="9223" width="13.5703125" customWidth="1"/>
    <col min="9224" max="9224" width="3.140625" customWidth="1"/>
    <col min="9225" max="9225" width="12.85546875" bestFit="1" customWidth="1"/>
    <col min="9226" max="9226" width="14.5703125" customWidth="1"/>
    <col min="9227" max="9227" width="15.28515625" customWidth="1"/>
    <col min="9228" max="9228" width="12" customWidth="1"/>
    <col min="9229" max="9229" width="12.85546875" bestFit="1" customWidth="1"/>
    <col min="9230" max="9230" width="14.85546875" customWidth="1"/>
    <col min="9232" max="9232" width="2.7109375" customWidth="1"/>
    <col min="9473" max="9473" width="27.28515625" customWidth="1"/>
    <col min="9474" max="9474" width="13" customWidth="1"/>
    <col min="9475" max="9475" width="14.85546875" customWidth="1"/>
    <col min="9476" max="9476" width="15.140625" customWidth="1"/>
    <col min="9478" max="9478" width="12.28515625" bestFit="1" customWidth="1"/>
    <col min="9479" max="9479" width="13.5703125" customWidth="1"/>
    <col min="9480" max="9480" width="3.140625" customWidth="1"/>
    <col min="9481" max="9481" width="12.85546875" bestFit="1" customWidth="1"/>
    <col min="9482" max="9482" width="14.5703125" customWidth="1"/>
    <col min="9483" max="9483" width="15.28515625" customWidth="1"/>
    <col min="9484" max="9484" width="12" customWidth="1"/>
    <col min="9485" max="9485" width="12.85546875" bestFit="1" customWidth="1"/>
    <col min="9486" max="9486" width="14.85546875" customWidth="1"/>
    <col min="9488" max="9488" width="2.7109375" customWidth="1"/>
    <col min="9729" max="9729" width="27.28515625" customWidth="1"/>
    <col min="9730" max="9730" width="13" customWidth="1"/>
    <col min="9731" max="9731" width="14.85546875" customWidth="1"/>
    <col min="9732" max="9732" width="15.140625" customWidth="1"/>
    <col min="9734" max="9734" width="12.28515625" bestFit="1" customWidth="1"/>
    <col min="9735" max="9735" width="13.5703125" customWidth="1"/>
    <col min="9736" max="9736" width="3.140625" customWidth="1"/>
    <col min="9737" max="9737" width="12.85546875" bestFit="1" customWidth="1"/>
    <col min="9738" max="9738" width="14.5703125" customWidth="1"/>
    <col min="9739" max="9739" width="15.28515625" customWidth="1"/>
    <col min="9740" max="9740" width="12" customWidth="1"/>
    <col min="9741" max="9741" width="12.85546875" bestFit="1" customWidth="1"/>
    <col min="9742" max="9742" width="14.85546875" customWidth="1"/>
    <col min="9744" max="9744" width="2.7109375" customWidth="1"/>
    <col min="9985" max="9985" width="27.28515625" customWidth="1"/>
    <col min="9986" max="9986" width="13" customWidth="1"/>
    <col min="9987" max="9987" width="14.85546875" customWidth="1"/>
    <col min="9988" max="9988" width="15.140625" customWidth="1"/>
    <col min="9990" max="9990" width="12.28515625" bestFit="1" customWidth="1"/>
    <col min="9991" max="9991" width="13.5703125" customWidth="1"/>
    <col min="9992" max="9992" width="3.140625" customWidth="1"/>
    <col min="9993" max="9993" width="12.85546875" bestFit="1" customWidth="1"/>
    <col min="9994" max="9994" width="14.5703125" customWidth="1"/>
    <col min="9995" max="9995" width="15.28515625" customWidth="1"/>
    <col min="9996" max="9996" width="12" customWidth="1"/>
    <col min="9997" max="9997" width="12.85546875" bestFit="1" customWidth="1"/>
    <col min="9998" max="9998" width="14.85546875" customWidth="1"/>
    <col min="10000" max="10000" width="2.7109375" customWidth="1"/>
    <col min="10241" max="10241" width="27.28515625" customWidth="1"/>
    <col min="10242" max="10242" width="13" customWidth="1"/>
    <col min="10243" max="10243" width="14.85546875" customWidth="1"/>
    <col min="10244" max="10244" width="15.140625" customWidth="1"/>
    <col min="10246" max="10246" width="12.28515625" bestFit="1" customWidth="1"/>
    <col min="10247" max="10247" width="13.5703125" customWidth="1"/>
    <col min="10248" max="10248" width="3.140625" customWidth="1"/>
    <col min="10249" max="10249" width="12.85546875" bestFit="1" customWidth="1"/>
    <col min="10250" max="10250" width="14.5703125" customWidth="1"/>
    <col min="10251" max="10251" width="15.28515625" customWidth="1"/>
    <col min="10252" max="10252" width="12" customWidth="1"/>
    <col min="10253" max="10253" width="12.85546875" bestFit="1" customWidth="1"/>
    <col min="10254" max="10254" width="14.85546875" customWidth="1"/>
    <col min="10256" max="10256" width="2.7109375" customWidth="1"/>
    <col min="10497" max="10497" width="27.28515625" customWidth="1"/>
    <col min="10498" max="10498" width="13" customWidth="1"/>
    <col min="10499" max="10499" width="14.85546875" customWidth="1"/>
    <col min="10500" max="10500" width="15.140625" customWidth="1"/>
    <col min="10502" max="10502" width="12.28515625" bestFit="1" customWidth="1"/>
    <col min="10503" max="10503" width="13.5703125" customWidth="1"/>
    <col min="10504" max="10504" width="3.140625" customWidth="1"/>
    <col min="10505" max="10505" width="12.85546875" bestFit="1" customWidth="1"/>
    <col min="10506" max="10506" width="14.5703125" customWidth="1"/>
    <col min="10507" max="10507" width="15.28515625" customWidth="1"/>
    <col min="10508" max="10508" width="12" customWidth="1"/>
    <col min="10509" max="10509" width="12.85546875" bestFit="1" customWidth="1"/>
    <col min="10510" max="10510" width="14.85546875" customWidth="1"/>
    <col min="10512" max="10512" width="2.7109375" customWidth="1"/>
    <col min="10753" max="10753" width="27.28515625" customWidth="1"/>
    <col min="10754" max="10754" width="13" customWidth="1"/>
    <col min="10755" max="10755" width="14.85546875" customWidth="1"/>
    <col min="10756" max="10756" width="15.140625" customWidth="1"/>
    <col min="10758" max="10758" width="12.28515625" bestFit="1" customWidth="1"/>
    <col min="10759" max="10759" width="13.5703125" customWidth="1"/>
    <col min="10760" max="10760" width="3.140625" customWidth="1"/>
    <col min="10761" max="10761" width="12.85546875" bestFit="1" customWidth="1"/>
    <col min="10762" max="10762" width="14.5703125" customWidth="1"/>
    <col min="10763" max="10763" width="15.28515625" customWidth="1"/>
    <col min="10764" max="10764" width="12" customWidth="1"/>
    <col min="10765" max="10765" width="12.85546875" bestFit="1" customWidth="1"/>
    <col min="10766" max="10766" width="14.85546875" customWidth="1"/>
    <col min="10768" max="10768" width="2.7109375" customWidth="1"/>
    <col min="11009" max="11009" width="27.28515625" customWidth="1"/>
    <col min="11010" max="11010" width="13" customWidth="1"/>
    <col min="11011" max="11011" width="14.85546875" customWidth="1"/>
    <col min="11012" max="11012" width="15.140625" customWidth="1"/>
    <col min="11014" max="11014" width="12.28515625" bestFit="1" customWidth="1"/>
    <col min="11015" max="11015" width="13.5703125" customWidth="1"/>
    <col min="11016" max="11016" width="3.140625" customWidth="1"/>
    <col min="11017" max="11017" width="12.85546875" bestFit="1" customWidth="1"/>
    <col min="11018" max="11018" width="14.5703125" customWidth="1"/>
    <col min="11019" max="11019" width="15.28515625" customWidth="1"/>
    <col min="11020" max="11020" width="12" customWidth="1"/>
    <col min="11021" max="11021" width="12.85546875" bestFit="1" customWidth="1"/>
    <col min="11022" max="11022" width="14.85546875" customWidth="1"/>
    <col min="11024" max="11024" width="2.7109375" customWidth="1"/>
    <col min="11265" max="11265" width="27.28515625" customWidth="1"/>
    <col min="11266" max="11266" width="13" customWidth="1"/>
    <col min="11267" max="11267" width="14.85546875" customWidth="1"/>
    <col min="11268" max="11268" width="15.140625" customWidth="1"/>
    <col min="11270" max="11270" width="12.28515625" bestFit="1" customWidth="1"/>
    <col min="11271" max="11271" width="13.5703125" customWidth="1"/>
    <col min="11272" max="11272" width="3.140625" customWidth="1"/>
    <col min="11273" max="11273" width="12.85546875" bestFit="1" customWidth="1"/>
    <col min="11274" max="11274" width="14.5703125" customWidth="1"/>
    <col min="11275" max="11275" width="15.28515625" customWidth="1"/>
    <col min="11276" max="11276" width="12" customWidth="1"/>
    <col min="11277" max="11277" width="12.85546875" bestFit="1" customWidth="1"/>
    <col min="11278" max="11278" width="14.85546875" customWidth="1"/>
    <col min="11280" max="11280" width="2.7109375" customWidth="1"/>
    <col min="11521" max="11521" width="27.28515625" customWidth="1"/>
    <col min="11522" max="11522" width="13" customWidth="1"/>
    <col min="11523" max="11523" width="14.85546875" customWidth="1"/>
    <col min="11524" max="11524" width="15.140625" customWidth="1"/>
    <col min="11526" max="11526" width="12.28515625" bestFit="1" customWidth="1"/>
    <col min="11527" max="11527" width="13.5703125" customWidth="1"/>
    <col min="11528" max="11528" width="3.140625" customWidth="1"/>
    <col min="11529" max="11529" width="12.85546875" bestFit="1" customWidth="1"/>
    <col min="11530" max="11530" width="14.5703125" customWidth="1"/>
    <col min="11531" max="11531" width="15.28515625" customWidth="1"/>
    <col min="11532" max="11532" width="12" customWidth="1"/>
    <col min="11533" max="11533" width="12.85546875" bestFit="1" customWidth="1"/>
    <col min="11534" max="11534" width="14.85546875" customWidth="1"/>
    <col min="11536" max="11536" width="2.7109375" customWidth="1"/>
    <col min="11777" max="11777" width="27.28515625" customWidth="1"/>
    <col min="11778" max="11778" width="13" customWidth="1"/>
    <col min="11779" max="11779" width="14.85546875" customWidth="1"/>
    <col min="11780" max="11780" width="15.140625" customWidth="1"/>
    <col min="11782" max="11782" width="12.28515625" bestFit="1" customWidth="1"/>
    <col min="11783" max="11783" width="13.5703125" customWidth="1"/>
    <col min="11784" max="11784" width="3.140625" customWidth="1"/>
    <col min="11785" max="11785" width="12.85546875" bestFit="1" customWidth="1"/>
    <col min="11786" max="11786" width="14.5703125" customWidth="1"/>
    <col min="11787" max="11787" width="15.28515625" customWidth="1"/>
    <col min="11788" max="11788" width="12" customWidth="1"/>
    <col min="11789" max="11789" width="12.85546875" bestFit="1" customWidth="1"/>
    <col min="11790" max="11790" width="14.85546875" customWidth="1"/>
    <col min="11792" max="11792" width="2.7109375" customWidth="1"/>
    <col min="12033" max="12033" width="27.28515625" customWidth="1"/>
    <col min="12034" max="12034" width="13" customWidth="1"/>
    <col min="12035" max="12035" width="14.85546875" customWidth="1"/>
    <col min="12036" max="12036" width="15.140625" customWidth="1"/>
    <col min="12038" max="12038" width="12.28515625" bestFit="1" customWidth="1"/>
    <col min="12039" max="12039" width="13.5703125" customWidth="1"/>
    <col min="12040" max="12040" width="3.140625" customWidth="1"/>
    <col min="12041" max="12041" width="12.85546875" bestFit="1" customWidth="1"/>
    <col min="12042" max="12042" width="14.5703125" customWidth="1"/>
    <col min="12043" max="12043" width="15.28515625" customWidth="1"/>
    <col min="12044" max="12044" width="12" customWidth="1"/>
    <col min="12045" max="12045" width="12.85546875" bestFit="1" customWidth="1"/>
    <col min="12046" max="12046" width="14.85546875" customWidth="1"/>
    <col min="12048" max="12048" width="2.7109375" customWidth="1"/>
    <col min="12289" max="12289" width="27.28515625" customWidth="1"/>
    <col min="12290" max="12290" width="13" customWidth="1"/>
    <col min="12291" max="12291" width="14.85546875" customWidth="1"/>
    <col min="12292" max="12292" width="15.140625" customWidth="1"/>
    <col min="12294" max="12294" width="12.28515625" bestFit="1" customWidth="1"/>
    <col min="12295" max="12295" width="13.5703125" customWidth="1"/>
    <col min="12296" max="12296" width="3.140625" customWidth="1"/>
    <col min="12297" max="12297" width="12.85546875" bestFit="1" customWidth="1"/>
    <col min="12298" max="12298" width="14.5703125" customWidth="1"/>
    <col min="12299" max="12299" width="15.28515625" customWidth="1"/>
    <col min="12300" max="12300" width="12" customWidth="1"/>
    <col min="12301" max="12301" width="12.85546875" bestFit="1" customWidth="1"/>
    <col min="12302" max="12302" width="14.85546875" customWidth="1"/>
    <col min="12304" max="12304" width="2.7109375" customWidth="1"/>
    <col min="12545" max="12545" width="27.28515625" customWidth="1"/>
    <col min="12546" max="12546" width="13" customWidth="1"/>
    <col min="12547" max="12547" width="14.85546875" customWidth="1"/>
    <col min="12548" max="12548" width="15.140625" customWidth="1"/>
    <col min="12550" max="12550" width="12.28515625" bestFit="1" customWidth="1"/>
    <col min="12551" max="12551" width="13.5703125" customWidth="1"/>
    <col min="12552" max="12552" width="3.140625" customWidth="1"/>
    <col min="12553" max="12553" width="12.85546875" bestFit="1" customWidth="1"/>
    <col min="12554" max="12554" width="14.5703125" customWidth="1"/>
    <col min="12555" max="12555" width="15.28515625" customWidth="1"/>
    <col min="12556" max="12556" width="12" customWidth="1"/>
    <col min="12557" max="12557" width="12.85546875" bestFit="1" customWidth="1"/>
    <col min="12558" max="12558" width="14.85546875" customWidth="1"/>
    <col min="12560" max="12560" width="2.7109375" customWidth="1"/>
    <col min="12801" max="12801" width="27.28515625" customWidth="1"/>
    <col min="12802" max="12802" width="13" customWidth="1"/>
    <col min="12803" max="12803" width="14.85546875" customWidth="1"/>
    <col min="12804" max="12804" width="15.140625" customWidth="1"/>
    <col min="12806" max="12806" width="12.28515625" bestFit="1" customWidth="1"/>
    <col min="12807" max="12807" width="13.5703125" customWidth="1"/>
    <col min="12808" max="12808" width="3.140625" customWidth="1"/>
    <col min="12809" max="12809" width="12.85546875" bestFit="1" customWidth="1"/>
    <col min="12810" max="12810" width="14.5703125" customWidth="1"/>
    <col min="12811" max="12811" width="15.28515625" customWidth="1"/>
    <col min="12812" max="12812" width="12" customWidth="1"/>
    <col min="12813" max="12813" width="12.85546875" bestFit="1" customWidth="1"/>
    <col min="12814" max="12814" width="14.85546875" customWidth="1"/>
    <col min="12816" max="12816" width="2.7109375" customWidth="1"/>
    <col min="13057" max="13057" width="27.28515625" customWidth="1"/>
    <col min="13058" max="13058" width="13" customWidth="1"/>
    <col min="13059" max="13059" width="14.85546875" customWidth="1"/>
    <col min="13060" max="13060" width="15.140625" customWidth="1"/>
    <col min="13062" max="13062" width="12.28515625" bestFit="1" customWidth="1"/>
    <col min="13063" max="13063" width="13.5703125" customWidth="1"/>
    <col min="13064" max="13064" width="3.140625" customWidth="1"/>
    <col min="13065" max="13065" width="12.85546875" bestFit="1" customWidth="1"/>
    <col min="13066" max="13066" width="14.5703125" customWidth="1"/>
    <col min="13067" max="13067" width="15.28515625" customWidth="1"/>
    <col min="13068" max="13068" width="12" customWidth="1"/>
    <col min="13069" max="13069" width="12.85546875" bestFit="1" customWidth="1"/>
    <col min="13070" max="13070" width="14.85546875" customWidth="1"/>
    <col min="13072" max="13072" width="2.7109375" customWidth="1"/>
    <col min="13313" max="13313" width="27.28515625" customWidth="1"/>
    <col min="13314" max="13314" width="13" customWidth="1"/>
    <col min="13315" max="13315" width="14.85546875" customWidth="1"/>
    <col min="13316" max="13316" width="15.140625" customWidth="1"/>
    <col min="13318" max="13318" width="12.28515625" bestFit="1" customWidth="1"/>
    <col min="13319" max="13319" width="13.5703125" customWidth="1"/>
    <col min="13320" max="13320" width="3.140625" customWidth="1"/>
    <col min="13321" max="13321" width="12.85546875" bestFit="1" customWidth="1"/>
    <col min="13322" max="13322" width="14.5703125" customWidth="1"/>
    <col min="13323" max="13323" width="15.28515625" customWidth="1"/>
    <col min="13324" max="13324" width="12" customWidth="1"/>
    <col min="13325" max="13325" width="12.85546875" bestFit="1" customWidth="1"/>
    <col min="13326" max="13326" width="14.85546875" customWidth="1"/>
    <col min="13328" max="13328" width="2.7109375" customWidth="1"/>
    <col min="13569" max="13569" width="27.28515625" customWidth="1"/>
    <col min="13570" max="13570" width="13" customWidth="1"/>
    <col min="13571" max="13571" width="14.85546875" customWidth="1"/>
    <col min="13572" max="13572" width="15.140625" customWidth="1"/>
    <col min="13574" max="13574" width="12.28515625" bestFit="1" customWidth="1"/>
    <col min="13575" max="13575" width="13.5703125" customWidth="1"/>
    <col min="13576" max="13576" width="3.140625" customWidth="1"/>
    <col min="13577" max="13577" width="12.85546875" bestFit="1" customWidth="1"/>
    <col min="13578" max="13578" width="14.5703125" customWidth="1"/>
    <col min="13579" max="13579" width="15.28515625" customWidth="1"/>
    <col min="13580" max="13580" width="12" customWidth="1"/>
    <col min="13581" max="13581" width="12.85546875" bestFit="1" customWidth="1"/>
    <col min="13582" max="13582" width="14.85546875" customWidth="1"/>
    <col min="13584" max="13584" width="2.7109375" customWidth="1"/>
    <col min="13825" max="13825" width="27.28515625" customWidth="1"/>
    <col min="13826" max="13826" width="13" customWidth="1"/>
    <col min="13827" max="13827" width="14.85546875" customWidth="1"/>
    <col min="13828" max="13828" width="15.140625" customWidth="1"/>
    <col min="13830" max="13830" width="12.28515625" bestFit="1" customWidth="1"/>
    <col min="13831" max="13831" width="13.5703125" customWidth="1"/>
    <col min="13832" max="13832" width="3.140625" customWidth="1"/>
    <col min="13833" max="13833" width="12.85546875" bestFit="1" customWidth="1"/>
    <col min="13834" max="13834" width="14.5703125" customWidth="1"/>
    <col min="13835" max="13835" width="15.28515625" customWidth="1"/>
    <col min="13836" max="13836" width="12" customWidth="1"/>
    <col min="13837" max="13837" width="12.85546875" bestFit="1" customWidth="1"/>
    <col min="13838" max="13838" width="14.85546875" customWidth="1"/>
    <col min="13840" max="13840" width="2.7109375" customWidth="1"/>
    <col min="14081" max="14081" width="27.28515625" customWidth="1"/>
    <col min="14082" max="14082" width="13" customWidth="1"/>
    <col min="14083" max="14083" width="14.85546875" customWidth="1"/>
    <col min="14084" max="14084" width="15.140625" customWidth="1"/>
    <col min="14086" max="14086" width="12.28515625" bestFit="1" customWidth="1"/>
    <col min="14087" max="14087" width="13.5703125" customWidth="1"/>
    <col min="14088" max="14088" width="3.140625" customWidth="1"/>
    <col min="14089" max="14089" width="12.85546875" bestFit="1" customWidth="1"/>
    <col min="14090" max="14090" width="14.5703125" customWidth="1"/>
    <col min="14091" max="14091" width="15.28515625" customWidth="1"/>
    <col min="14092" max="14092" width="12" customWidth="1"/>
    <col min="14093" max="14093" width="12.85546875" bestFit="1" customWidth="1"/>
    <col min="14094" max="14094" width="14.85546875" customWidth="1"/>
    <col min="14096" max="14096" width="2.7109375" customWidth="1"/>
    <col min="14337" max="14337" width="27.28515625" customWidth="1"/>
    <col min="14338" max="14338" width="13" customWidth="1"/>
    <col min="14339" max="14339" width="14.85546875" customWidth="1"/>
    <col min="14340" max="14340" width="15.140625" customWidth="1"/>
    <col min="14342" max="14342" width="12.28515625" bestFit="1" customWidth="1"/>
    <col min="14343" max="14343" width="13.5703125" customWidth="1"/>
    <col min="14344" max="14344" width="3.140625" customWidth="1"/>
    <col min="14345" max="14345" width="12.85546875" bestFit="1" customWidth="1"/>
    <col min="14346" max="14346" width="14.5703125" customWidth="1"/>
    <col min="14347" max="14347" width="15.28515625" customWidth="1"/>
    <col min="14348" max="14348" width="12" customWidth="1"/>
    <col min="14349" max="14349" width="12.85546875" bestFit="1" customWidth="1"/>
    <col min="14350" max="14350" width="14.85546875" customWidth="1"/>
    <col min="14352" max="14352" width="2.7109375" customWidth="1"/>
    <col min="14593" max="14593" width="27.28515625" customWidth="1"/>
    <col min="14594" max="14594" width="13" customWidth="1"/>
    <col min="14595" max="14595" width="14.85546875" customWidth="1"/>
    <col min="14596" max="14596" width="15.140625" customWidth="1"/>
    <col min="14598" max="14598" width="12.28515625" bestFit="1" customWidth="1"/>
    <col min="14599" max="14599" width="13.5703125" customWidth="1"/>
    <col min="14600" max="14600" width="3.140625" customWidth="1"/>
    <col min="14601" max="14601" width="12.85546875" bestFit="1" customWidth="1"/>
    <col min="14602" max="14602" width="14.5703125" customWidth="1"/>
    <col min="14603" max="14603" width="15.28515625" customWidth="1"/>
    <col min="14604" max="14604" width="12" customWidth="1"/>
    <col min="14605" max="14605" width="12.85546875" bestFit="1" customWidth="1"/>
    <col min="14606" max="14606" width="14.85546875" customWidth="1"/>
    <col min="14608" max="14608" width="2.7109375" customWidth="1"/>
    <col min="14849" max="14849" width="27.28515625" customWidth="1"/>
    <col min="14850" max="14850" width="13" customWidth="1"/>
    <col min="14851" max="14851" width="14.85546875" customWidth="1"/>
    <col min="14852" max="14852" width="15.140625" customWidth="1"/>
    <col min="14854" max="14854" width="12.28515625" bestFit="1" customWidth="1"/>
    <col min="14855" max="14855" width="13.5703125" customWidth="1"/>
    <col min="14856" max="14856" width="3.140625" customWidth="1"/>
    <col min="14857" max="14857" width="12.85546875" bestFit="1" customWidth="1"/>
    <col min="14858" max="14858" width="14.5703125" customWidth="1"/>
    <col min="14859" max="14859" width="15.28515625" customWidth="1"/>
    <col min="14860" max="14860" width="12" customWidth="1"/>
    <col min="14861" max="14861" width="12.85546875" bestFit="1" customWidth="1"/>
    <col min="14862" max="14862" width="14.85546875" customWidth="1"/>
    <col min="14864" max="14864" width="2.7109375" customWidth="1"/>
    <col min="15105" max="15105" width="27.28515625" customWidth="1"/>
    <col min="15106" max="15106" width="13" customWidth="1"/>
    <col min="15107" max="15107" width="14.85546875" customWidth="1"/>
    <col min="15108" max="15108" width="15.140625" customWidth="1"/>
    <col min="15110" max="15110" width="12.28515625" bestFit="1" customWidth="1"/>
    <col min="15111" max="15111" width="13.5703125" customWidth="1"/>
    <col min="15112" max="15112" width="3.140625" customWidth="1"/>
    <col min="15113" max="15113" width="12.85546875" bestFit="1" customWidth="1"/>
    <col min="15114" max="15114" width="14.5703125" customWidth="1"/>
    <col min="15115" max="15115" width="15.28515625" customWidth="1"/>
    <col min="15116" max="15116" width="12" customWidth="1"/>
    <col min="15117" max="15117" width="12.85546875" bestFit="1" customWidth="1"/>
    <col min="15118" max="15118" width="14.85546875" customWidth="1"/>
    <col min="15120" max="15120" width="2.7109375" customWidth="1"/>
    <col min="15361" max="15361" width="27.28515625" customWidth="1"/>
    <col min="15362" max="15362" width="13" customWidth="1"/>
    <col min="15363" max="15363" width="14.85546875" customWidth="1"/>
    <col min="15364" max="15364" width="15.140625" customWidth="1"/>
    <col min="15366" max="15366" width="12.28515625" bestFit="1" customWidth="1"/>
    <col min="15367" max="15367" width="13.5703125" customWidth="1"/>
    <col min="15368" max="15368" width="3.140625" customWidth="1"/>
    <col min="15369" max="15369" width="12.85546875" bestFit="1" customWidth="1"/>
    <col min="15370" max="15370" width="14.5703125" customWidth="1"/>
    <col min="15371" max="15371" width="15.28515625" customWidth="1"/>
    <col min="15372" max="15372" width="12" customWidth="1"/>
    <col min="15373" max="15373" width="12.85546875" bestFit="1" customWidth="1"/>
    <col min="15374" max="15374" width="14.85546875" customWidth="1"/>
    <col min="15376" max="15376" width="2.7109375" customWidth="1"/>
    <col min="15617" max="15617" width="27.28515625" customWidth="1"/>
    <col min="15618" max="15618" width="13" customWidth="1"/>
    <col min="15619" max="15619" width="14.85546875" customWidth="1"/>
    <col min="15620" max="15620" width="15.140625" customWidth="1"/>
    <col min="15622" max="15622" width="12.28515625" bestFit="1" customWidth="1"/>
    <col min="15623" max="15623" width="13.5703125" customWidth="1"/>
    <col min="15624" max="15624" width="3.140625" customWidth="1"/>
    <col min="15625" max="15625" width="12.85546875" bestFit="1" customWidth="1"/>
    <col min="15626" max="15626" width="14.5703125" customWidth="1"/>
    <col min="15627" max="15627" width="15.28515625" customWidth="1"/>
    <col min="15628" max="15628" width="12" customWidth="1"/>
    <col min="15629" max="15629" width="12.85546875" bestFit="1" customWidth="1"/>
    <col min="15630" max="15630" width="14.85546875" customWidth="1"/>
    <col min="15632" max="15632" width="2.7109375" customWidth="1"/>
    <col min="15873" max="15873" width="27.28515625" customWidth="1"/>
    <col min="15874" max="15874" width="13" customWidth="1"/>
    <col min="15875" max="15875" width="14.85546875" customWidth="1"/>
    <col min="15876" max="15876" width="15.140625" customWidth="1"/>
    <col min="15878" max="15878" width="12.28515625" bestFit="1" customWidth="1"/>
    <col min="15879" max="15879" width="13.5703125" customWidth="1"/>
    <col min="15880" max="15880" width="3.140625" customWidth="1"/>
    <col min="15881" max="15881" width="12.85546875" bestFit="1" customWidth="1"/>
    <col min="15882" max="15882" width="14.5703125" customWidth="1"/>
    <col min="15883" max="15883" width="15.28515625" customWidth="1"/>
    <col min="15884" max="15884" width="12" customWidth="1"/>
    <col min="15885" max="15885" width="12.85546875" bestFit="1" customWidth="1"/>
    <col min="15886" max="15886" width="14.85546875" customWidth="1"/>
    <col min="15888" max="15888" width="2.7109375" customWidth="1"/>
    <col min="16129" max="16129" width="27.28515625" customWidth="1"/>
    <col min="16130" max="16130" width="13" customWidth="1"/>
    <col min="16131" max="16131" width="14.85546875" customWidth="1"/>
    <col min="16132" max="16132" width="15.140625" customWidth="1"/>
    <col min="16134" max="16134" width="12.28515625" bestFit="1" customWidth="1"/>
    <col min="16135" max="16135" width="13.5703125" customWidth="1"/>
    <col min="16136" max="16136" width="3.140625" customWidth="1"/>
    <col min="16137" max="16137" width="12.85546875" bestFit="1" customWidth="1"/>
    <col min="16138" max="16138" width="14.5703125" customWidth="1"/>
    <col min="16139" max="16139" width="15.28515625" customWidth="1"/>
    <col min="16140" max="16140" width="12" customWidth="1"/>
    <col min="16141" max="16141" width="12.85546875" bestFit="1" customWidth="1"/>
    <col min="16142" max="16142" width="14.85546875" customWidth="1"/>
    <col min="16144" max="16144" width="2.7109375" customWidth="1"/>
  </cols>
  <sheetData>
    <row r="2" spans="1:16" x14ac:dyDescent="0.25">
      <c r="A2" s="29" t="s">
        <v>151</v>
      </c>
      <c r="B2" s="40">
        <f>FINANCIAMIENT!C19</f>
        <v>8252.369999999999</v>
      </c>
    </row>
    <row r="3" spans="1:16" x14ac:dyDescent="0.25">
      <c r="A3" s="29" t="s">
        <v>150</v>
      </c>
      <c r="B3" s="40">
        <v>0</v>
      </c>
    </row>
    <row r="4" spans="1:16" s="182" customFormat="1" ht="14.25" customHeight="1" x14ac:dyDescent="0.25">
      <c r="A4" s="195" t="s">
        <v>155</v>
      </c>
      <c r="B4" s="196">
        <v>60</v>
      </c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</row>
    <row r="5" spans="1:16" x14ac:dyDescent="0.25">
      <c r="A5" s="29" t="s">
        <v>156</v>
      </c>
      <c r="B5" s="197">
        <v>0.2</v>
      </c>
    </row>
    <row r="6" spans="1:16" x14ac:dyDescent="0.25">
      <c r="A6" s="29" t="s">
        <v>157</v>
      </c>
      <c r="B6" s="74">
        <f>(1+B5)^(1/12)-1</f>
        <v>1.5309470499731193E-2</v>
      </c>
    </row>
    <row r="7" spans="1:16" x14ac:dyDescent="0.25">
      <c r="A7" s="29" t="s">
        <v>158</v>
      </c>
      <c r="B7" s="198">
        <f>PMT(B6,B4,B2)</f>
        <v>-211.22668062088411</v>
      </c>
    </row>
    <row r="8" spans="1:16" x14ac:dyDescent="0.25">
      <c r="A8" s="29" t="s">
        <v>158</v>
      </c>
      <c r="B8" s="40">
        <f>B2*B6/(1-(1+B6)^(-B4))</f>
        <v>211.22668062088428</v>
      </c>
    </row>
    <row r="9" spans="1:16" x14ac:dyDescent="0.25">
      <c r="A9" s="29" t="s">
        <v>159</v>
      </c>
      <c r="B9" s="74">
        <v>0.3</v>
      </c>
      <c r="C9" s="19" t="s">
        <v>160</v>
      </c>
    </row>
    <row r="11" spans="1:16" x14ac:dyDescent="0.25">
      <c r="A11" s="344" t="s">
        <v>161</v>
      </c>
      <c r="B11" s="345"/>
      <c r="C11" s="345"/>
      <c r="D11" s="345"/>
      <c r="E11" s="345"/>
      <c r="F11" s="345"/>
      <c r="G11" s="346"/>
    </row>
    <row r="12" spans="1:16" ht="12.75" customHeight="1" x14ac:dyDescent="0.25">
      <c r="A12" s="161" t="s">
        <v>162</v>
      </c>
      <c r="B12" s="161" t="s">
        <v>163</v>
      </c>
      <c r="C12" s="161" t="s">
        <v>164</v>
      </c>
      <c r="D12" s="161" t="s">
        <v>165</v>
      </c>
      <c r="E12" s="161" t="s">
        <v>158</v>
      </c>
      <c r="F12" s="161" t="s">
        <v>166</v>
      </c>
      <c r="G12" s="161" t="s">
        <v>159</v>
      </c>
      <c r="I12" s="327" t="s">
        <v>167</v>
      </c>
      <c r="J12" s="327"/>
      <c r="K12" s="327"/>
      <c r="L12" s="327"/>
      <c r="M12" s="327"/>
      <c r="N12" s="327"/>
      <c r="O12" s="327"/>
    </row>
    <row r="13" spans="1:16" s="202" customFormat="1" ht="25.5" x14ac:dyDescent="0.25">
      <c r="A13" s="156">
        <v>1</v>
      </c>
      <c r="B13" s="199">
        <f>B2</f>
        <v>8252.369999999999</v>
      </c>
      <c r="C13" s="200">
        <f>E13-D13</f>
        <v>84.887265553017428</v>
      </c>
      <c r="D13" s="200">
        <f>B13*$B$6</f>
        <v>126.33941506786668</v>
      </c>
      <c r="E13" s="201">
        <f>-$B$7</f>
        <v>211.22668062088411</v>
      </c>
      <c r="F13" s="200">
        <f t="shared" ref="F13:F72" si="0">B13-C13</f>
        <v>8167.4827344469813</v>
      </c>
      <c r="G13" s="200">
        <f>D13*$B$9</f>
        <v>37.901824520360002</v>
      </c>
      <c r="I13" s="161" t="s">
        <v>162</v>
      </c>
      <c r="J13" s="161" t="s">
        <v>163</v>
      </c>
      <c r="K13" s="161" t="s">
        <v>164</v>
      </c>
      <c r="L13" s="161" t="s">
        <v>165</v>
      </c>
      <c r="M13" s="161" t="s">
        <v>158</v>
      </c>
      <c r="N13" s="161" t="s">
        <v>166</v>
      </c>
      <c r="O13" s="161" t="s">
        <v>159</v>
      </c>
      <c r="P13" s="25"/>
    </row>
    <row r="14" spans="1:16" x14ac:dyDescent="0.25">
      <c r="A14" s="156">
        <v>2</v>
      </c>
      <c r="B14" s="200">
        <f t="shared" ref="B14:B72" si="1">F13</f>
        <v>8167.4827344469813</v>
      </c>
      <c r="C14" s="200">
        <f t="shared" ref="C14:C72" si="2">E14-D14</f>
        <v>86.186844640804196</v>
      </c>
      <c r="D14" s="200">
        <f>B14*$B$6</f>
        <v>125.03983598007991</v>
      </c>
      <c r="E14" s="201">
        <f t="shared" ref="E14:E72" si="3">-$B$7</f>
        <v>211.22668062088411</v>
      </c>
      <c r="F14" s="200">
        <f t="shared" si="0"/>
        <v>8081.295889806177</v>
      </c>
      <c r="G14" s="200">
        <f t="shared" ref="G14:G72" si="4">D14*$B$9</f>
        <v>37.511950794023974</v>
      </c>
      <c r="I14" s="37" t="s">
        <v>168</v>
      </c>
      <c r="J14" s="40">
        <f>B13</f>
        <v>8252.369999999999</v>
      </c>
      <c r="K14" s="40">
        <f>M14-L14</f>
        <v>1108.951032036121</v>
      </c>
      <c r="L14" s="40">
        <f>SUM(D13:D24)</f>
        <v>1425.7691354144881</v>
      </c>
      <c r="M14" s="40">
        <f>SUM(E13:E24)</f>
        <v>2534.7201674506091</v>
      </c>
      <c r="N14" s="40">
        <f>J14-K14</f>
        <v>7143.4189679638785</v>
      </c>
      <c r="O14" s="203">
        <f>L14*$B$9</f>
        <v>427.73074062434642</v>
      </c>
    </row>
    <row r="15" spans="1:16" x14ac:dyDescent="0.25">
      <c r="A15" s="156">
        <v>3</v>
      </c>
      <c r="B15" s="200">
        <f t="shared" si="1"/>
        <v>8081.295889806177</v>
      </c>
      <c r="C15" s="200">
        <f t="shared" si="2"/>
        <v>87.506319596297502</v>
      </c>
      <c r="D15" s="200">
        <f t="shared" ref="D15:D72" si="5">B15*$B$6</f>
        <v>123.72036102458661</v>
      </c>
      <c r="E15" s="201">
        <f t="shared" si="3"/>
        <v>211.22668062088411</v>
      </c>
      <c r="F15" s="200">
        <f t="shared" si="0"/>
        <v>7993.7895702098795</v>
      </c>
      <c r="G15" s="200">
        <f t="shared" si="4"/>
        <v>37.116108307375981</v>
      </c>
      <c r="I15" s="37" t="s">
        <v>169</v>
      </c>
      <c r="J15" s="40">
        <f>N14</f>
        <v>7143.4189679638785</v>
      </c>
      <c r="K15" s="40">
        <f>M15-L15</f>
        <v>1330.7412384433446</v>
      </c>
      <c r="L15" s="40">
        <f>SUM(D25:D36)</f>
        <v>1203.9789290072645</v>
      </c>
      <c r="M15" s="40">
        <f>M14</f>
        <v>2534.7201674506091</v>
      </c>
      <c r="N15" s="40">
        <f>J15-K15</f>
        <v>5812.6777295205338</v>
      </c>
      <c r="O15" s="203">
        <f>L15*$B$9</f>
        <v>361.19367870217934</v>
      </c>
    </row>
    <row r="16" spans="1:16" x14ac:dyDescent="0.25">
      <c r="A16" s="156">
        <v>4</v>
      </c>
      <c r="B16" s="200">
        <f t="shared" si="1"/>
        <v>7993.7895702098795</v>
      </c>
      <c r="C16" s="200">
        <f t="shared" si="2"/>
        <v>88.845995014697067</v>
      </c>
      <c r="D16" s="200">
        <f t="shared" si="5"/>
        <v>122.38068560618704</v>
      </c>
      <c r="E16" s="201">
        <f t="shared" si="3"/>
        <v>211.22668062088411</v>
      </c>
      <c r="F16" s="200">
        <f t="shared" si="0"/>
        <v>7904.9435751951823</v>
      </c>
      <c r="G16" s="200">
        <f t="shared" si="4"/>
        <v>36.714205681856114</v>
      </c>
      <c r="I16" s="37" t="s">
        <v>170</v>
      </c>
      <c r="J16" s="40">
        <f>N15</f>
        <v>5812.6777295205338</v>
      </c>
      <c r="K16" s="40">
        <f>M16-L16</f>
        <v>1596.8894861320132</v>
      </c>
      <c r="L16" s="40">
        <f>SUM(D37:D48)</f>
        <v>937.83068131859591</v>
      </c>
      <c r="M16" s="40">
        <f>M15</f>
        <v>2534.7201674506091</v>
      </c>
      <c r="N16" s="40">
        <f>J16-K16</f>
        <v>4215.7882433885206</v>
      </c>
      <c r="O16" s="203">
        <f>L16*$B$9</f>
        <v>281.34920439557874</v>
      </c>
    </row>
    <row r="17" spans="1:15" x14ac:dyDescent="0.25">
      <c r="A17" s="156">
        <v>5</v>
      </c>
      <c r="B17" s="200">
        <f t="shared" si="1"/>
        <v>7904.9435751951823</v>
      </c>
      <c r="C17" s="200">
        <f t="shared" si="2"/>
        <v>90.206180154393849</v>
      </c>
      <c r="D17" s="200">
        <f t="shared" si="5"/>
        <v>121.02050046649026</v>
      </c>
      <c r="E17" s="201">
        <f t="shared" si="3"/>
        <v>211.22668062088411</v>
      </c>
      <c r="F17" s="200">
        <f t="shared" si="0"/>
        <v>7814.7373950407882</v>
      </c>
      <c r="G17" s="200">
        <f t="shared" si="4"/>
        <v>36.306150139947079</v>
      </c>
      <c r="I17" s="37" t="s">
        <v>171</v>
      </c>
      <c r="J17" s="40">
        <f>N16</f>
        <v>4215.7882433885206</v>
      </c>
      <c r="K17" s="40">
        <f>M17-L17</f>
        <v>1916.2673833584151</v>
      </c>
      <c r="L17" s="40">
        <f>SUM(D49:D60)</f>
        <v>618.45278409219395</v>
      </c>
      <c r="M17" s="40">
        <f>M16</f>
        <v>2534.7201674506091</v>
      </c>
      <c r="N17" s="40">
        <f>J17-K17</f>
        <v>2299.5208600301057</v>
      </c>
      <c r="O17" s="204">
        <f>L17*$B$9</f>
        <v>185.53583522765817</v>
      </c>
    </row>
    <row r="18" spans="1:15" x14ac:dyDescent="0.25">
      <c r="A18" s="156">
        <v>6</v>
      </c>
      <c r="B18" s="200">
        <f t="shared" si="1"/>
        <v>7814.7373950407882</v>
      </c>
      <c r="C18" s="200">
        <f t="shared" si="2"/>
        <v>91.58718900836098</v>
      </c>
      <c r="D18" s="200">
        <f t="shared" si="5"/>
        <v>119.63949161252313</v>
      </c>
      <c r="E18" s="201">
        <f t="shared" si="3"/>
        <v>211.22668062088411</v>
      </c>
      <c r="F18" s="200">
        <f t="shared" si="0"/>
        <v>7723.1502060324274</v>
      </c>
      <c r="G18" s="200">
        <f t="shared" si="4"/>
        <v>35.891847483756941</v>
      </c>
      <c r="I18" s="37" t="s">
        <v>172</v>
      </c>
      <c r="J18" s="40">
        <f>N17</f>
        <v>2299.5208600301057</v>
      </c>
      <c r="K18" s="40">
        <f>M18-L18</f>
        <v>2299.5208600300975</v>
      </c>
      <c r="L18" s="203">
        <f>SUM(D61:D72)</f>
        <v>235.19930742051159</v>
      </c>
      <c r="M18" s="40">
        <f>M17</f>
        <v>2534.7201674506091</v>
      </c>
      <c r="N18" s="40">
        <f>J18-K18</f>
        <v>8.1854523159563541E-12</v>
      </c>
      <c r="O18" s="204">
        <f>L18*$B$9</f>
        <v>70.559792226153476</v>
      </c>
    </row>
    <row r="19" spans="1:15" x14ac:dyDescent="0.25">
      <c r="A19" s="156">
        <v>7</v>
      </c>
      <c r="B19" s="200">
        <f t="shared" si="1"/>
        <v>7723.1502060324274</v>
      </c>
      <c r="C19" s="200">
        <f t="shared" si="2"/>
        <v>92.989340376637784</v>
      </c>
      <c r="D19" s="200">
        <f t="shared" si="5"/>
        <v>118.23734024424633</v>
      </c>
      <c r="E19" s="201">
        <f t="shared" si="3"/>
        <v>211.22668062088411</v>
      </c>
      <c r="F19" s="200">
        <f t="shared" si="0"/>
        <v>7630.1608656557892</v>
      </c>
      <c r="G19" s="200">
        <f t="shared" si="4"/>
        <v>35.471202073273894</v>
      </c>
    </row>
    <row r="20" spans="1:15" x14ac:dyDescent="0.25">
      <c r="A20" s="156">
        <v>8</v>
      </c>
      <c r="B20" s="200">
        <f t="shared" si="1"/>
        <v>7630.1608656557892</v>
      </c>
      <c r="C20" s="200">
        <f t="shared" si="2"/>
        <v>94.412957939923388</v>
      </c>
      <c r="D20" s="200">
        <f t="shared" si="5"/>
        <v>116.81372268096072</v>
      </c>
      <c r="E20" s="201">
        <f t="shared" si="3"/>
        <v>211.22668062088411</v>
      </c>
      <c r="F20" s="200">
        <f t="shared" si="0"/>
        <v>7535.7479077158659</v>
      </c>
      <c r="G20" s="200">
        <f t="shared" si="4"/>
        <v>35.044116804288215</v>
      </c>
    </row>
    <row r="21" spans="1:15" x14ac:dyDescent="0.25">
      <c r="A21" s="156">
        <v>9</v>
      </c>
      <c r="B21" s="200">
        <f t="shared" si="1"/>
        <v>7535.7479077158659</v>
      </c>
      <c r="C21" s="200">
        <f t="shared" si="2"/>
        <v>95.858370334297007</v>
      </c>
      <c r="D21" s="200">
        <f t="shared" si="5"/>
        <v>115.3683102865871</v>
      </c>
      <c r="E21" s="201">
        <f t="shared" si="3"/>
        <v>211.22668062088411</v>
      </c>
      <c r="F21" s="200">
        <f t="shared" si="0"/>
        <v>7439.8895373815685</v>
      </c>
      <c r="G21" s="200">
        <f t="shared" si="4"/>
        <v>34.610493085976131</v>
      </c>
    </row>
    <row r="22" spans="1:15" x14ac:dyDescent="0.25">
      <c r="A22" s="156">
        <v>10</v>
      </c>
      <c r="B22" s="200">
        <f t="shared" si="1"/>
        <v>7439.8895373815685</v>
      </c>
      <c r="C22" s="200">
        <f t="shared" si="2"/>
        <v>97.325911227082244</v>
      </c>
      <c r="D22" s="200">
        <f t="shared" si="5"/>
        <v>113.90076939380187</v>
      </c>
      <c r="E22" s="201">
        <f t="shared" si="3"/>
        <v>211.22668062088411</v>
      </c>
      <c r="F22" s="200">
        <f t="shared" si="0"/>
        <v>7342.563626154486</v>
      </c>
      <c r="G22" s="200">
        <f t="shared" si="4"/>
        <v>34.17023081814056</v>
      </c>
    </row>
    <row r="23" spans="1:15" x14ac:dyDescent="0.25">
      <c r="A23" s="156">
        <v>11</v>
      </c>
      <c r="B23" s="200">
        <f t="shared" si="1"/>
        <v>7342.563626154486</v>
      </c>
      <c r="C23" s="200">
        <f t="shared" si="2"/>
        <v>98.815919393872719</v>
      </c>
      <c r="D23" s="200">
        <f t="shared" si="5"/>
        <v>112.41076122701139</v>
      </c>
      <c r="E23" s="201">
        <f t="shared" si="3"/>
        <v>211.22668062088411</v>
      </c>
      <c r="F23" s="200">
        <f t="shared" si="0"/>
        <v>7243.7477067606133</v>
      </c>
      <c r="G23" s="200">
        <f t="shared" si="4"/>
        <v>33.723228368103413</v>
      </c>
    </row>
    <row r="24" spans="1:15" x14ac:dyDescent="0.25">
      <c r="A24" s="156">
        <v>12</v>
      </c>
      <c r="B24" s="200">
        <f t="shared" si="1"/>
        <v>7243.7477067606133</v>
      </c>
      <c r="C24" s="200">
        <f t="shared" si="2"/>
        <v>100.32873879673703</v>
      </c>
      <c r="D24" s="200">
        <f t="shared" si="5"/>
        <v>110.89794182414708</v>
      </c>
      <c r="E24" s="201">
        <f t="shared" si="3"/>
        <v>211.22668062088411</v>
      </c>
      <c r="F24" s="200">
        <f t="shared" si="0"/>
        <v>7143.4189679638766</v>
      </c>
      <c r="G24" s="200">
        <f t="shared" si="4"/>
        <v>33.26938254724412</v>
      </c>
    </row>
    <row r="25" spans="1:15" x14ac:dyDescent="0.25">
      <c r="A25" s="156">
        <v>13</v>
      </c>
      <c r="B25" s="200">
        <f t="shared" si="1"/>
        <v>7143.4189679638766</v>
      </c>
      <c r="C25" s="200">
        <f t="shared" si="2"/>
        <v>101.86471866362091</v>
      </c>
      <c r="D25" s="200">
        <f t="shared" si="5"/>
        <v>109.3619619572632</v>
      </c>
      <c r="E25" s="201">
        <f t="shared" si="3"/>
        <v>211.22668062088411</v>
      </c>
      <c r="F25" s="200">
        <f t="shared" si="0"/>
        <v>7041.5542493002558</v>
      </c>
      <c r="G25" s="200">
        <f t="shared" si="4"/>
        <v>32.80858858717896</v>
      </c>
      <c r="I25" s="205"/>
    </row>
    <row r="26" spans="1:15" x14ac:dyDescent="0.25">
      <c r="A26" s="156">
        <v>14</v>
      </c>
      <c r="B26" s="200">
        <f t="shared" si="1"/>
        <v>7041.5542493002558</v>
      </c>
      <c r="C26" s="200">
        <f t="shared" si="2"/>
        <v>103.42421356896502</v>
      </c>
      <c r="D26" s="200">
        <f t="shared" si="5"/>
        <v>107.80246705191909</v>
      </c>
      <c r="E26" s="201">
        <f t="shared" si="3"/>
        <v>211.22668062088411</v>
      </c>
      <c r="F26" s="200">
        <f t="shared" si="0"/>
        <v>6938.1300357312912</v>
      </c>
      <c r="G26" s="200">
        <f t="shared" si="4"/>
        <v>32.340740115575727</v>
      </c>
    </row>
    <row r="27" spans="1:15" x14ac:dyDescent="0.25">
      <c r="A27" s="156">
        <v>15</v>
      </c>
      <c r="B27" s="200">
        <f t="shared" si="1"/>
        <v>6938.1300357312912</v>
      </c>
      <c r="C27" s="200">
        <f t="shared" si="2"/>
        <v>105.00758351555699</v>
      </c>
      <c r="D27" s="200">
        <f t="shared" si="5"/>
        <v>106.21909710532712</v>
      </c>
      <c r="E27" s="201">
        <f t="shared" si="3"/>
        <v>211.22668062088411</v>
      </c>
      <c r="F27" s="200">
        <f t="shared" si="0"/>
        <v>6833.1224522157345</v>
      </c>
      <c r="G27" s="200">
        <f t="shared" si="4"/>
        <v>31.865729131598137</v>
      </c>
    </row>
    <row r="28" spans="1:15" x14ac:dyDescent="0.25">
      <c r="A28" s="156">
        <v>16</v>
      </c>
      <c r="B28" s="200">
        <f t="shared" si="1"/>
        <v>6833.1224522157345</v>
      </c>
      <c r="C28" s="200">
        <f t="shared" si="2"/>
        <v>106.61519401763645</v>
      </c>
      <c r="D28" s="200">
        <f t="shared" si="5"/>
        <v>104.61148660324766</v>
      </c>
      <c r="E28" s="201">
        <f t="shared" si="3"/>
        <v>211.22668062088411</v>
      </c>
      <c r="F28" s="200">
        <f t="shared" si="0"/>
        <v>6726.5072581980976</v>
      </c>
      <c r="G28" s="200">
        <f t="shared" si="4"/>
        <v>31.383445980974294</v>
      </c>
      <c r="I28" s="206"/>
    </row>
    <row r="29" spans="1:15" x14ac:dyDescent="0.25">
      <c r="A29" s="156">
        <v>17</v>
      </c>
      <c r="B29" s="200">
        <f t="shared" si="1"/>
        <v>6726.5072581980976</v>
      </c>
      <c r="C29" s="200">
        <f t="shared" si="2"/>
        <v>108.24741618527258</v>
      </c>
      <c r="D29" s="200">
        <f t="shared" si="5"/>
        <v>102.97926443561153</v>
      </c>
      <c r="E29" s="201">
        <f t="shared" si="3"/>
        <v>211.22668062088411</v>
      </c>
      <c r="F29" s="200">
        <f t="shared" si="0"/>
        <v>6618.2598420128252</v>
      </c>
      <c r="G29" s="200">
        <f t="shared" si="4"/>
        <v>30.893779330683458</v>
      </c>
    </row>
    <row r="30" spans="1:15" x14ac:dyDescent="0.25">
      <c r="A30" s="156">
        <v>18</v>
      </c>
      <c r="B30" s="200">
        <f t="shared" si="1"/>
        <v>6618.2598420128252</v>
      </c>
      <c r="C30" s="200">
        <f t="shared" si="2"/>
        <v>109.90462681003314</v>
      </c>
      <c r="D30" s="200">
        <f t="shared" si="5"/>
        <v>101.32205381085097</v>
      </c>
      <c r="E30" s="201">
        <f t="shared" si="3"/>
        <v>211.22668062088411</v>
      </c>
      <c r="F30" s="200">
        <f t="shared" si="0"/>
        <v>6508.3552152027924</v>
      </c>
      <c r="G30" s="200">
        <f t="shared" si="4"/>
        <v>30.39661614325529</v>
      </c>
    </row>
    <row r="31" spans="1:15" x14ac:dyDescent="0.25">
      <c r="A31" s="156">
        <v>19</v>
      </c>
      <c r="B31" s="200">
        <f t="shared" si="1"/>
        <v>6508.3552152027924</v>
      </c>
      <c r="C31" s="200">
        <f t="shared" si="2"/>
        <v>111.58720845196531</v>
      </c>
      <c r="D31" s="200">
        <f t="shared" si="5"/>
        <v>99.6394721689188</v>
      </c>
      <c r="E31" s="201">
        <f t="shared" si="3"/>
        <v>211.22668062088411</v>
      </c>
      <c r="F31" s="200">
        <f t="shared" si="0"/>
        <v>6396.7680067508272</v>
      </c>
      <c r="G31" s="200">
        <f t="shared" si="4"/>
        <v>29.891841650675637</v>
      </c>
    </row>
    <row r="32" spans="1:15" x14ac:dyDescent="0.25">
      <c r="A32" s="156">
        <v>20</v>
      </c>
      <c r="B32" s="200">
        <f t="shared" si="1"/>
        <v>6396.7680067508272</v>
      </c>
      <c r="C32" s="200">
        <f t="shared" si="2"/>
        <v>113.29554952790802</v>
      </c>
      <c r="D32" s="200">
        <f t="shared" si="5"/>
        <v>97.931131092976088</v>
      </c>
      <c r="E32" s="201">
        <f t="shared" si="3"/>
        <v>211.22668062088411</v>
      </c>
      <c r="F32" s="200">
        <f t="shared" si="0"/>
        <v>6283.4724572229188</v>
      </c>
      <c r="G32" s="200">
        <f t="shared" si="4"/>
        <v>29.379339327892826</v>
      </c>
    </row>
    <row r="33" spans="1:7" x14ac:dyDescent="0.25">
      <c r="A33" s="156">
        <v>21</v>
      </c>
      <c r="B33" s="200">
        <f t="shared" si="1"/>
        <v>6283.4724572229188</v>
      </c>
      <c r="C33" s="200">
        <f t="shared" si="2"/>
        <v>115.03004440115636</v>
      </c>
      <c r="D33" s="200">
        <f t="shared" si="5"/>
        <v>96.19663621972775</v>
      </c>
      <c r="E33" s="201">
        <f t="shared" si="3"/>
        <v>211.22668062088411</v>
      </c>
      <c r="F33" s="200">
        <f t="shared" si="0"/>
        <v>6168.4424128217624</v>
      </c>
      <c r="G33" s="200">
        <f t="shared" si="4"/>
        <v>28.858990865918322</v>
      </c>
    </row>
    <row r="34" spans="1:7" x14ac:dyDescent="0.25">
      <c r="A34" s="156">
        <v>22</v>
      </c>
      <c r="B34" s="200">
        <f t="shared" si="1"/>
        <v>6168.4424128217624</v>
      </c>
      <c r="C34" s="200">
        <f t="shared" si="2"/>
        <v>116.79109347249864</v>
      </c>
      <c r="D34" s="200">
        <f t="shared" si="5"/>
        <v>94.435587148385466</v>
      </c>
      <c r="E34" s="201">
        <f t="shared" si="3"/>
        <v>211.22668062088411</v>
      </c>
      <c r="F34" s="200">
        <f t="shared" si="0"/>
        <v>6051.6513193492638</v>
      </c>
      <c r="G34" s="200">
        <f t="shared" si="4"/>
        <v>28.330676144515639</v>
      </c>
    </row>
    <row r="35" spans="1:7" ht="14.25" customHeight="1" x14ac:dyDescent="0.25">
      <c r="A35" s="156">
        <v>23</v>
      </c>
      <c r="B35" s="200">
        <f t="shared" si="1"/>
        <v>6051.6513193492638</v>
      </c>
      <c r="C35" s="200">
        <f t="shared" si="2"/>
        <v>118.5791032726472</v>
      </c>
      <c r="D35" s="200">
        <f t="shared" si="5"/>
        <v>92.647577348236908</v>
      </c>
      <c r="E35" s="201">
        <f t="shared" si="3"/>
        <v>211.22668062088411</v>
      </c>
      <c r="F35" s="200">
        <f t="shared" si="0"/>
        <v>5933.0722160766163</v>
      </c>
      <c r="G35" s="200">
        <f t="shared" si="4"/>
        <v>27.794273204471072</v>
      </c>
    </row>
    <row r="36" spans="1:7" x14ac:dyDescent="0.25">
      <c r="A36" s="156">
        <v>24</v>
      </c>
      <c r="B36" s="200">
        <f t="shared" si="1"/>
        <v>5933.0722160766163</v>
      </c>
      <c r="C36" s="200">
        <f t="shared" si="2"/>
        <v>120.39448655608439</v>
      </c>
      <c r="D36" s="200">
        <f t="shared" si="5"/>
        <v>90.832194064799722</v>
      </c>
      <c r="E36" s="201">
        <f t="shared" si="3"/>
        <v>211.22668062088411</v>
      </c>
      <c r="F36" s="200">
        <f t="shared" si="0"/>
        <v>5812.677729520532</v>
      </c>
      <c r="G36" s="200">
        <f t="shared" si="4"/>
        <v>27.249658219439915</v>
      </c>
    </row>
    <row r="37" spans="1:7" x14ac:dyDescent="0.25">
      <c r="A37" s="156">
        <v>25</v>
      </c>
      <c r="B37" s="200">
        <f t="shared" si="1"/>
        <v>5812.677729520532</v>
      </c>
      <c r="C37" s="200">
        <f t="shared" si="2"/>
        <v>122.23766239634504</v>
      </c>
      <c r="D37" s="200">
        <f t="shared" si="5"/>
        <v>88.989018224539066</v>
      </c>
      <c r="E37" s="201">
        <f t="shared" si="3"/>
        <v>211.22668062088411</v>
      </c>
      <c r="F37" s="200">
        <f t="shared" si="0"/>
        <v>5690.4400671241874</v>
      </c>
      <c r="G37" s="200">
        <f t="shared" si="4"/>
        <v>26.696705467361721</v>
      </c>
    </row>
    <row r="38" spans="1:7" x14ac:dyDescent="0.25">
      <c r="A38" s="156">
        <v>26</v>
      </c>
      <c r="B38" s="200">
        <f t="shared" si="1"/>
        <v>5690.4400671241874</v>
      </c>
      <c r="C38" s="200">
        <f t="shared" si="2"/>
        <v>124.10905628275798</v>
      </c>
      <c r="D38" s="200">
        <f t="shared" si="5"/>
        <v>87.117624338126134</v>
      </c>
      <c r="E38" s="201">
        <f t="shared" si="3"/>
        <v>211.22668062088411</v>
      </c>
      <c r="F38" s="200">
        <f t="shared" si="0"/>
        <v>5566.3310108414298</v>
      </c>
      <c r="G38" s="200">
        <f t="shared" si="4"/>
        <v>26.135287301437838</v>
      </c>
    </row>
    <row r="39" spans="1:7" x14ac:dyDescent="0.25">
      <c r="A39" s="156">
        <v>27</v>
      </c>
      <c r="B39" s="200">
        <f t="shared" si="1"/>
        <v>5566.3310108414298</v>
      </c>
      <c r="C39" s="200">
        <f t="shared" si="2"/>
        <v>126.00910021866834</v>
      </c>
      <c r="D39" s="200">
        <f t="shared" si="5"/>
        <v>85.217580402215773</v>
      </c>
      <c r="E39" s="201">
        <f t="shared" si="3"/>
        <v>211.22668062088411</v>
      </c>
      <c r="F39" s="200">
        <f t="shared" si="0"/>
        <v>5440.3219106227616</v>
      </c>
      <c r="G39" s="200">
        <f t="shared" si="4"/>
        <v>25.565274120664732</v>
      </c>
    </row>
    <row r="40" spans="1:7" x14ac:dyDescent="0.25">
      <c r="A40" s="156">
        <v>28</v>
      </c>
      <c r="B40" s="200">
        <f t="shared" si="1"/>
        <v>5440.3219106227616</v>
      </c>
      <c r="C40" s="200">
        <f t="shared" si="2"/>
        <v>127.93823282116371</v>
      </c>
      <c r="D40" s="200">
        <f t="shared" si="5"/>
        <v>83.288447799720402</v>
      </c>
      <c r="E40" s="201">
        <f t="shared" si="3"/>
        <v>211.22668062088411</v>
      </c>
      <c r="F40" s="200">
        <f t="shared" si="0"/>
        <v>5312.3836778015975</v>
      </c>
      <c r="G40" s="200">
        <f t="shared" si="4"/>
        <v>24.986534339916119</v>
      </c>
    </row>
    <row r="41" spans="1:7" x14ac:dyDescent="0.25">
      <c r="A41" s="156">
        <v>29</v>
      </c>
      <c r="B41" s="200">
        <f t="shared" si="1"/>
        <v>5312.3836778015975</v>
      </c>
      <c r="C41" s="200">
        <f t="shared" si="2"/>
        <v>129.89689942232707</v>
      </c>
      <c r="D41" s="200">
        <f t="shared" si="5"/>
        <v>81.329781198557058</v>
      </c>
      <c r="E41" s="201">
        <f t="shared" si="3"/>
        <v>211.22668062088411</v>
      </c>
      <c r="F41" s="200">
        <f t="shared" si="0"/>
        <v>5182.4867783792706</v>
      </c>
      <c r="G41" s="200">
        <f t="shared" si="4"/>
        <v>24.398934359567118</v>
      </c>
    </row>
    <row r="42" spans="1:7" x14ac:dyDescent="0.25">
      <c r="A42" s="156">
        <v>30</v>
      </c>
      <c r="B42" s="200">
        <f t="shared" si="1"/>
        <v>5182.4867783792706</v>
      </c>
      <c r="C42" s="200">
        <f t="shared" si="2"/>
        <v>131.88555217203972</v>
      </c>
      <c r="D42" s="200">
        <f t="shared" si="5"/>
        <v>79.341128448844387</v>
      </c>
      <c r="E42" s="201">
        <f t="shared" si="3"/>
        <v>211.22668062088411</v>
      </c>
      <c r="F42" s="200">
        <f t="shared" si="0"/>
        <v>5050.6012262072309</v>
      </c>
      <c r="G42" s="200">
        <f t="shared" si="4"/>
        <v>23.802338534653316</v>
      </c>
    </row>
    <row r="43" spans="1:7" x14ac:dyDescent="0.25">
      <c r="A43" s="156">
        <v>31</v>
      </c>
      <c r="B43" s="200">
        <f t="shared" si="1"/>
        <v>5050.6012262072309</v>
      </c>
      <c r="C43" s="200">
        <f t="shared" si="2"/>
        <v>133.90465014235832</v>
      </c>
      <c r="D43" s="200">
        <f t="shared" si="5"/>
        <v>77.322030478525789</v>
      </c>
      <c r="E43" s="201">
        <f t="shared" si="3"/>
        <v>211.22668062088411</v>
      </c>
      <c r="F43" s="200">
        <f t="shared" si="0"/>
        <v>4916.6965760648727</v>
      </c>
      <c r="G43" s="200">
        <f t="shared" si="4"/>
        <v>23.196609143557737</v>
      </c>
    </row>
    <row r="44" spans="1:7" x14ac:dyDescent="0.25">
      <c r="A44" s="156">
        <v>32</v>
      </c>
      <c r="B44" s="200">
        <f t="shared" si="1"/>
        <v>4916.6965760648727</v>
      </c>
      <c r="C44" s="200">
        <f t="shared" si="2"/>
        <v>135.95465943348958</v>
      </c>
      <c r="D44" s="200">
        <f t="shared" si="5"/>
        <v>75.272021187394529</v>
      </c>
      <c r="E44" s="201">
        <f t="shared" si="3"/>
        <v>211.22668062088411</v>
      </c>
      <c r="F44" s="200">
        <f t="shared" si="0"/>
        <v>4780.741916631383</v>
      </c>
      <c r="G44" s="200">
        <f t="shared" si="4"/>
        <v>22.581606356218359</v>
      </c>
    </row>
    <row r="45" spans="1:7" x14ac:dyDescent="0.25">
      <c r="A45" s="156">
        <v>33</v>
      </c>
      <c r="B45" s="200">
        <f t="shared" si="1"/>
        <v>4780.741916631383</v>
      </c>
      <c r="C45" s="200">
        <f t="shared" si="2"/>
        <v>138.03605328138758</v>
      </c>
      <c r="D45" s="200">
        <f t="shared" si="5"/>
        <v>73.190627339496515</v>
      </c>
      <c r="E45" s="201">
        <f t="shared" si="3"/>
        <v>211.22668062088411</v>
      </c>
      <c r="F45" s="200">
        <f t="shared" si="0"/>
        <v>4642.7058633499955</v>
      </c>
      <c r="G45" s="200">
        <f t="shared" si="4"/>
        <v>21.957188201848954</v>
      </c>
    </row>
    <row r="46" spans="1:7" x14ac:dyDescent="0.25">
      <c r="A46" s="156">
        <v>34</v>
      </c>
      <c r="B46" s="200">
        <f t="shared" si="1"/>
        <v>4642.7058633499955</v>
      </c>
      <c r="C46" s="200">
        <f t="shared" si="2"/>
        <v>140.1493121669983</v>
      </c>
      <c r="D46" s="200">
        <f t="shared" si="5"/>
        <v>71.077368453885796</v>
      </c>
      <c r="E46" s="201">
        <f t="shared" si="3"/>
        <v>211.22668062088411</v>
      </c>
      <c r="F46" s="200">
        <f t="shared" si="0"/>
        <v>4502.5565511829973</v>
      </c>
      <c r="G46" s="200">
        <f t="shared" si="4"/>
        <v>21.323210536165739</v>
      </c>
    </row>
    <row r="47" spans="1:7" x14ac:dyDescent="0.25">
      <c r="A47" s="156">
        <v>35</v>
      </c>
      <c r="B47" s="200">
        <f t="shared" si="1"/>
        <v>4502.5565511829973</v>
      </c>
      <c r="C47" s="200">
        <f t="shared" si="2"/>
        <v>142.2949239271766</v>
      </c>
      <c r="D47" s="200">
        <f t="shared" si="5"/>
        <v>68.931756693707513</v>
      </c>
      <c r="E47" s="201">
        <f t="shared" si="3"/>
        <v>211.22668062088411</v>
      </c>
      <c r="F47" s="200">
        <f t="shared" si="0"/>
        <v>4360.2616272558207</v>
      </c>
      <c r="G47" s="200">
        <f t="shared" si="4"/>
        <v>20.679527008112252</v>
      </c>
    </row>
    <row r="48" spans="1:7" x14ac:dyDescent="0.25">
      <c r="A48" s="156">
        <v>36</v>
      </c>
      <c r="B48" s="200">
        <f t="shared" si="1"/>
        <v>4360.2616272558207</v>
      </c>
      <c r="C48" s="200">
        <f t="shared" si="2"/>
        <v>144.47338386730121</v>
      </c>
      <c r="D48" s="200">
        <f t="shared" si="5"/>
        <v>66.753296753582916</v>
      </c>
      <c r="E48" s="201">
        <f t="shared" si="3"/>
        <v>211.22668062088411</v>
      </c>
      <c r="F48" s="200">
        <f t="shared" si="0"/>
        <v>4215.7882433885197</v>
      </c>
      <c r="G48" s="200">
        <f t="shared" si="4"/>
        <v>20.025989026074875</v>
      </c>
    </row>
    <row r="49" spans="1:7" x14ac:dyDescent="0.25">
      <c r="A49" s="156">
        <v>37</v>
      </c>
      <c r="B49" s="200">
        <f t="shared" si="1"/>
        <v>4215.7882433885197</v>
      </c>
      <c r="C49" s="200">
        <f t="shared" si="2"/>
        <v>146.685194875614</v>
      </c>
      <c r="D49" s="200">
        <f t="shared" si="5"/>
        <v>64.541485745270123</v>
      </c>
      <c r="E49" s="201">
        <f t="shared" si="3"/>
        <v>211.22668062088411</v>
      </c>
      <c r="F49" s="200">
        <f t="shared" si="0"/>
        <v>4069.1030485129058</v>
      </c>
      <c r="G49" s="200">
        <f t="shared" si="4"/>
        <v>19.362445723581036</v>
      </c>
    </row>
    <row r="50" spans="1:7" x14ac:dyDescent="0.25">
      <c r="A50" s="156">
        <v>38</v>
      </c>
      <c r="B50" s="200">
        <f t="shared" si="1"/>
        <v>4069.1030485129058</v>
      </c>
      <c r="C50" s="200">
        <f t="shared" si="2"/>
        <v>148.93086753930953</v>
      </c>
      <c r="D50" s="200">
        <f t="shared" si="5"/>
        <v>62.295813081574593</v>
      </c>
      <c r="E50" s="201">
        <f t="shared" si="3"/>
        <v>211.22668062088411</v>
      </c>
      <c r="F50" s="200">
        <f t="shared" si="0"/>
        <v>3920.1721809735964</v>
      </c>
      <c r="G50" s="200">
        <f t="shared" si="4"/>
        <v>18.688743924472377</v>
      </c>
    </row>
    <row r="51" spans="1:7" x14ac:dyDescent="0.25">
      <c r="A51" s="156">
        <v>39</v>
      </c>
      <c r="B51" s="200">
        <f t="shared" si="1"/>
        <v>3920.1721809735964</v>
      </c>
      <c r="C51" s="200">
        <f t="shared" si="2"/>
        <v>151.21092026240194</v>
      </c>
      <c r="D51" s="200">
        <f t="shared" si="5"/>
        <v>60.015760358482162</v>
      </c>
      <c r="E51" s="201">
        <f t="shared" si="3"/>
        <v>211.22668062088411</v>
      </c>
      <c r="F51" s="200">
        <f t="shared" si="0"/>
        <v>3768.9612607111944</v>
      </c>
      <c r="G51" s="200">
        <f t="shared" si="4"/>
        <v>18.004728107544647</v>
      </c>
    </row>
    <row r="52" spans="1:7" x14ac:dyDescent="0.25">
      <c r="A52" s="156">
        <v>40</v>
      </c>
      <c r="B52" s="200">
        <f t="shared" si="1"/>
        <v>3768.9612607111944</v>
      </c>
      <c r="C52" s="200">
        <f t="shared" si="2"/>
        <v>153.52587938539639</v>
      </c>
      <c r="D52" s="200">
        <f t="shared" si="5"/>
        <v>57.700801235487717</v>
      </c>
      <c r="E52" s="201">
        <f t="shared" si="3"/>
        <v>211.22668062088411</v>
      </c>
      <c r="F52" s="200">
        <f t="shared" si="0"/>
        <v>3615.4353813257981</v>
      </c>
      <c r="G52" s="200">
        <f t="shared" si="4"/>
        <v>17.310240370646316</v>
      </c>
    </row>
    <row r="53" spans="1:7" x14ac:dyDescent="0.25">
      <c r="A53" s="156">
        <v>41</v>
      </c>
      <c r="B53" s="200">
        <f t="shared" si="1"/>
        <v>3615.4353813257981</v>
      </c>
      <c r="C53" s="200">
        <f t="shared" si="2"/>
        <v>155.87627930679241</v>
      </c>
      <c r="D53" s="200">
        <f t="shared" si="5"/>
        <v>55.350401314091698</v>
      </c>
      <c r="E53" s="201">
        <f t="shared" si="3"/>
        <v>211.22668062088411</v>
      </c>
      <c r="F53" s="200">
        <f t="shared" si="0"/>
        <v>3459.5591020190059</v>
      </c>
      <c r="G53" s="200">
        <f t="shared" si="4"/>
        <v>16.605120394227509</v>
      </c>
    </row>
    <row r="54" spans="1:7" x14ac:dyDescent="0.25">
      <c r="A54" s="156">
        <v>42</v>
      </c>
      <c r="B54" s="200">
        <f t="shared" si="1"/>
        <v>3459.5591020190059</v>
      </c>
      <c r="C54" s="200">
        <f t="shared" si="2"/>
        <v>158.26266260644761</v>
      </c>
      <c r="D54" s="200">
        <f t="shared" si="5"/>
        <v>52.964018014436505</v>
      </c>
      <c r="E54" s="201">
        <f t="shared" si="3"/>
        <v>211.22668062088411</v>
      </c>
      <c r="F54" s="200">
        <f t="shared" si="0"/>
        <v>3301.2964394125584</v>
      </c>
      <c r="G54" s="200">
        <f t="shared" si="4"/>
        <v>15.889205404330951</v>
      </c>
    </row>
    <row r="55" spans="1:7" x14ac:dyDescent="0.25">
      <c r="A55" s="156">
        <v>43</v>
      </c>
      <c r="B55" s="200">
        <f t="shared" si="1"/>
        <v>3301.2964394125584</v>
      </c>
      <c r="C55" s="200">
        <f t="shared" si="2"/>
        <v>160.68558017082992</v>
      </c>
      <c r="D55" s="200">
        <f t="shared" si="5"/>
        <v>50.541100450054188</v>
      </c>
      <c r="E55" s="201">
        <f t="shared" si="3"/>
        <v>211.22668062088411</v>
      </c>
      <c r="F55" s="200">
        <f t="shared" si="0"/>
        <v>3140.6108592417286</v>
      </c>
      <c r="G55" s="200">
        <f t="shared" si="4"/>
        <v>15.162330135016255</v>
      </c>
    </row>
    <row r="56" spans="1:7" x14ac:dyDescent="0.25">
      <c r="A56" s="156">
        <v>44</v>
      </c>
      <c r="B56" s="200">
        <f t="shared" si="1"/>
        <v>3140.6108592417286</v>
      </c>
      <c r="C56" s="200">
        <f t="shared" si="2"/>
        <v>163.14559132018744</v>
      </c>
      <c r="D56" s="200">
        <f t="shared" si="5"/>
        <v>48.081089300696675</v>
      </c>
      <c r="E56" s="201">
        <f t="shared" si="3"/>
        <v>211.22668062088411</v>
      </c>
      <c r="F56" s="200">
        <f t="shared" si="0"/>
        <v>2977.465267921541</v>
      </c>
      <c r="G56" s="200">
        <f t="shared" si="4"/>
        <v>14.424326790209001</v>
      </c>
    </row>
    <row r="57" spans="1:7" x14ac:dyDescent="0.25">
      <c r="A57" s="156">
        <v>45</v>
      </c>
      <c r="B57" s="200">
        <f t="shared" si="1"/>
        <v>2977.465267921541</v>
      </c>
      <c r="C57" s="200">
        <f t="shared" si="2"/>
        <v>165.64326393766504</v>
      </c>
      <c r="D57" s="200">
        <f t="shared" si="5"/>
        <v>45.583416683219063</v>
      </c>
      <c r="E57" s="201">
        <f t="shared" si="3"/>
        <v>211.22668062088411</v>
      </c>
      <c r="F57" s="200">
        <f t="shared" si="0"/>
        <v>2811.8220039838761</v>
      </c>
      <c r="G57" s="200">
        <f t="shared" si="4"/>
        <v>13.675025004965718</v>
      </c>
    </row>
    <row r="58" spans="1:7" x14ac:dyDescent="0.25">
      <c r="A58" s="156">
        <v>46</v>
      </c>
      <c r="B58" s="200">
        <f t="shared" si="1"/>
        <v>2811.8220039838761</v>
      </c>
      <c r="C58" s="200">
        <f t="shared" si="2"/>
        <v>168.17917460039791</v>
      </c>
      <c r="D58" s="200">
        <f t="shared" si="5"/>
        <v>43.047506020486196</v>
      </c>
      <c r="E58" s="201">
        <f t="shared" si="3"/>
        <v>211.22668062088411</v>
      </c>
      <c r="F58" s="200">
        <f t="shared" si="0"/>
        <v>2643.6428293834783</v>
      </c>
      <c r="G58" s="200">
        <f t="shared" si="4"/>
        <v>12.914251806145858</v>
      </c>
    </row>
    <row r="59" spans="1:7" x14ac:dyDescent="0.25">
      <c r="A59" s="156">
        <v>47</v>
      </c>
      <c r="B59" s="200">
        <f t="shared" si="1"/>
        <v>2643.6428293834783</v>
      </c>
      <c r="C59" s="200">
        <f t="shared" si="2"/>
        <v>170.75390871261186</v>
      </c>
      <c r="D59" s="200">
        <f t="shared" si="5"/>
        <v>40.472771908272264</v>
      </c>
      <c r="E59" s="201">
        <f t="shared" si="3"/>
        <v>211.22668062088411</v>
      </c>
      <c r="F59" s="200">
        <f t="shared" si="0"/>
        <v>2472.8889206708664</v>
      </c>
      <c r="G59" s="200">
        <f t="shared" si="4"/>
        <v>12.14183157248168</v>
      </c>
    </row>
    <row r="60" spans="1:7" x14ac:dyDescent="0.25">
      <c r="A60" s="156">
        <v>48</v>
      </c>
      <c r="B60" s="200">
        <f t="shared" si="1"/>
        <v>2472.8889206708664</v>
      </c>
      <c r="C60" s="200">
        <f t="shared" si="2"/>
        <v>173.36806064076137</v>
      </c>
      <c r="D60" s="200">
        <f t="shared" si="5"/>
        <v>37.858619980122739</v>
      </c>
      <c r="E60" s="201">
        <f t="shared" si="3"/>
        <v>211.22668062088411</v>
      </c>
      <c r="F60" s="200">
        <f t="shared" si="0"/>
        <v>2299.5208600301048</v>
      </c>
      <c r="G60" s="200">
        <f t="shared" si="4"/>
        <v>11.357585994036821</v>
      </c>
    </row>
    <row r="61" spans="1:7" x14ac:dyDescent="0.25">
      <c r="A61" s="156">
        <v>49</v>
      </c>
      <c r="B61" s="200">
        <f t="shared" si="1"/>
        <v>2299.5208600301048</v>
      </c>
      <c r="C61" s="200">
        <f t="shared" si="2"/>
        <v>176.02223385073671</v>
      </c>
      <c r="D61" s="200">
        <f t="shared" si="5"/>
        <v>35.204446770147392</v>
      </c>
      <c r="E61" s="201">
        <f t="shared" si="3"/>
        <v>211.22668062088411</v>
      </c>
      <c r="F61" s="200">
        <f t="shared" si="0"/>
        <v>2123.4986261793683</v>
      </c>
      <c r="G61" s="200">
        <f t="shared" si="4"/>
        <v>10.561334031044217</v>
      </c>
    </row>
    <row r="62" spans="1:7" x14ac:dyDescent="0.25">
      <c r="A62" s="156">
        <v>50</v>
      </c>
      <c r="B62" s="200">
        <f t="shared" si="1"/>
        <v>2123.4986261793683</v>
      </c>
      <c r="C62" s="200">
        <f t="shared" si="2"/>
        <v>178.71704104717136</v>
      </c>
      <c r="D62" s="200">
        <f t="shared" si="5"/>
        <v>32.509639573712754</v>
      </c>
      <c r="E62" s="201">
        <f t="shared" si="3"/>
        <v>211.22668062088411</v>
      </c>
      <c r="F62" s="200">
        <f t="shared" si="0"/>
        <v>1944.7815851321971</v>
      </c>
      <c r="G62" s="200">
        <f t="shared" si="4"/>
        <v>9.7528918721138265</v>
      </c>
    </row>
    <row r="63" spans="1:7" x14ac:dyDescent="0.25">
      <c r="A63" s="156">
        <v>51</v>
      </c>
      <c r="B63" s="200">
        <f t="shared" si="1"/>
        <v>1944.7815851321971</v>
      </c>
      <c r="C63" s="200">
        <f t="shared" si="2"/>
        <v>181.45310431488227</v>
      </c>
      <c r="D63" s="200">
        <f t="shared" si="5"/>
        <v>29.773576306001839</v>
      </c>
      <c r="E63" s="201">
        <f t="shared" si="3"/>
        <v>211.22668062088411</v>
      </c>
      <c r="F63" s="200">
        <f t="shared" si="0"/>
        <v>1763.3284808173148</v>
      </c>
      <c r="G63" s="200">
        <f t="shared" si="4"/>
        <v>8.9320728918005514</v>
      </c>
    </row>
    <row r="64" spans="1:7" x14ac:dyDescent="0.25">
      <c r="A64" s="156">
        <v>52</v>
      </c>
      <c r="B64" s="200">
        <f t="shared" si="1"/>
        <v>1763.3284808173148</v>
      </c>
      <c r="C64" s="200">
        <f t="shared" si="2"/>
        <v>184.23105526247562</v>
      </c>
      <c r="D64" s="200">
        <f t="shared" si="5"/>
        <v>26.9956253584085</v>
      </c>
      <c r="E64" s="201">
        <f t="shared" si="3"/>
        <v>211.22668062088411</v>
      </c>
      <c r="F64" s="200">
        <f t="shared" si="0"/>
        <v>1579.0974255548392</v>
      </c>
      <c r="G64" s="200">
        <f t="shared" si="4"/>
        <v>8.0986876075225496</v>
      </c>
    </row>
    <row r="65" spans="1:7" x14ac:dyDescent="0.25">
      <c r="A65" s="156">
        <v>53</v>
      </c>
      <c r="B65" s="200">
        <f t="shared" si="1"/>
        <v>1579.0974255548392</v>
      </c>
      <c r="C65" s="200">
        <f t="shared" si="2"/>
        <v>187.05153516815082</v>
      </c>
      <c r="D65" s="200">
        <f t="shared" si="5"/>
        <v>24.175145452733283</v>
      </c>
      <c r="E65" s="201">
        <f t="shared" si="3"/>
        <v>211.22668062088411</v>
      </c>
      <c r="F65" s="200">
        <f t="shared" si="0"/>
        <v>1392.0458903866884</v>
      </c>
      <c r="G65" s="200">
        <f t="shared" si="4"/>
        <v>7.2525436358199844</v>
      </c>
    </row>
    <row r="66" spans="1:7" x14ac:dyDescent="0.25">
      <c r="A66" s="156">
        <v>54</v>
      </c>
      <c r="B66" s="200">
        <f t="shared" si="1"/>
        <v>1392.0458903866884</v>
      </c>
      <c r="C66" s="200">
        <f t="shared" si="2"/>
        <v>189.91519512773706</v>
      </c>
      <c r="D66" s="200">
        <f t="shared" si="5"/>
        <v>21.311485493147046</v>
      </c>
      <c r="E66" s="201">
        <f t="shared" si="3"/>
        <v>211.22668062088411</v>
      </c>
      <c r="F66" s="200">
        <f t="shared" si="0"/>
        <v>1202.1306952589514</v>
      </c>
      <c r="G66" s="200">
        <f t="shared" si="4"/>
        <v>6.3934456479441133</v>
      </c>
    </row>
    <row r="67" spans="1:7" x14ac:dyDescent="0.25">
      <c r="A67" s="156">
        <v>55</v>
      </c>
      <c r="B67" s="200">
        <f t="shared" si="1"/>
        <v>1202.1306952589514</v>
      </c>
      <c r="C67" s="200">
        <f t="shared" si="2"/>
        <v>192.82269620499585</v>
      </c>
      <c r="D67" s="200">
        <f t="shared" si="5"/>
        <v>18.403984415888264</v>
      </c>
      <c r="E67" s="201">
        <f t="shared" si="3"/>
        <v>211.22668062088411</v>
      </c>
      <c r="F67" s="200">
        <f t="shared" si="0"/>
        <v>1009.3079990539555</v>
      </c>
      <c r="G67" s="200">
        <f t="shared" si="4"/>
        <v>5.5211953247664791</v>
      </c>
    </row>
    <row r="68" spans="1:7" x14ac:dyDescent="0.25">
      <c r="A68" s="156">
        <v>56</v>
      </c>
      <c r="B68" s="200">
        <f t="shared" si="1"/>
        <v>1009.3079990539555</v>
      </c>
      <c r="C68" s="200">
        <f t="shared" si="2"/>
        <v>195.77470958422487</v>
      </c>
      <c r="D68" s="200">
        <f t="shared" si="5"/>
        <v>15.45197103665925</v>
      </c>
      <c r="E68" s="201">
        <f t="shared" si="3"/>
        <v>211.22668062088411</v>
      </c>
      <c r="F68" s="200">
        <f t="shared" si="0"/>
        <v>813.53328946973068</v>
      </c>
      <c r="G68" s="200">
        <f t="shared" si="4"/>
        <v>4.6355913109977749</v>
      </c>
    </row>
    <row r="69" spans="1:7" x14ac:dyDescent="0.25">
      <c r="A69" s="156">
        <v>57</v>
      </c>
      <c r="B69" s="200">
        <f t="shared" si="1"/>
        <v>813.53328946973068</v>
      </c>
      <c r="C69" s="200">
        <f t="shared" si="2"/>
        <v>198.771916725198</v>
      </c>
      <c r="D69" s="200">
        <f t="shared" si="5"/>
        <v>12.454763895686119</v>
      </c>
      <c r="E69" s="201">
        <f t="shared" si="3"/>
        <v>211.22668062088411</v>
      </c>
      <c r="F69" s="200">
        <f t="shared" si="0"/>
        <v>614.76137274453265</v>
      </c>
      <c r="G69" s="200">
        <f t="shared" si="4"/>
        <v>3.7364291687058353</v>
      </c>
    </row>
    <row r="70" spans="1:7" x14ac:dyDescent="0.25">
      <c r="A70" s="156">
        <v>58</v>
      </c>
      <c r="B70" s="200">
        <f t="shared" si="1"/>
        <v>614.76137274453265</v>
      </c>
      <c r="C70" s="200">
        <f t="shared" si="2"/>
        <v>201.81500952047745</v>
      </c>
      <c r="D70" s="200">
        <f t="shared" si="5"/>
        <v>9.4116711004066751</v>
      </c>
      <c r="E70" s="201">
        <f t="shared" si="3"/>
        <v>211.22668062088411</v>
      </c>
      <c r="F70" s="200">
        <f t="shared" si="0"/>
        <v>412.94636322405518</v>
      </c>
      <c r="G70" s="200">
        <f t="shared" si="4"/>
        <v>2.8235013301220024</v>
      </c>
    </row>
    <row r="71" spans="1:7" x14ac:dyDescent="0.25">
      <c r="A71" s="156">
        <v>59</v>
      </c>
      <c r="B71" s="200">
        <f t="shared" si="1"/>
        <v>412.94636322405518</v>
      </c>
      <c r="C71" s="200">
        <f t="shared" si="2"/>
        <v>204.90469045513416</v>
      </c>
      <c r="D71" s="200">
        <f t="shared" si="5"/>
        <v>6.3219901657499546</v>
      </c>
      <c r="E71" s="201">
        <f t="shared" si="3"/>
        <v>211.22668062088411</v>
      </c>
      <c r="F71" s="200">
        <f t="shared" si="0"/>
        <v>208.04167276892102</v>
      </c>
      <c r="G71" s="200">
        <f t="shared" si="4"/>
        <v>1.8965970497249862</v>
      </c>
    </row>
    <row r="72" spans="1:7" x14ac:dyDescent="0.25">
      <c r="A72" s="156">
        <v>60</v>
      </c>
      <c r="B72" s="200">
        <f t="shared" si="1"/>
        <v>208.04167276892102</v>
      </c>
      <c r="C72" s="200">
        <f t="shared" si="2"/>
        <v>208.04167276891357</v>
      </c>
      <c r="D72" s="200">
        <f t="shared" si="5"/>
        <v>3.1850078519705263</v>
      </c>
      <c r="E72" s="201">
        <f t="shared" si="3"/>
        <v>211.22668062088411</v>
      </c>
      <c r="F72" s="200">
        <f t="shared" si="0"/>
        <v>7.4464878707658499E-12</v>
      </c>
      <c r="G72" s="200">
        <f t="shared" si="4"/>
        <v>0.95550235559115781</v>
      </c>
    </row>
  </sheetData>
  <mergeCells count="2">
    <mergeCell ref="A11:G11"/>
    <mergeCell ref="I12:O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15</vt:i4>
      </vt:variant>
    </vt:vector>
  </HeadingPairs>
  <TitlesOfParts>
    <vt:vector size="15" baseType="lpstr">
      <vt:lpstr>TERREN Y OBR CIV</vt:lpstr>
      <vt:lpstr>MUEB, MAQ, EQUIP</vt:lpstr>
      <vt:lpstr>INVERS FIJ INTANG</vt:lpstr>
      <vt:lpstr>REMUNERACION</vt:lpstr>
      <vt:lpstr>CAP TRABAJ</vt:lpstr>
      <vt:lpstr>COSTO PROD Y OPER</vt:lpstr>
      <vt:lpstr>INVERSION</vt:lpstr>
      <vt:lpstr>FINANCIAMIENT</vt:lpstr>
      <vt:lpstr>SERV. DEUD</vt:lpstr>
      <vt:lpstr>DEPRECIAC</vt:lpstr>
      <vt:lpstr>PPTO DE EGRES</vt:lpstr>
      <vt:lpstr>INGRESOS</vt:lpstr>
      <vt:lpstr>ESTADO GyP</vt:lpstr>
      <vt:lpstr>FLUJO DE CAJA</vt:lpstr>
      <vt:lpstr>ANALISIS SESIB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juani</cp:lastModifiedBy>
  <dcterms:created xsi:type="dcterms:W3CDTF">2024-02-21T20:06:04Z</dcterms:created>
  <dcterms:modified xsi:type="dcterms:W3CDTF">2024-03-10T00:40:07Z</dcterms:modified>
</cp:coreProperties>
</file>