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14B25611-117E-0F42-B5EB-7089E14A1841}" xr6:coauthVersionLast="47" xr6:coauthVersionMax="47" xr10:uidLastSave="{00000000-0000-0000-0000-000000000000}"/>
  <bookViews>
    <workbookView xWindow="0" yWindow="0" windowWidth="25600" windowHeight="28800" activeTab="5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Sampling &amp; Confidence Intervals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14" i="9" l="1"/>
  <c r="C17" i="9"/>
  <c r="C19" i="9" s="1"/>
  <c r="C20" i="9" s="1"/>
  <c r="C14" i="9"/>
  <c r="D15" i="9"/>
  <c r="C15" i="9"/>
  <c r="B17" i="9"/>
  <c r="B16" i="9"/>
  <c r="D6" i="8"/>
  <c r="D7" i="8"/>
  <c r="E6" i="8"/>
  <c r="C57" i="8"/>
  <c r="C56" i="8"/>
  <c r="C58" i="8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2" i="6"/>
  <c r="D116" i="6" s="1"/>
  <c r="D115" i="6"/>
  <c r="B86" i="6"/>
  <c r="B88" i="6"/>
  <c r="B87" i="6"/>
  <c r="B85" i="6"/>
  <c r="B81" i="6"/>
  <c r="C58" i="6"/>
  <c r="C73" i="6"/>
  <c r="C40" i="6"/>
  <c r="B67" i="6"/>
  <c r="B19" i="6"/>
  <c r="B20" i="6"/>
  <c r="B18" i="6"/>
  <c r="F23" i="6" s="1"/>
  <c r="F37" i="6"/>
  <c r="C39" i="6"/>
  <c r="C38" i="6"/>
  <c r="C37" i="6"/>
  <c r="C72" i="6"/>
  <c r="C71" i="6"/>
  <c r="C70" i="6"/>
  <c r="C56" i="6"/>
  <c r="C57" i="6"/>
  <c r="C55" i="6"/>
  <c r="D101" i="6"/>
  <c r="D102" i="6"/>
  <c r="D100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3" i="3"/>
  <c r="G219" i="2"/>
  <c r="G218" i="2"/>
  <c r="D167" i="3"/>
  <c r="D164" i="3"/>
  <c r="D166" i="3"/>
  <c r="G217" i="2"/>
  <c r="C18" i="9" l="1"/>
  <c r="B18" i="9"/>
  <c r="B19" i="9" s="1"/>
  <c r="B20" i="9" s="1"/>
  <c r="D11" i="8"/>
  <c r="E7" i="8"/>
  <c r="E11" i="8"/>
  <c r="E10" i="8"/>
  <c r="E12" i="8" s="1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7" i="6"/>
  <c r="D118" i="6"/>
  <c r="C87" i="6"/>
  <c r="C24" i="6"/>
  <c r="C25" i="6"/>
  <c r="C26" i="6"/>
  <c r="C23" i="6"/>
  <c r="C85" i="6"/>
  <c r="C84" i="6"/>
  <c r="C86" i="6"/>
  <c r="D103" i="6"/>
  <c r="C8" i="6"/>
  <c r="D8" i="6" s="1"/>
  <c r="C7" i="6"/>
  <c r="D7" i="6" s="1"/>
  <c r="C4" i="6"/>
  <c r="D4" i="6" s="1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9" i="6" l="1"/>
  <c r="E6" i="6" s="1"/>
  <c r="C9" i="6"/>
  <c r="D223" i="2"/>
  <c r="E8" i="6" l="1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3" i="2"/>
  <c r="G214" i="2"/>
  <c r="G216" i="2"/>
  <c r="G211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8" i="2"/>
  <c r="C19" i="2"/>
  <c r="C20" i="2"/>
  <c r="C21" i="2"/>
  <c r="C14" i="2" l="1"/>
  <c r="D19" i="2" l="1"/>
  <c r="D21" i="2"/>
  <c r="D18" i="2"/>
  <c r="D20" i="2"/>
  <c r="B57" i="2" l="1"/>
  <c r="E18" i="2"/>
  <c r="E19" i="2" s="1"/>
  <c r="E20" i="2" s="1"/>
  <c r="E21" i="2" s="1"/>
  <c r="D162" i="3"/>
  <c r="D165" i="3"/>
  <c r="D16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<sst xmlns="http://schemas.openxmlformats.org/spreadsheetml/2006/main" count="419" uniqueCount="262">
  <si>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</si>
  <si>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</si>
  <si>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</si>
  <si>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</si>
  <si>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</si>
  <si>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</si>
  <si>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</si>
  <si>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</si>
  <si>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</si>
  <si>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</si>
  <si>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</si>
  <si>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</si>
  <si>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</si>
  <si>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</si>
  <si>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</si>
  <si>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</si>
  <si>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</si>
  <si>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</si>
  <si>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</si>
  <si>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</si>
  <si>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</si>
  <si>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</si>
  <si>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</si>
  <si>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</si>
  <si>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</si>
  <si>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</si>
  <si>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</si>
  <si>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</si>
  <si>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</si>
  <si>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</si>
  <si>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</si>
  <si>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</si>
  <si>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</si>
  <si>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</si>
  <si>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</si>
  <si>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</si>
  <si>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</si>
  <si>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</si>
  <si>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</si>
  <si>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</si>
  <si>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</si>
  <si>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</si>
  <si>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</si>
  <si>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</si>
  <si>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</si>
  <si>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</si>
  <si>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</si>
  <si>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</si>
  <si>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</si>
  <si>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</si>
  <si>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</si>
  <si>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</si>
  <si>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</si>
  <si>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</si>
  <si>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</si>
  <si>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</si>
  <si>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</si>
  <si>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</si>
  <si>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</si>
  <si>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</si>
  <si>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</si>
  <si>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</si>
  <si>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</si>
  <si>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</si>
  <si>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</si>
  <si>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</si>
  <si>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</si>
  <si>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</si>
  <si>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</si>
  <si>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</si>
  <si>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</si>
  <si>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</si>
  <si>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</si>
  <si>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</si>
  <si>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</si>
  <si>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</si>
  <si>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</si>
  <si>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</si>
  <si>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</si>
  <si>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</si>
  <si>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</si>
  <si>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</si>
  <si>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</si>
  <si>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</si>
  <si>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</si>
  <si>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</si>
  <si>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</si>
  <si>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</si>
  <si>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</si>
  <si>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</si>
  <si>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</si>
  <si>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</si>
  <si>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</si>
  <si>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</si>
  <si>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</si>
  <si>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</si>
  <si>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</si>
  <si>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</si>
  <si>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</si>
  <si>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</si>
  <si>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</si>
  <si>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</si>
  <si>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</si>
  <si>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</si>
  <si>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</si>
  <si>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</si>
  <si>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</si>
  <si>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</si>
  <si>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</si>
  <si>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</si>
  <si>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</si>
  <si>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</si>
  <si>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</si>
  <si>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</si>
  <si>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</si>
  <si>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</si>
  <si>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</si>
  <si>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</si>
  <si>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</si>
  <si>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</si>
  <si>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</si>
  <si>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</si>
  <si>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</si>
  <si>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</si>
  <si>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</si>
  <si>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</si>
  <si>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</si>
  <si>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</si>
  <si>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</si>
  <si>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</si>
  <si>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</si>
  <si>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</si>
  <si>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</si>
  <si>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</si>
  <si>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</si>
  <si>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</si>
  <si>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</si>
  <si>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</si>
  <si>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</si>
  <si>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</si>
  <si>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</si>
  <si>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</si>
  <si>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</si>
  <si>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</si>
  <si>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</si>
  <si>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</si>
  <si>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</si>
  <si>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</si>
  <si>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</si>
  <si>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</si>
  <si>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</si>
  <si>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</si>
  <si>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</si>
  <si>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</si>
  <si>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</si>
  <si>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</si>
  <si>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</si>
  <si>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</si>
  <si>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</si>
  <si>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</si>
  <si>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</si>
  <si>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</si>
  <si>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</si>
  <si>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</si>
  <si>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</si>
  <si>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</si>
  <si>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</si>
  <si>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Outcome</t>
  </si>
  <si>
    <t>Std Dev</t>
  </si>
  <si>
    <t>p</t>
  </si>
  <si>
    <t>std dev</t>
  </si>
  <si>
    <t>variance</t>
  </si>
  <si>
    <t>Datatset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</si>
  <si>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</si>
  <si>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</si>
  <si>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</si>
  <si>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</si>
  <si>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</si>
  <si>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</si>
  <si>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</si>
  <si>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</si>
  <si>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</si>
  <si>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</si>
  <si>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</si>
  <si>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</si>
  <si>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</si>
  <si>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</si>
  <si>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</si>
  <si>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</si>
  <si>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</si>
  <si>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</si>
  <si>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</si>
  <si>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</si>
  <si>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</si>
  <si>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</si>
  <si>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</si>
  <si>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</si>
  <si>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</si>
  <si>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</si>
  <si>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</si>
  <si>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</si>
  <si>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</si>
  <si>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</si>
  <si>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</si>
  <si>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</si>
  <si>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</si>
  <si>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</si>
  <si>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</si>
  <si>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</si>
  <si>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</si>
  <si>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</si>
  <si>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</si>
  <si>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</si>
  <si>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</si>
  <si>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</si>
  <si>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</si>
  <si>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</si>
  <si>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</si>
  <si>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</si>
  <si>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</si>
  <si>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</si>
  <si>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</si>
  <si>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</si>
  <si>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</si>
  <si>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</si>
  <si>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</si>
  <si>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</si>
  <si>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</si>
  <si>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</si>
  <si>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</si>
  <si>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</si>
  <si>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</si>
  <si>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</si>
  <si>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</si>
  <si>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</si>
  <si>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</si>
  <si>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</si>
  <si>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</si>
  <si>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</si>
  <si>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</si>
  <si>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</si>
  <si>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</si>
  <si>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Normal Distribution Sampling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</si>
  <si>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</si>
  <si>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</si>
  <si>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</si>
  <si>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</si>
  <si>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</si>
  <si>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</si>
  <si>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</si>
  <si>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# tail test</t>
  </si>
  <si>
    <t>hypothesis</t>
  </si>
  <si>
    <t>test statistic</t>
  </si>
  <si>
    <t>statistic z-test</t>
  </si>
  <si>
    <t>sample std deviation</t>
  </si>
  <si>
    <t xml:space="preserve"> std deviation</t>
  </si>
  <si>
    <t>Z Distribution</t>
  </si>
  <si>
    <t>T Distribution</t>
  </si>
  <si>
    <t xml:space="preserve">statistic test </t>
  </si>
  <si>
    <t>statistics t-test</t>
  </si>
  <si>
    <t>critical score (one tail)</t>
  </si>
  <si>
    <t>critical score (two tail)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</si>
</sst>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</numFmts>
  <fonts count="15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55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right" vertical="center"/>
    </xf>
    <xf numFmtId="166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0" fillId="3" borderId="1" xfId="0" applyFont="1" applyFill="1" applyBorder="1"/>
    <xf numFmtId="167" fontId="9" fillId="0" borderId="2" xfId="1" applyNumberFormat="1" applyFont="1" applyBorder="1"/>
    <xf numFmtId="0" fontId="13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3" fontId="9" fillId="0" borderId="0" xfId="0" applyNumberFormat="1" applyFont="1" applyAlignment="1">
      <alignment horizontal="center" vertical="center"/>
    </xf>
    <xf numFmtId="4" fontId="9" fillId="0" borderId="0" xfId="0" applyNumberFormat="1" applyFont="1"/>
    <xf numFmtId="0" fontId="14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" fontId="9" fillId="4" borderId="2" xfId="0" applyNumberFormat="1" applyFont="1" applyFill="1" applyBorder="1"/>
    <xf numFmtId="4" fontId="9" fillId="4" borderId="2" xfId="0" applyNumberFormat="1" applyFont="1" applyFill="1" applyBorder="1" applyAlignment="1">
      <alignment horizontal="right" vertical="center"/>
    </xf>
    <xf numFmtId="0" fontId="9" fillId="4" borderId="2" xfId="0" applyFont="1" applyFill="1" applyBorder="1" applyAlignment="1">
      <alignment horizontal="right"/>
    </xf>
    <xf numFmtId="2" fontId="9" fillId="4" borderId="2" xfId="0" applyNumberFormat="1" applyFont="1" applyFill="1" applyBorder="1"/>
    <xf numFmtId="164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/>
    <xf numFmtId="2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0" fontId="9" fillId="4" borderId="2" xfId="0" applyFont="1" applyFill="1" applyBorder="1" applyAlignment="1">
      <alignment horizontal="right" vertical="center" wrapText="1"/>
    </xf>
    <xf numFmtId="166" fontId="9" fillId="4" borderId="2" xfId="0" applyNumberFormat="1" applyFont="1" applyFill="1" applyBorder="1" applyAlignment="1">
      <alignment horizontal="right" vertical="center"/>
    </xf>
    <xf numFmtId="168" fontId="9" fillId="4" borderId="2" xfId="0" applyNumberFormat="1" applyFont="1" applyFill="1" applyBorder="1"/>
    <xf numFmtId="168" fontId="9" fillId="4" borderId="2" xfId="2" applyNumberFormat="1" applyFont="1" applyFill="1" applyBorder="1"/>
    <xf numFmtId="166" fontId="9" fillId="4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right" vertic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4" borderId="0" xfId="0" applyFont="1" applyFill="1"/>
    <xf numFmtId="0" fontId="12" fillId="4" borderId="0" xfId="0" applyFont="1" applyFill="1"/>
    <xf numFmtId="0" fontId="9" fillId="4" borderId="5" xfId="0" applyFont="1" applyFill="1" applyBorder="1" applyAlignment="1">
      <alignment horizontal="right" vertical="center"/>
    </xf>
    <xf numFmtId="0" fontId="9" fillId="4" borderId="6" xfId="0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horizontal="right" vertical="center"/>
    </xf>
    <xf numFmtId="166" fontId="9" fillId="4" borderId="6" xfId="0" applyNumberFormat="1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vertical="center"/>
    </xf>
    <xf numFmtId="166" fontId="9" fillId="4" borderId="6" xfId="0" applyNumberFormat="1" applyFont="1" applyFill="1" applyBorder="1" applyAlignment="1">
      <alignment vertical="center"/>
    </xf>
    <xf numFmtId="3" fontId="9" fillId="0" borderId="2" xfId="0" applyNumberFormat="1" applyFont="1" applyBorder="1" applyAlignment="1">
      <alignment horizontal="right" vertical="center"/>
    </xf>
    <xf numFmtId="4" fontId="9" fillId="0" borderId="2" xfId="0" applyNumberFormat="1" applyFont="1" applyBorder="1" applyAlignment="1">
      <alignment horizontal="right" vertical="center"/>
    </xf>
    <xf numFmtId="0" fontId="9" fillId="4" borderId="2" xfId="0" applyFont="1" applyFill="1" applyBorder="1"/>
    <xf numFmtId="164" fontId="9" fillId="4" borderId="2" xfId="0" applyNumberFormat="1" applyFont="1" applyFill="1" applyBorder="1" applyAlignment="1">
      <alignment horizontal="right" vertical="center"/>
    </xf>
    <xf numFmtId="44" fontId="9" fillId="4" borderId="2" xfId="0" applyNumberFormat="1" applyFont="1" applyFill="1" applyBorder="1" applyAlignment="1">
      <alignment horizontal="center" vertical="center"/>
    </xf>
    <xf numFmtId="44" fontId="9" fillId="4" borderId="2" xfId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/>
    </xf>
    <xf numFmtId="2" fontId="9" fillId="0" borderId="2" xfId="0" applyNumberFormat="1" applyFont="1" applyFill="1" applyBorder="1" applyAlignment="1">
      <alignment horizontal="right"/>
    </xf>
    <xf numFmtId="0" fontId="9" fillId="0" borderId="2" xfId="0" applyFont="1" applyFill="1" applyBorder="1"/>
    <xf numFmtId="0" fontId="9" fillId="0" borderId="2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 vertical="center"/>
    </xf>
    <xf numFmtId="0" fontId="9" fillId="0" borderId="1" xfId="0" applyFont="1" applyFill="1" applyBorder="1"/>
    <xf numFmtId="166" fontId="9" fillId="0" borderId="1" xfId="0" applyNumberFormat="1" applyFont="1" applyFill="1" applyBorder="1" applyAlignment="1">
      <alignment horizontal="right" vertical="center"/>
    </xf>
    <xf numFmtId="164" fontId="9" fillId="0" borderId="2" xfId="0" applyNumberFormat="1" applyFont="1" applyFill="1" applyBorder="1" applyAlignment="1">
      <alignment horizontal="right"/>
    </xf>
    <xf numFmtId="164" fontId="9" fillId="0" borderId="2" xfId="0" applyNumberFormat="1" applyFont="1" applyFill="1" applyBorder="1"/>
    <xf numFmtId="0" fontId="9" fillId="4" borderId="3" xfId="0" applyFont="1" applyFill="1" applyBorder="1" applyAlignment="1">
      <alignment horizontal="right" vertical="center"/>
    </xf>
    <xf numFmtId="0" fontId="9" fillId="4" borderId="3" xfId="0" applyFont="1" applyFill="1" applyBorder="1" applyAlignment="1">
      <alignment horizontal="right"/>
    </xf>
    <xf numFmtId="166" fontId="9" fillId="4" borderId="4" xfId="0" applyNumberFormat="1" applyFont="1" applyFill="1" applyBorder="1"/>
    <xf numFmtId="0" fontId="6" fillId="4" borderId="2" xfId="0" applyFont="1" applyFill="1" applyBorder="1" applyAlignment="1">
      <alignment horizontal="center" vertical="center"/>
    </xf>
    <xf numFmtId="166" fontId="9" fillId="4" borderId="3" xfId="0" applyNumberFormat="1" applyFont="1" applyFill="1" applyBorder="1" applyAlignment="1">
      <alignment horizontal="center"/>
    </xf>
    <xf numFmtId="166" fontId="9" fillId="4" borderId="4" xfId="0" applyNumberFormat="1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24">
        <f>_xlfn.COVARIANCE.S(E3:E7,F3:F7)</f>
        <v>10.25</v>
      </c>
      <c r="D17" s="125"/>
    </row>
    <row r="18" spans="2:4" ht="15.75" customHeight="1" x14ac:dyDescent="0.2">
      <c r="B18" s="58" t="s">
        <v>164</v>
      </c>
      <c r="C18" s="124">
        <f>CORREL(E3:E7,F3:F7)</f>
        <v>0.67770909502996846</v>
      </c>
      <c r="D18" s="125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topLeftCell="A12"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18"/>
  <sheetViews>
    <sheetView workbookViewId="0">
      <selection activeCell="D22" sqref="D22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26" t="s">
        <v>195</v>
      </c>
      <c r="B1" s="126"/>
      <c r="C1" s="126"/>
      <c r="D1" s="126"/>
      <c r="E1" s="126"/>
      <c r="F1" s="126"/>
      <c r="G1" s="126"/>
    </row>
    <row r="3" spans="1:8" x14ac:dyDescent="0.2">
      <c r="A3" s="77" t="s">
        <v>167</v>
      </c>
      <c r="B3" s="77" t="s">
        <v>172</v>
      </c>
      <c r="C3" s="109" t="s">
        <v>109</v>
      </c>
      <c r="D3" s="108" t="s">
        <v>35</v>
      </c>
      <c r="E3" s="108" t="s">
        <v>168</v>
      </c>
      <c r="F3" s="79"/>
      <c r="G3" s="80"/>
      <c r="H3" s="79"/>
    </row>
    <row r="4" spans="1:8" x14ac:dyDescent="0.2">
      <c r="A4" s="81">
        <v>1</v>
      </c>
      <c r="B4" s="78">
        <v>75</v>
      </c>
      <c r="C4" s="114">
        <f>B4/$B$9</f>
        <v>0.75</v>
      </c>
      <c r="D4" s="137">
        <f>A4*C4</f>
        <v>0.75</v>
      </c>
      <c r="E4" s="137">
        <f>((A4-$D$9)^2)*C4</f>
        <v>3.2448000000000006</v>
      </c>
      <c r="F4" s="79"/>
      <c r="G4" s="80"/>
      <c r="H4" s="79"/>
    </row>
    <row r="5" spans="1:8" x14ac:dyDescent="0.2">
      <c r="A5" s="81">
        <v>2</v>
      </c>
      <c r="B5" s="78">
        <v>13</v>
      </c>
      <c r="C5" s="114">
        <f t="shared" ref="C5:C8" si="0">B5/$B$9</f>
        <v>0.13</v>
      </c>
      <c r="D5" s="137">
        <f t="shared" ref="D5:D8" si="1">A5*C5</f>
        <v>0.26</v>
      </c>
      <c r="E5" s="137">
        <f t="shared" ref="E5:E8" si="2">((A5-$D$9)^2)*C5</f>
        <v>0.15163200000000002</v>
      </c>
      <c r="F5" s="79"/>
      <c r="G5" s="79"/>
      <c r="H5" s="79"/>
    </row>
    <row r="6" spans="1:8" x14ac:dyDescent="0.2">
      <c r="A6" s="81">
        <v>3</v>
      </c>
      <c r="B6" s="78">
        <v>18</v>
      </c>
      <c r="C6" s="114">
        <f t="shared" si="0"/>
        <v>0.18</v>
      </c>
      <c r="D6" s="137">
        <f t="shared" si="1"/>
        <v>0.54</v>
      </c>
      <c r="E6" s="137">
        <f t="shared" si="2"/>
        <v>1.152000000000002E-3</v>
      </c>
      <c r="F6" s="79"/>
      <c r="G6" s="79"/>
      <c r="H6" s="79"/>
    </row>
    <row r="7" spans="1:8" x14ac:dyDescent="0.2">
      <c r="A7" s="81">
        <v>4</v>
      </c>
      <c r="B7" s="78">
        <v>17</v>
      </c>
      <c r="C7" s="114">
        <f t="shared" si="0"/>
        <v>0.17</v>
      </c>
      <c r="D7" s="137">
        <f t="shared" si="1"/>
        <v>0.68</v>
      </c>
      <c r="E7" s="137">
        <f t="shared" si="2"/>
        <v>0.14388799999999999</v>
      </c>
      <c r="F7" s="79"/>
      <c r="G7" s="82"/>
      <c r="H7" s="79"/>
    </row>
    <row r="8" spans="1:8" x14ac:dyDescent="0.2">
      <c r="A8" s="81">
        <v>5</v>
      </c>
      <c r="B8" s="78">
        <v>17</v>
      </c>
      <c r="C8" s="114">
        <f t="shared" si="0"/>
        <v>0.17</v>
      </c>
      <c r="D8" s="137">
        <f t="shared" si="1"/>
        <v>0.85000000000000009</v>
      </c>
      <c r="E8" s="137">
        <f t="shared" si="2"/>
        <v>0.62668800000000002</v>
      </c>
      <c r="F8" s="79"/>
      <c r="G8" s="82"/>
      <c r="H8" s="79"/>
    </row>
    <row r="9" spans="1:8" x14ac:dyDescent="0.2">
      <c r="B9" s="85">
        <v>100</v>
      </c>
      <c r="C9" s="123">
        <f t="shared" ref="C9" si="3">SUM(C4:C8)</f>
        <v>1.4</v>
      </c>
      <c r="D9" s="137">
        <f>SUM(D4:D8)</f>
        <v>3.08</v>
      </c>
      <c r="E9" s="137">
        <f>SQRT(SUM(E4:E8))</f>
        <v>2.0416072100186167</v>
      </c>
      <c r="F9" s="79"/>
      <c r="G9" s="82"/>
      <c r="H9" s="79"/>
    </row>
    <row r="10" spans="1:8" x14ac:dyDescent="0.2">
      <c r="B10" s="93"/>
      <c r="C10" s="93"/>
      <c r="D10" s="94"/>
      <c r="E10" s="94"/>
      <c r="F10" s="79"/>
      <c r="G10" s="82"/>
      <c r="H10" s="79"/>
    </row>
    <row r="11" spans="1:8" x14ac:dyDescent="0.2">
      <c r="B11" s="93"/>
      <c r="C11" s="93"/>
      <c r="D11" s="94"/>
      <c r="E11" s="94"/>
      <c r="F11" s="79"/>
      <c r="G11" s="82"/>
      <c r="H11" s="79"/>
    </row>
    <row r="12" spans="1:8" x14ac:dyDescent="0.2">
      <c r="B12" s="93"/>
      <c r="C12" s="93"/>
      <c r="D12" s="94"/>
      <c r="E12" s="94"/>
      <c r="F12" s="79"/>
      <c r="G12" s="82"/>
      <c r="H12" s="79"/>
    </row>
    <row r="13" spans="1:8" x14ac:dyDescent="0.2">
      <c r="B13" s="93"/>
      <c r="C13" s="93"/>
      <c r="D13" s="94"/>
      <c r="E13" s="94"/>
      <c r="F13" s="79"/>
      <c r="G13" s="82"/>
      <c r="H13" s="79"/>
    </row>
    <row r="14" spans="1:8" ht="25" x14ac:dyDescent="0.25">
      <c r="A14" s="126" t="s">
        <v>194</v>
      </c>
      <c r="B14" s="126"/>
      <c r="C14" s="126"/>
      <c r="D14" s="126"/>
      <c r="E14" s="126"/>
      <c r="F14" s="126"/>
      <c r="G14" s="126"/>
      <c r="H14" s="79"/>
    </row>
    <row r="15" spans="1:8" x14ac:dyDescent="0.2">
      <c r="B15" s="93"/>
      <c r="C15" s="93"/>
      <c r="D15" s="94"/>
      <c r="E15" s="94"/>
      <c r="F15" s="79"/>
      <c r="G15" s="82"/>
      <c r="H15" s="79"/>
    </row>
    <row r="16" spans="1:8" x14ac:dyDescent="0.2">
      <c r="A16" s="83" t="s">
        <v>191</v>
      </c>
      <c r="B16" s="83">
        <v>20</v>
      </c>
      <c r="C16" s="93"/>
      <c r="D16" s="94"/>
      <c r="E16" s="94"/>
      <c r="F16" s="79"/>
      <c r="G16" s="82"/>
      <c r="H16" s="79"/>
    </row>
    <row r="17" spans="1:8" x14ac:dyDescent="0.2">
      <c r="A17" s="83" t="s">
        <v>192</v>
      </c>
      <c r="B17" s="95">
        <v>42</v>
      </c>
      <c r="C17" s="93"/>
      <c r="D17" s="94"/>
      <c r="E17" s="94"/>
      <c r="F17" s="79"/>
      <c r="G17" s="82"/>
      <c r="H17" s="79"/>
    </row>
    <row r="18" spans="1:8" x14ac:dyDescent="0.2">
      <c r="A18" s="83" t="s">
        <v>202</v>
      </c>
      <c r="B18" s="88">
        <f>1/(B17-B16)</f>
        <v>4.5454545454545456E-2</v>
      </c>
      <c r="C18" s="93"/>
      <c r="D18" s="94"/>
      <c r="E18" s="94"/>
      <c r="F18" s="79"/>
      <c r="G18" s="82"/>
      <c r="H18" s="79"/>
    </row>
    <row r="19" spans="1:8" x14ac:dyDescent="0.2">
      <c r="A19" s="83" t="s">
        <v>74</v>
      </c>
      <c r="B19" s="86">
        <f>(B17+B16)/2</f>
        <v>31</v>
      </c>
      <c r="C19" s="93"/>
      <c r="D19" s="94"/>
      <c r="E19" s="94"/>
      <c r="F19" s="79"/>
      <c r="G19" s="82"/>
      <c r="H19" s="79"/>
    </row>
    <row r="20" spans="1:8" x14ac:dyDescent="0.2">
      <c r="A20" s="83" t="s">
        <v>170</v>
      </c>
      <c r="B20" s="86">
        <f>(B17-B16)/SQRT(12)</f>
        <v>6.3508529610858835</v>
      </c>
      <c r="C20" s="93"/>
      <c r="D20" s="94"/>
      <c r="E20" s="94"/>
      <c r="F20" s="79"/>
      <c r="G20" s="82"/>
      <c r="H20" s="79"/>
    </row>
    <row r="21" spans="1:8" x14ac:dyDescent="0.2">
      <c r="B21" s="93"/>
      <c r="C21" s="97" t="s">
        <v>205</v>
      </c>
      <c r="D21" s="94"/>
      <c r="E21" s="94"/>
      <c r="F21" s="79"/>
      <c r="G21" s="82"/>
      <c r="H21" s="79"/>
    </row>
    <row r="22" spans="1:8" x14ac:dyDescent="0.2">
      <c r="A22" s="109" t="s">
        <v>187</v>
      </c>
      <c r="B22" s="140" t="s">
        <v>182</v>
      </c>
      <c r="C22" s="109" t="s">
        <v>189</v>
      </c>
      <c r="D22" s="94"/>
      <c r="E22" s="136" t="s">
        <v>200</v>
      </c>
      <c r="F22" s="136" t="s">
        <v>203</v>
      </c>
      <c r="G22" s="82"/>
      <c r="H22" s="79"/>
    </row>
    <row r="23" spans="1:8" x14ac:dyDescent="0.2">
      <c r="A23" s="112" t="s">
        <v>184</v>
      </c>
      <c r="B23" s="143">
        <v>24</v>
      </c>
      <c r="C23" s="115">
        <f>$B$18*0</f>
        <v>0</v>
      </c>
      <c r="D23" s="94"/>
      <c r="E23" s="136">
        <v>70</v>
      </c>
      <c r="F23" s="113">
        <f>((E23/100)/B18) + B16</f>
        <v>35.4</v>
      </c>
      <c r="G23" s="82"/>
      <c r="H23" s="79"/>
    </row>
    <row r="24" spans="1:8" x14ac:dyDescent="0.2">
      <c r="A24" s="116" t="s">
        <v>185</v>
      </c>
      <c r="B24" s="143">
        <v>31</v>
      </c>
      <c r="C24" s="115">
        <f>$B$18*(B24-B16)</f>
        <v>0.5</v>
      </c>
      <c r="F24" s="79"/>
      <c r="G24" s="82"/>
      <c r="H24" s="79"/>
    </row>
    <row r="25" spans="1:8" x14ac:dyDescent="0.2">
      <c r="A25" s="112" t="s">
        <v>186</v>
      </c>
      <c r="B25" s="143">
        <v>28</v>
      </c>
      <c r="C25" s="115">
        <f>$B$18*($B$17-B25)</f>
        <v>0.63636363636363635</v>
      </c>
      <c r="F25" s="79"/>
      <c r="G25" s="82"/>
      <c r="H25" s="79"/>
    </row>
    <row r="26" spans="1:8" x14ac:dyDescent="0.2">
      <c r="A26" s="128" t="s">
        <v>201</v>
      </c>
      <c r="B26" s="143">
        <v>29</v>
      </c>
      <c r="C26" s="130">
        <f>$B$18*($B$17-B26) - $B$18*($B$17-B27)</f>
        <v>0.36363636363636365</v>
      </c>
      <c r="F26" s="79"/>
      <c r="G26" s="82"/>
      <c r="H26" s="79"/>
    </row>
    <row r="27" spans="1:8" x14ac:dyDescent="0.2">
      <c r="A27" s="129"/>
      <c r="B27" s="142">
        <v>37</v>
      </c>
      <c r="C27" s="131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27" t="s">
        <v>197</v>
      </c>
      <c r="B30" s="127"/>
      <c r="C30" s="127"/>
      <c r="D30" s="127"/>
      <c r="E30" s="127"/>
      <c r="F30" s="127"/>
      <c r="G30" s="127"/>
      <c r="H30" s="79"/>
    </row>
    <row r="31" spans="1:8" x14ac:dyDescent="0.2">
      <c r="F31" s="79"/>
      <c r="G31" s="82"/>
      <c r="H31" s="79"/>
    </row>
    <row r="32" spans="1:8" x14ac:dyDescent="0.2">
      <c r="A32" s="83" t="s">
        <v>74</v>
      </c>
      <c r="B32" s="84">
        <v>692</v>
      </c>
      <c r="F32" s="79"/>
      <c r="G32" s="82"/>
      <c r="H32" s="79"/>
    </row>
    <row r="33" spans="1:8" x14ac:dyDescent="0.2">
      <c r="A33" s="83" t="s">
        <v>170</v>
      </c>
      <c r="B33" s="84">
        <v>49</v>
      </c>
      <c r="C33" s="79"/>
      <c r="F33" s="79"/>
      <c r="G33" s="82"/>
      <c r="H33" s="79"/>
    </row>
    <row r="34" spans="1:8" x14ac:dyDescent="0.2">
      <c r="A34" s="83" t="s">
        <v>237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9" t="s">
        <v>187</v>
      </c>
      <c r="B36" s="140" t="s">
        <v>182</v>
      </c>
      <c r="C36" s="109" t="s">
        <v>189</v>
      </c>
      <c r="E36" s="136" t="s">
        <v>200</v>
      </c>
      <c r="F36" s="136" t="s">
        <v>204</v>
      </c>
      <c r="G36" s="82"/>
      <c r="H36" s="79"/>
    </row>
    <row r="37" spans="1:8" x14ac:dyDescent="0.2">
      <c r="A37" s="112" t="s">
        <v>184</v>
      </c>
      <c r="B37" s="143">
        <v>170</v>
      </c>
      <c r="C37" s="115">
        <f>_xlfn.NORM.DIST(B37,$B$32,$B$33,FALSE)</f>
        <v>1.849993181041472E-27</v>
      </c>
      <c r="E37" s="136">
        <v>35</v>
      </c>
      <c r="F37" s="113">
        <f>_xlfn.NORM.INV(E37/100, B32, B33)</f>
        <v>673.11929714602923</v>
      </c>
      <c r="G37" s="82"/>
      <c r="H37" s="79"/>
    </row>
    <row r="38" spans="1:8" x14ac:dyDescent="0.2">
      <c r="A38" s="116" t="s">
        <v>185</v>
      </c>
      <c r="B38" s="143">
        <v>170</v>
      </c>
      <c r="C38" s="115">
        <f>_xlfn.NORM.DIST(B38,$B$32,$B$33,TRUE)</f>
        <v>8.4361799794053529E-27</v>
      </c>
      <c r="E38" s="123" t="s">
        <v>235</v>
      </c>
      <c r="F38" s="113">
        <f>B32 - (B34 * B33)</f>
        <v>643</v>
      </c>
      <c r="G38" s="82"/>
      <c r="H38" s="79"/>
    </row>
    <row r="39" spans="1:8" x14ac:dyDescent="0.2">
      <c r="A39" s="112" t="s">
        <v>186</v>
      </c>
      <c r="B39" s="143">
        <v>2300</v>
      </c>
      <c r="C39" s="115">
        <f>(1-_xlfn.NORM.DIST(B39,$B$32,$B$33,TRUE))</f>
        <v>0</v>
      </c>
      <c r="D39" s="91"/>
      <c r="E39" s="119" t="s">
        <v>236</v>
      </c>
      <c r="F39" s="113">
        <f>B32 + (B34 * B33)</f>
        <v>741</v>
      </c>
      <c r="G39" s="82"/>
      <c r="H39" s="79"/>
    </row>
    <row r="40" spans="1:8" x14ac:dyDescent="0.2">
      <c r="A40" s="128" t="s">
        <v>201</v>
      </c>
      <c r="B40" s="143">
        <v>3300</v>
      </c>
      <c r="C40" s="130">
        <f>_xlfn.NORM.DIST(B41,$B$32,$B$33,TRUE) - _xlfn.NORM.DIST(B40,$B$32,$B$33,TRUE)</f>
        <v>0</v>
      </c>
      <c r="F40" s="91"/>
      <c r="G40" s="82"/>
      <c r="H40" s="79"/>
    </row>
    <row r="41" spans="1:8" x14ac:dyDescent="0.2">
      <c r="A41" s="129"/>
      <c r="B41" s="142">
        <v>4200</v>
      </c>
      <c r="C41" s="131"/>
      <c r="F41" s="79"/>
      <c r="G41" s="79"/>
      <c r="H41" s="79"/>
    </row>
    <row r="42" spans="1:8" x14ac:dyDescent="0.2">
      <c r="A42" s="93"/>
      <c r="B42" s="79"/>
      <c r="C42" s="96"/>
      <c r="F42" s="79"/>
      <c r="G42" s="79"/>
      <c r="H42" s="79"/>
    </row>
    <row r="43" spans="1:8" x14ac:dyDescent="0.2">
      <c r="A43" s="93"/>
      <c r="B43" s="79"/>
      <c r="C43" s="96"/>
      <c r="F43" s="79"/>
      <c r="G43" s="79"/>
      <c r="H43" s="79"/>
    </row>
    <row r="44" spans="1:8" x14ac:dyDescent="0.2">
      <c r="F44" s="79"/>
      <c r="G44" s="79"/>
      <c r="H44" s="79"/>
    </row>
    <row r="46" spans="1:8" ht="25" x14ac:dyDescent="0.25">
      <c r="A46" s="127" t="s">
        <v>196</v>
      </c>
      <c r="B46" s="127"/>
      <c r="C46" s="127"/>
      <c r="D46" s="127"/>
      <c r="E46" s="127"/>
      <c r="F46" s="127"/>
      <c r="G46" s="127"/>
    </row>
    <row r="48" spans="1:8" x14ac:dyDescent="0.2">
      <c r="A48" s="83" t="s">
        <v>30</v>
      </c>
      <c r="B48" s="83">
        <v>7</v>
      </c>
    </row>
    <row r="49" spans="1:7" x14ac:dyDescent="0.2">
      <c r="A49" s="83" t="s">
        <v>169</v>
      </c>
      <c r="B49" s="83">
        <v>0.95</v>
      </c>
    </row>
    <row r="50" spans="1:7" x14ac:dyDescent="0.2">
      <c r="A50" s="83" t="s">
        <v>74</v>
      </c>
      <c r="B50" s="83">
        <f>B48*B49</f>
        <v>6.6499999999999995</v>
      </c>
    </row>
    <row r="51" spans="1:7" x14ac:dyDescent="0.2">
      <c r="A51" s="83" t="s">
        <v>171</v>
      </c>
      <c r="B51" s="83">
        <f>B48*(1-B49)*B49</f>
        <v>0.3325000000000003</v>
      </c>
    </row>
    <row r="52" spans="1:7" x14ac:dyDescent="0.2">
      <c r="A52" s="83" t="s">
        <v>170</v>
      </c>
      <c r="B52" s="84">
        <f>SQRT(B51)</f>
        <v>0.57662812973354005</v>
      </c>
    </row>
    <row r="54" spans="1:7" x14ac:dyDescent="0.2">
      <c r="A54" s="109" t="s">
        <v>187</v>
      </c>
      <c r="B54" s="140" t="s">
        <v>182</v>
      </c>
      <c r="C54" s="109" t="s">
        <v>183</v>
      </c>
    </row>
    <row r="55" spans="1:7" x14ac:dyDescent="0.2">
      <c r="A55" s="112" t="s">
        <v>184</v>
      </c>
      <c r="B55" s="143">
        <v>6</v>
      </c>
      <c r="C55" s="115">
        <f>_xlfn.BINOM.DIST(B55,$B$48,$B$49,FALSE)</f>
        <v>0.25728216171875024</v>
      </c>
    </row>
    <row r="56" spans="1:7" x14ac:dyDescent="0.2">
      <c r="A56" s="116" t="s">
        <v>185</v>
      </c>
      <c r="B56" s="143">
        <v>2</v>
      </c>
      <c r="C56" s="115">
        <f>_xlfn.BINOM.DIST(B56,$B$48,$B$49,TRUE)</f>
        <v>6.0273437500000207E-6</v>
      </c>
    </row>
    <row r="57" spans="1:7" x14ac:dyDescent="0.2">
      <c r="A57" s="112" t="s">
        <v>186</v>
      </c>
      <c r="B57" s="143">
        <v>6</v>
      </c>
      <c r="C57" s="115">
        <f>1 - _xlfn.BINOM.DIST(B57,$B$48,$B$49,TRUE)</f>
        <v>0.69833729609374973</v>
      </c>
    </row>
    <row r="58" spans="1:7" x14ac:dyDescent="0.2">
      <c r="A58" s="128" t="s">
        <v>201</v>
      </c>
      <c r="B58" s="143">
        <v>2</v>
      </c>
      <c r="C58" s="130">
        <f>_xlfn.BINOM.DIST(B59,$B$48,$B$49,TRUE) - _xlfn.BINOM.DIST(B58,$B$48,$B$49,TRUE)</f>
        <v>0.30165667656250023</v>
      </c>
    </row>
    <row r="59" spans="1:7" x14ac:dyDescent="0.2">
      <c r="A59" s="129"/>
      <c r="B59" s="142">
        <v>6</v>
      </c>
      <c r="C59" s="131"/>
    </row>
    <row r="60" spans="1:7" x14ac:dyDescent="0.2">
      <c r="A60" s="144"/>
      <c r="B60" s="145"/>
      <c r="C60" s="146"/>
    </row>
    <row r="61" spans="1:7" x14ac:dyDescent="0.2">
      <c r="A61" s="93"/>
      <c r="B61" s="79"/>
      <c r="C61" s="96"/>
    </row>
    <row r="62" spans="1:7" x14ac:dyDescent="0.2">
      <c r="A62" s="80"/>
      <c r="B62" s="80"/>
      <c r="C62" s="91"/>
    </row>
    <row r="64" spans="1:7" ht="25" x14ac:dyDescent="0.25">
      <c r="A64" s="127" t="s">
        <v>198</v>
      </c>
      <c r="B64" s="127"/>
      <c r="C64" s="127"/>
      <c r="D64" s="127"/>
      <c r="E64" s="127"/>
      <c r="F64" s="127"/>
      <c r="G64" s="127"/>
    </row>
    <row r="66" spans="1:7" x14ac:dyDescent="0.2">
      <c r="A66" s="83" t="s">
        <v>193</v>
      </c>
      <c r="B66" s="83">
        <v>14.5</v>
      </c>
    </row>
    <row r="67" spans="1:7" x14ac:dyDescent="0.2">
      <c r="A67" s="83" t="s">
        <v>170</v>
      </c>
      <c r="B67" s="87">
        <f>SQRT(B66)</f>
        <v>3.8078865529319543</v>
      </c>
    </row>
    <row r="69" spans="1:7" x14ac:dyDescent="0.2">
      <c r="A69" s="109" t="s">
        <v>187</v>
      </c>
      <c r="B69" s="140" t="s">
        <v>182</v>
      </c>
      <c r="C69" s="109" t="s">
        <v>188</v>
      </c>
    </row>
    <row r="70" spans="1:7" x14ac:dyDescent="0.2">
      <c r="A70" s="112" t="s">
        <v>184</v>
      </c>
      <c r="B70" s="143">
        <v>5</v>
      </c>
      <c r="C70" s="115">
        <f>_xlfn.POISSON.DIST(B70,$B$66,FALSE)</f>
        <v>2.6939453267530375E-3</v>
      </c>
    </row>
    <row r="71" spans="1:7" x14ac:dyDescent="0.2">
      <c r="A71" s="116" t="s">
        <v>185</v>
      </c>
      <c r="B71" s="143">
        <v>3</v>
      </c>
      <c r="C71" s="115">
        <f>_xlfn.POISSON.DIST(B71,$B$66,TRUE)</f>
        <v>3.1709808559658942E-4</v>
      </c>
    </row>
    <row r="72" spans="1:7" x14ac:dyDescent="0.2">
      <c r="A72" s="112" t="s">
        <v>186</v>
      </c>
      <c r="B72" s="143">
        <v>6</v>
      </c>
      <c r="C72" s="115">
        <f>(1 - _xlfn.POISSON.DIST(B72,$B$66,TRUE))</f>
        <v>0.9895496420502663</v>
      </c>
    </row>
    <row r="73" spans="1:7" x14ac:dyDescent="0.2">
      <c r="A73" s="128" t="s">
        <v>201</v>
      </c>
      <c r="B73" s="143">
        <v>2</v>
      </c>
      <c r="C73" s="130">
        <f>_xlfn.POISSON.DIST(B74,$B$66,TRUE) - _xlfn.POISSON.DIST(B73,$B$66,TRUE)</f>
        <v>3.8791531399499785E-3</v>
      </c>
    </row>
    <row r="74" spans="1:7" x14ac:dyDescent="0.2">
      <c r="A74" s="129"/>
      <c r="B74" s="142">
        <v>5</v>
      </c>
      <c r="C74" s="131"/>
    </row>
    <row r="75" spans="1:7" x14ac:dyDescent="0.2">
      <c r="A75" s="93"/>
      <c r="B75" s="79"/>
      <c r="C75" s="96"/>
    </row>
    <row r="76" spans="1:7" x14ac:dyDescent="0.2">
      <c r="A76" s="93"/>
      <c r="B76" s="79"/>
      <c r="C76" s="96"/>
    </row>
    <row r="77" spans="1:7" x14ac:dyDescent="0.2">
      <c r="A77" s="80"/>
      <c r="B77" s="80"/>
      <c r="C77" s="91"/>
    </row>
    <row r="78" spans="1:7" x14ac:dyDescent="0.2">
      <c r="A78" s="80"/>
      <c r="B78" s="80"/>
      <c r="C78" s="91"/>
    </row>
    <row r="79" spans="1:7" ht="25" x14ac:dyDescent="0.25">
      <c r="A79" s="127" t="s">
        <v>199</v>
      </c>
      <c r="B79" s="127"/>
      <c r="C79" s="127"/>
      <c r="D79" s="127"/>
      <c r="E79" s="127"/>
      <c r="F79" s="127"/>
      <c r="G79" s="127"/>
    </row>
    <row r="80" spans="1:7" x14ac:dyDescent="0.2">
      <c r="B80" s="80"/>
      <c r="C80" s="91"/>
    </row>
    <row r="81" spans="1:7" x14ac:dyDescent="0.2">
      <c r="A81" s="83" t="s">
        <v>74</v>
      </c>
      <c r="B81" s="84">
        <f>6/5</f>
        <v>1.2</v>
      </c>
      <c r="C81" s="91"/>
    </row>
    <row r="82" spans="1:7" x14ac:dyDescent="0.2">
      <c r="B82" s="80"/>
      <c r="C82" s="91"/>
    </row>
    <row r="83" spans="1:7" x14ac:dyDescent="0.2">
      <c r="A83" s="109" t="s">
        <v>187</v>
      </c>
      <c r="B83" s="140" t="s">
        <v>182</v>
      </c>
      <c r="C83" s="109" t="s">
        <v>190</v>
      </c>
    </row>
    <row r="84" spans="1:7" x14ac:dyDescent="0.2">
      <c r="A84" s="112" t="s">
        <v>184</v>
      </c>
      <c r="B84" s="141">
        <v>1</v>
      </c>
      <c r="C84" s="115">
        <f>_xlfn.EXPON.DIST(B84,$B$81,FALSE)</f>
        <v>0.36143305429464256</v>
      </c>
    </row>
    <row r="85" spans="1:7" x14ac:dyDescent="0.2">
      <c r="A85" s="116" t="s">
        <v>185</v>
      </c>
      <c r="B85" s="141">
        <f>2.2/6</f>
        <v>0.3666666666666667</v>
      </c>
      <c r="C85" s="115">
        <f>_xlfn.EXPON.DIST(B85,$B$81,TRUE)</f>
        <v>0.35596357891685859</v>
      </c>
      <c r="E85" s="92"/>
    </row>
    <row r="86" spans="1:7" x14ac:dyDescent="0.2">
      <c r="A86" s="112" t="s">
        <v>186</v>
      </c>
      <c r="B86" s="141">
        <f>2.7/6</f>
        <v>0.45</v>
      </c>
      <c r="C86" s="115">
        <f>1 - _xlfn.EXPON.DIST(B86,$B$81,TRUE)</f>
        <v>0.58274825237398964</v>
      </c>
    </row>
    <row r="87" spans="1:7" x14ac:dyDescent="0.2">
      <c r="A87" s="128" t="s">
        <v>201</v>
      </c>
      <c r="B87" s="141">
        <f>2.1/6</f>
        <v>0.35000000000000003</v>
      </c>
      <c r="C87" s="130">
        <f>_xlfn.EXPON.DIST(B88,$B$81,TRUE) - _xlfn.EXPON.DIST(B87,$B$81,TRUE)</f>
        <v>0.25047716007445753</v>
      </c>
    </row>
    <row r="88" spans="1:7" x14ac:dyDescent="0.2">
      <c r="A88" s="129"/>
      <c r="B88" s="142">
        <f>4.5/6</f>
        <v>0.75</v>
      </c>
      <c r="C88" s="131"/>
    </row>
    <row r="89" spans="1:7" x14ac:dyDescent="0.2">
      <c r="A89" s="93"/>
      <c r="B89" s="79"/>
      <c r="C89" s="96"/>
    </row>
    <row r="90" spans="1:7" x14ac:dyDescent="0.2">
      <c r="A90" s="93"/>
      <c r="B90" s="79"/>
      <c r="C90" s="96"/>
    </row>
    <row r="91" spans="1:7" x14ac:dyDescent="0.2">
      <c r="A91" s="93"/>
      <c r="B91" s="79"/>
      <c r="C91" s="96"/>
    </row>
    <row r="92" spans="1:7" x14ac:dyDescent="0.2">
      <c r="A92" s="80"/>
      <c r="B92" s="80"/>
      <c r="C92" s="91"/>
    </row>
    <row r="93" spans="1:7" ht="25" x14ac:dyDescent="0.25">
      <c r="A93" s="127" t="s">
        <v>181</v>
      </c>
      <c r="B93" s="127"/>
      <c r="C93" s="127"/>
      <c r="D93" s="127"/>
      <c r="E93" s="127"/>
      <c r="F93" s="127"/>
      <c r="G93" s="127"/>
    </row>
    <row r="94" spans="1:7" x14ac:dyDescent="0.2">
      <c r="D94" s="75"/>
      <c r="E94" s="75"/>
    </row>
    <row r="95" spans="1:7" x14ac:dyDescent="0.2">
      <c r="A95" s="75" t="s">
        <v>175</v>
      </c>
    </row>
    <row r="96" spans="1:7" x14ac:dyDescent="0.2">
      <c r="A96" s="79" t="s">
        <v>174</v>
      </c>
      <c r="B96" s="79"/>
      <c r="C96" s="79"/>
      <c r="D96" s="89"/>
      <c r="E96" s="89"/>
      <c r="F96" s="79"/>
    </row>
    <row r="97" spans="1:7" x14ac:dyDescent="0.2">
      <c r="A97" s="75" t="s">
        <v>173</v>
      </c>
      <c r="B97" s="79"/>
      <c r="C97" s="79"/>
      <c r="D97" s="89"/>
      <c r="E97" s="89"/>
      <c r="F97" s="79"/>
    </row>
    <row r="98" spans="1:7" x14ac:dyDescent="0.2">
      <c r="B98" s="79"/>
      <c r="C98" s="79"/>
      <c r="D98" s="89"/>
      <c r="E98" s="89"/>
      <c r="F98" s="79"/>
    </row>
    <row r="99" spans="1:7" x14ac:dyDescent="0.2">
      <c r="A99" s="78" t="s">
        <v>206</v>
      </c>
      <c r="B99" s="78" t="s">
        <v>176</v>
      </c>
      <c r="C99" s="108" t="s">
        <v>109</v>
      </c>
      <c r="D99" s="108" t="s">
        <v>181</v>
      </c>
      <c r="E99" s="89"/>
      <c r="F99" s="79"/>
    </row>
    <row r="100" spans="1:7" x14ac:dyDescent="0.2">
      <c r="A100" s="83" t="s">
        <v>178</v>
      </c>
      <c r="B100" s="81">
        <v>7000</v>
      </c>
      <c r="C100" s="113">
        <v>0.3</v>
      </c>
      <c r="D100" s="108">
        <f>B100*C100</f>
        <v>2100</v>
      </c>
    </row>
    <row r="101" spans="1:7" x14ac:dyDescent="0.2">
      <c r="A101" s="83" t="s">
        <v>179</v>
      </c>
      <c r="B101" s="81">
        <v>19000</v>
      </c>
      <c r="C101" s="113">
        <v>0.45</v>
      </c>
      <c r="D101" s="108">
        <f t="shared" ref="D101:D102" si="4">B101*C101</f>
        <v>8550</v>
      </c>
      <c r="E101" s="89"/>
      <c r="F101" s="79"/>
    </row>
    <row r="102" spans="1:7" x14ac:dyDescent="0.2">
      <c r="A102" s="83" t="s">
        <v>180</v>
      </c>
      <c r="B102" s="81">
        <v>37000</v>
      </c>
      <c r="C102" s="113">
        <v>0.25</v>
      </c>
      <c r="D102" s="108">
        <f t="shared" si="4"/>
        <v>9250</v>
      </c>
      <c r="E102" s="89"/>
      <c r="F102" s="79"/>
    </row>
    <row r="103" spans="1:7" x14ac:dyDescent="0.2">
      <c r="A103" s="79"/>
      <c r="B103" s="79"/>
      <c r="C103" s="79"/>
      <c r="D103" s="108">
        <f>SUM(D100:D102)</f>
        <v>19900</v>
      </c>
      <c r="E103" s="89"/>
      <c r="F103" s="79"/>
    </row>
    <row r="104" spans="1:7" x14ac:dyDescent="0.2">
      <c r="A104" s="79"/>
      <c r="B104" s="79"/>
      <c r="C104" s="79"/>
      <c r="D104" s="89"/>
      <c r="E104" s="89"/>
      <c r="F104" s="79"/>
    </row>
    <row r="105" spans="1:7" x14ac:dyDescent="0.2">
      <c r="A105" s="79" t="s">
        <v>207</v>
      </c>
      <c r="B105" s="79"/>
      <c r="C105" s="79"/>
      <c r="D105" s="79"/>
      <c r="E105" s="79"/>
      <c r="F105" s="79"/>
      <c r="G105" s="79"/>
    </row>
    <row r="106" spans="1:7" x14ac:dyDescent="0.2">
      <c r="A106" s="79" t="s">
        <v>208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209</v>
      </c>
      <c r="B107" s="79"/>
      <c r="C107" s="79"/>
      <c r="D107" s="79"/>
      <c r="E107" s="79"/>
      <c r="F107" s="79"/>
      <c r="G107" s="79"/>
    </row>
    <row r="108" spans="1:7" x14ac:dyDescent="0.2">
      <c r="A108" s="99"/>
      <c r="B108" s="79"/>
      <c r="C108" s="79"/>
      <c r="D108" s="79"/>
      <c r="E108" s="79"/>
      <c r="F108" s="79"/>
      <c r="G108" s="79"/>
    </row>
    <row r="109" spans="1:7" x14ac:dyDescent="0.2">
      <c r="A109" s="83" t="s">
        <v>210</v>
      </c>
      <c r="B109" s="98">
        <v>4</v>
      </c>
      <c r="C109" s="79"/>
      <c r="D109" s="79"/>
      <c r="E109" s="79"/>
      <c r="F109" s="79"/>
      <c r="G109" s="79"/>
    </row>
    <row r="110" spans="1:7" x14ac:dyDescent="0.2">
      <c r="A110" s="83" t="s">
        <v>211</v>
      </c>
      <c r="B110" s="98">
        <v>7</v>
      </c>
      <c r="C110" s="79"/>
      <c r="D110" s="79"/>
      <c r="E110" s="79"/>
      <c r="F110" s="79"/>
      <c r="G110" s="79"/>
    </row>
    <row r="111" spans="1:7" x14ac:dyDescent="0.2">
      <c r="A111" s="83" t="s">
        <v>213</v>
      </c>
      <c r="B111" s="81">
        <v>75</v>
      </c>
      <c r="C111" s="79"/>
      <c r="D111" s="79"/>
      <c r="E111" s="79"/>
      <c r="F111" s="79"/>
      <c r="G111" s="79"/>
    </row>
    <row r="112" spans="1:7" x14ac:dyDescent="0.2">
      <c r="A112" s="83" t="s">
        <v>212</v>
      </c>
      <c r="B112" s="98">
        <f>B111*B109</f>
        <v>300</v>
      </c>
      <c r="C112" s="79"/>
      <c r="D112" s="79"/>
      <c r="E112" s="79"/>
      <c r="F112" s="79"/>
      <c r="G112" s="79"/>
    </row>
    <row r="114" spans="1:4" x14ac:dyDescent="0.2">
      <c r="A114" s="78" t="s">
        <v>206</v>
      </c>
      <c r="B114" s="78" t="s">
        <v>177</v>
      </c>
      <c r="C114" s="108" t="s">
        <v>109</v>
      </c>
      <c r="D114" s="108" t="s">
        <v>181</v>
      </c>
    </row>
    <row r="115" spans="1:4" x14ac:dyDescent="0.2">
      <c r="A115" s="83" t="s">
        <v>178</v>
      </c>
      <c r="B115" s="81">
        <v>25</v>
      </c>
      <c r="C115" s="113">
        <v>0.35</v>
      </c>
      <c r="D115" s="138">
        <f>C115*($B$110*MIN($B$111, B115) - $B$112)</f>
        <v>-43.75</v>
      </c>
    </row>
    <row r="116" spans="1:4" x14ac:dyDescent="0.2">
      <c r="A116" s="83" t="s">
        <v>179</v>
      </c>
      <c r="B116" s="81">
        <v>50</v>
      </c>
      <c r="C116" s="113">
        <v>0.2</v>
      </c>
      <c r="D116" s="138">
        <f t="shared" ref="D116:D117" si="5">C116*($B$110*MIN($B$111, B116) - $B$112)</f>
        <v>10</v>
      </c>
    </row>
    <row r="117" spans="1:4" x14ac:dyDescent="0.2">
      <c r="A117" s="83" t="s">
        <v>180</v>
      </c>
      <c r="B117" s="81">
        <v>75</v>
      </c>
      <c r="C117" s="113">
        <v>0.45</v>
      </c>
      <c r="D117" s="138">
        <f t="shared" si="5"/>
        <v>101.25</v>
      </c>
    </row>
    <row r="118" spans="1:4" x14ac:dyDescent="0.2">
      <c r="A118" s="79"/>
      <c r="B118" s="79"/>
      <c r="C118" s="79"/>
      <c r="D118" s="139">
        <f>SUM(D115:D117)</f>
        <v>67.5</v>
      </c>
    </row>
  </sheetData>
  <mergeCells count="17">
    <mergeCell ref="A93:G93"/>
    <mergeCell ref="A40:A41"/>
    <mergeCell ref="C40:C41"/>
    <mergeCell ref="A58:A59"/>
    <mergeCell ref="C58:C59"/>
    <mergeCell ref="A73:A74"/>
    <mergeCell ref="C73:C74"/>
    <mergeCell ref="A87:A88"/>
    <mergeCell ref="C87:C88"/>
    <mergeCell ref="A79:G79"/>
    <mergeCell ref="A1:G1"/>
    <mergeCell ref="A14:G14"/>
    <mergeCell ref="A30:G30"/>
    <mergeCell ref="A46:G46"/>
    <mergeCell ref="A64:G64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workbookViewId="0">
      <selection activeCell="E31" sqref="E31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27" t="s">
        <v>214</v>
      </c>
      <c r="B1" s="126"/>
      <c r="C1" s="126"/>
      <c r="D1" s="126"/>
      <c r="E1" s="126"/>
      <c r="F1" s="126"/>
      <c r="G1" s="126"/>
    </row>
    <row r="3" spans="1:7" x14ac:dyDescent="0.2">
      <c r="A3" s="76" t="s">
        <v>27</v>
      </c>
      <c r="B3" s="107" t="s">
        <v>238</v>
      </c>
      <c r="C3" s="83" t="s">
        <v>74</v>
      </c>
      <c r="D3" s="102">
        <f>AVERAGE(A4:A23)</f>
        <v>34.6</v>
      </c>
    </row>
    <row r="4" spans="1:7" x14ac:dyDescent="0.2">
      <c r="A4" s="103">
        <v>25</v>
      </c>
      <c r="B4" s="107" cm="1">
        <f t="array" ref="B4:B23">_xlfn._xlws.SORT(A4:A23)</f>
        <v>5</v>
      </c>
      <c r="C4" s="107"/>
    </row>
    <row r="5" spans="1:7" x14ac:dyDescent="0.2">
      <c r="A5" s="103">
        <v>20</v>
      </c>
      <c r="B5" s="107">
        <v>10</v>
      </c>
      <c r="C5" s="108" t="s">
        <v>217</v>
      </c>
      <c r="D5" s="109" t="s">
        <v>233</v>
      </c>
      <c r="E5" s="108" t="s">
        <v>216</v>
      </c>
    </row>
    <row r="6" spans="1:7" x14ac:dyDescent="0.2">
      <c r="A6" s="103">
        <v>5</v>
      </c>
      <c r="B6" s="107">
        <v>15</v>
      </c>
      <c r="C6" s="108">
        <v>5</v>
      </c>
      <c r="D6" s="110">
        <f>AVERAGE(A4:A8)</f>
        <v>20</v>
      </c>
      <c r="E6" s="111">
        <f>D6-$D$3</f>
        <v>-14.600000000000001</v>
      </c>
      <c r="F6" s="104"/>
    </row>
    <row r="7" spans="1:7" x14ac:dyDescent="0.2">
      <c r="A7" s="103">
        <v>17</v>
      </c>
      <c r="B7" s="107">
        <v>17</v>
      </c>
      <c r="C7" s="109">
        <v>10</v>
      </c>
      <c r="D7" s="110">
        <f>AVERAGE(A4:A13)</f>
        <v>28.8</v>
      </c>
      <c r="E7" s="111">
        <f>D7-$D$3</f>
        <v>-5.8000000000000007</v>
      </c>
    </row>
    <row r="8" spans="1:7" x14ac:dyDescent="0.2">
      <c r="A8" s="103">
        <v>33</v>
      </c>
      <c r="B8" s="107">
        <v>20</v>
      </c>
    </row>
    <row r="9" spans="1:7" x14ac:dyDescent="0.2">
      <c r="A9" s="103">
        <v>20</v>
      </c>
      <c r="B9" s="107">
        <v>20</v>
      </c>
      <c r="C9" s="108" t="s">
        <v>217</v>
      </c>
      <c r="D9" s="109" t="s">
        <v>233</v>
      </c>
      <c r="E9" s="108" t="s">
        <v>216</v>
      </c>
    </row>
    <row r="10" spans="1:7" x14ac:dyDescent="0.2">
      <c r="A10" s="103">
        <v>41</v>
      </c>
      <c r="B10" s="107">
        <v>20</v>
      </c>
      <c r="C10" s="108" t="s">
        <v>240</v>
      </c>
      <c r="D10" s="110">
        <f>AVERAGE(B4:B8)</f>
        <v>13.4</v>
      </c>
      <c r="E10" s="111">
        <f>D10-$D$3</f>
        <v>-21.200000000000003</v>
      </c>
    </row>
    <row r="11" spans="1:7" x14ac:dyDescent="0.2">
      <c r="A11" s="103">
        <v>53</v>
      </c>
      <c r="B11" s="107">
        <v>24</v>
      </c>
      <c r="C11" s="109" t="s">
        <v>241</v>
      </c>
      <c r="D11" s="110">
        <f>AVERAGE(B19:B23)</f>
        <v>58.8</v>
      </c>
      <c r="E11" s="111">
        <f>D11-$D$3</f>
        <v>24.199999999999996</v>
      </c>
    </row>
    <row r="12" spans="1:7" x14ac:dyDescent="0.2">
      <c r="A12" s="103">
        <v>50</v>
      </c>
      <c r="B12" s="107">
        <v>25</v>
      </c>
      <c r="D12" s="112" t="s">
        <v>239</v>
      </c>
      <c r="E12" s="113">
        <f>MAX(ABS(E10), ABS(E11))</f>
        <v>24.199999999999996</v>
      </c>
    </row>
    <row r="13" spans="1:7" x14ac:dyDescent="0.2">
      <c r="A13" s="103">
        <v>24</v>
      </c>
      <c r="B13" s="107">
        <v>33</v>
      </c>
    </row>
    <row r="14" spans="1:7" x14ac:dyDescent="0.2">
      <c r="A14" s="103">
        <v>41</v>
      </c>
      <c r="B14" s="107">
        <v>36</v>
      </c>
    </row>
    <row r="15" spans="1:7" x14ac:dyDescent="0.2">
      <c r="A15" s="103">
        <v>52</v>
      </c>
      <c r="B15" s="107">
        <v>41</v>
      </c>
    </row>
    <row r="16" spans="1:7" x14ac:dyDescent="0.2">
      <c r="A16" s="103">
        <v>47</v>
      </c>
      <c r="B16" s="107">
        <v>41</v>
      </c>
    </row>
    <row r="17" spans="1:7" x14ac:dyDescent="0.2">
      <c r="A17" s="103">
        <v>15</v>
      </c>
      <c r="B17" s="107">
        <v>44</v>
      </c>
    </row>
    <row r="18" spans="1:7" x14ac:dyDescent="0.2">
      <c r="A18" s="103">
        <v>44</v>
      </c>
      <c r="B18" s="107">
        <v>47</v>
      </c>
    </row>
    <row r="19" spans="1:7" x14ac:dyDescent="0.2">
      <c r="A19" s="105">
        <v>10</v>
      </c>
      <c r="B19" s="107">
        <v>50</v>
      </c>
    </row>
    <row r="20" spans="1:7" x14ac:dyDescent="0.2">
      <c r="A20" s="76">
        <v>36</v>
      </c>
      <c r="B20" s="107">
        <v>52</v>
      </c>
    </row>
    <row r="21" spans="1:7" x14ac:dyDescent="0.2">
      <c r="A21" s="76">
        <v>60</v>
      </c>
      <c r="B21" s="107">
        <v>53</v>
      </c>
    </row>
    <row r="22" spans="1:7" x14ac:dyDescent="0.2">
      <c r="A22" s="76">
        <v>20</v>
      </c>
      <c r="B22" s="107">
        <v>60</v>
      </c>
    </row>
    <row r="23" spans="1:7" x14ac:dyDescent="0.2">
      <c r="A23" s="76">
        <v>79</v>
      </c>
      <c r="B23" s="107">
        <v>79</v>
      </c>
    </row>
    <row r="24" spans="1:7" x14ac:dyDescent="0.2">
      <c r="B24" s="107"/>
    </row>
    <row r="25" spans="1:7" x14ac:dyDescent="0.2">
      <c r="B25" s="107"/>
    </row>
    <row r="26" spans="1:7" x14ac:dyDescent="0.2">
      <c r="B26" s="107"/>
    </row>
    <row r="27" spans="1:7" x14ac:dyDescent="0.2">
      <c r="B27" s="107"/>
    </row>
    <row r="28" spans="1:7" ht="25" x14ac:dyDescent="0.25">
      <c r="A28" s="127" t="s">
        <v>242</v>
      </c>
      <c r="B28" s="127"/>
      <c r="C28" s="127"/>
      <c r="D28" s="127"/>
      <c r="E28" s="127"/>
      <c r="F28" s="127"/>
      <c r="G28" s="127"/>
    </row>
    <row r="29" spans="1:7" x14ac:dyDescent="0.2">
      <c r="D29" s="76"/>
      <c r="E29" s="76"/>
      <c r="F29" s="79"/>
      <c r="G29" s="82"/>
    </row>
    <row r="30" spans="1:7" x14ac:dyDescent="0.2">
      <c r="A30" s="83" t="s">
        <v>74</v>
      </c>
      <c r="B30" s="84">
        <v>13</v>
      </c>
      <c r="D30" s="76"/>
      <c r="G30" s="82"/>
    </row>
    <row r="31" spans="1:7" x14ac:dyDescent="0.2">
      <c r="A31" s="83" t="s">
        <v>233</v>
      </c>
      <c r="B31" s="84">
        <v>1</v>
      </c>
      <c r="D31" s="76"/>
      <c r="G31" s="82"/>
    </row>
    <row r="32" spans="1:7" x14ac:dyDescent="0.2">
      <c r="A32" s="83" t="s">
        <v>170</v>
      </c>
      <c r="B32" s="84">
        <v>5.6</v>
      </c>
      <c r="D32" s="76"/>
      <c r="G32" s="82"/>
    </row>
    <row r="33" spans="1:7" x14ac:dyDescent="0.2">
      <c r="A33" s="83" t="s">
        <v>243</v>
      </c>
      <c r="B33" s="84">
        <v>14.3</v>
      </c>
      <c r="D33" s="76"/>
      <c r="G33" s="82"/>
    </row>
    <row r="34" spans="1:7" x14ac:dyDescent="0.2">
      <c r="A34" s="83" t="s">
        <v>222</v>
      </c>
      <c r="B34" s="84">
        <v>0.5</v>
      </c>
      <c r="D34" s="76"/>
      <c r="E34" s="80"/>
      <c r="F34" s="90"/>
      <c r="G34" s="82"/>
    </row>
    <row r="35" spans="1:7" x14ac:dyDescent="0.2">
      <c r="A35" s="83" t="s">
        <v>234</v>
      </c>
      <c r="B35" s="84">
        <v>1</v>
      </c>
      <c r="D35" s="76"/>
      <c r="E35" s="80"/>
      <c r="F35" s="90"/>
      <c r="G35" s="82"/>
    </row>
    <row r="36" spans="1:7" x14ac:dyDescent="0.2">
      <c r="A36" s="83" t="s">
        <v>215</v>
      </c>
      <c r="B36" s="84">
        <v>20</v>
      </c>
      <c r="D36" s="76"/>
      <c r="E36" s="76"/>
      <c r="F36" s="79"/>
      <c r="G36" s="82"/>
    </row>
    <row r="37" spans="1:7" x14ac:dyDescent="0.2">
      <c r="A37" s="83" t="s">
        <v>223</v>
      </c>
      <c r="B37" s="84">
        <v>100</v>
      </c>
      <c r="D37" s="76"/>
      <c r="E37" s="76"/>
      <c r="F37" s="79"/>
      <c r="G37" s="82"/>
    </row>
    <row r="38" spans="1:7" x14ac:dyDescent="0.2">
      <c r="A38" s="83" t="s">
        <v>228</v>
      </c>
      <c r="B38" s="100">
        <v>0.8</v>
      </c>
      <c r="D38" s="76"/>
      <c r="E38" s="101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12" t="s">
        <v>224</v>
      </c>
      <c r="B40" s="117">
        <f>B32/SQRT(B36)</f>
        <v>1.252198067399882</v>
      </c>
    </row>
    <row r="41" spans="1:7" x14ac:dyDescent="0.2">
      <c r="A41" s="112" t="s">
        <v>226</v>
      </c>
      <c r="B41" s="117">
        <f>SQRT(B34*(1-B34)/B36)</f>
        <v>0.11180339887498948</v>
      </c>
    </row>
    <row r="42" spans="1:7" ht="17" x14ac:dyDescent="0.2">
      <c r="A42" s="118" t="s">
        <v>227</v>
      </c>
      <c r="B42" s="119">
        <f>B41 *  SQRT((B37-B36)/(B37-1))</f>
        <v>0.1005037815259212</v>
      </c>
      <c r="G42" s="82"/>
    </row>
    <row r="43" spans="1:7" ht="17" x14ac:dyDescent="0.2">
      <c r="A43" s="118" t="s">
        <v>230</v>
      </c>
      <c r="B43" s="119">
        <f>(B31-B30)/(B32/SQRT(B36))</f>
        <v>-9.5831484749991009</v>
      </c>
      <c r="G43" s="82"/>
    </row>
    <row r="44" spans="1:7" x14ac:dyDescent="0.2">
      <c r="A44" s="112" t="s">
        <v>220</v>
      </c>
      <c r="B44" s="120">
        <f>(1-B38)/2</f>
        <v>9.9999999999999978E-2</v>
      </c>
      <c r="G44" s="82"/>
    </row>
    <row r="45" spans="1:7" x14ac:dyDescent="0.2">
      <c r="A45" s="112" t="s">
        <v>221</v>
      </c>
      <c r="B45" s="121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09"/>
      <c r="B48" s="140" t="s">
        <v>182</v>
      </c>
      <c r="C48" s="109" t="s">
        <v>231</v>
      </c>
      <c r="D48" s="109" t="s">
        <v>225</v>
      </c>
      <c r="E48" s="109" t="s">
        <v>232</v>
      </c>
      <c r="F48" s="106"/>
      <c r="G48" s="79"/>
    </row>
    <row r="49" spans="1:7" x14ac:dyDescent="0.2">
      <c r="A49" s="112" t="s">
        <v>184</v>
      </c>
      <c r="B49" s="147">
        <v>1</v>
      </c>
      <c r="C49" s="115">
        <f>_xlfn.NORM.DIST(B49, $B$30, $B$40,FALSE)</f>
        <v>3.6403528427324646E-21</v>
      </c>
      <c r="D49" s="115">
        <f>_xlfn.NORM.DIST(B49, $B$34, $B$41, FALSE)</f>
        <v>1.6199821912178208E-4</v>
      </c>
      <c r="E49" s="115">
        <f>_xlfn.NORM.DIST(B49/$B$36, $B$34, $B$42,FALSE)</f>
        <v>1.7598204095915145E-4</v>
      </c>
    </row>
    <row r="50" spans="1:7" x14ac:dyDescent="0.2">
      <c r="A50" s="116" t="s">
        <v>185</v>
      </c>
      <c r="B50" s="147">
        <v>1</v>
      </c>
      <c r="C50" s="115">
        <f>_xlfn.NORM.DIST(B50, $B$30, $B$40,TRUE)</f>
        <v>4.7065385071790097E-22</v>
      </c>
      <c r="D50" s="115">
        <f>_xlfn.NORM.DIST(B50, $B$34, $B$41, TRUE)</f>
        <v>0.99999612789178449</v>
      </c>
      <c r="E50" s="115">
        <f>_xlfn.NORM.DIST(B50/$B$36, $B$34, $B$42,TRUE)</f>
        <v>3.7771111457593937E-6</v>
      </c>
    </row>
    <row r="51" spans="1:7" x14ac:dyDescent="0.2">
      <c r="A51" s="112" t="s">
        <v>186</v>
      </c>
      <c r="B51" s="147">
        <v>1</v>
      </c>
      <c r="C51" s="115">
        <f>(1-_xlfn.NORM.DIST(B51, $B$30, $B$40,TRUE))</f>
        <v>1</v>
      </c>
      <c r="D51" s="115">
        <f>1 - _xlfn.NORM.DIST(B51, $B$34, $B$41, TRUE)</f>
        <v>3.8721082155079856E-6</v>
      </c>
      <c r="E51" s="115">
        <f>1 - _xlfn.NORM.DIST(B51/$B$36, $B$34, $B$42,TRUE)</f>
        <v>0.99999622288885426</v>
      </c>
    </row>
    <row r="52" spans="1:7" x14ac:dyDescent="0.2">
      <c r="A52" s="128" t="s">
        <v>201</v>
      </c>
      <c r="B52" s="147">
        <v>1</v>
      </c>
      <c r="C52" s="130">
        <f>_xlfn.NORM.DIST(B53, $B$30, $B$40,TRUE) - _xlfn.NORM.DIST(B52, $B$30, $B$40,TRUE)</f>
        <v>0</v>
      </c>
      <c r="D52" s="132">
        <f>_xlfn.NORM.DIST(B53, $B$34, $B$41, TRUE) - _xlfn.NORM.DIST(B52, $B$34, $B$41, TRUE)</f>
        <v>0</v>
      </c>
      <c r="E52" s="130">
        <f>_xlfn.NORM.DIST(B53/$B$36, $B$34, $B$42,TRUE) - _xlfn.NORM.DIST(B52/$B$36, $B$34, $B$42,TRUE)</f>
        <v>0</v>
      </c>
    </row>
    <row r="53" spans="1:7" x14ac:dyDescent="0.2">
      <c r="A53" s="129"/>
      <c r="B53" s="148">
        <v>1</v>
      </c>
      <c r="C53" s="131"/>
      <c r="D53" s="133"/>
      <c r="E53" s="131"/>
      <c r="G53" s="79"/>
    </row>
    <row r="54" spans="1:7" x14ac:dyDescent="0.2">
      <c r="G54" s="79"/>
    </row>
    <row r="55" spans="1:7" x14ac:dyDescent="0.2">
      <c r="A55" s="108"/>
      <c r="B55" s="109" t="s">
        <v>74</v>
      </c>
      <c r="C55" s="109" t="s">
        <v>244</v>
      </c>
      <c r="D55" s="122" t="s">
        <v>222</v>
      </c>
      <c r="G55" s="79"/>
    </row>
    <row r="56" spans="1:7" x14ac:dyDescent="0.2">
      <c r="A56" s="112" t="s">
        <v>218</v>
      </c>
      <c r="B56" s="115">
        <f>_xlfn.NORM.INV(B44, $B$30, $B$40)</f>
        <v>11.395243606351759</v>
      </c>
      <c r="C56" s="117">
        <f>B30-C58</f>
        <v>8.7544865406300012</v>
      </c>
      <c r="D56" s="119">
        <f>_xlfn.NORM.INV(B44, B34, B41)</f>
        <v>0.35671817913854981</v>
      </c>
      <c r="G56" s="79"/>
    </row>
    <row r="57" spans="1:7" x14ac:dyDescent="0.2">
      <c r="A57" s="112" t="s">
        <v>219</v>
      </c>
      <c r="B57" s="115">
        <f>_xlfn.NORM.INV(B45, $B$30, $B$40)</f>
        <v>14.604756393648241</v>
      </c>
      <c r="C57" s="117">
        <f>B30+C58</f>
        <v>17.245513459369999</v>
      </c>
      <c r="D57" s="117">
        <f>_xlfn.NORM.INV(B45, B34, B41)</f>
        <v>0.64328182086145014</v>
      </c>
      <c r="G57" s="79"/>
    </row>
    <row r="58" spans="1:7" x14ac:dyDescent="0.2">
      <c r="A58" s="123" t="s">
        <v>229</v>
      </c>
      <c r="B58" s="115">
        <f>_xlfn.CONFIDENCE.NORM(1-B38, B32, B36)</f>
        <v>1.6047563936482421</v>
      </c>
      <c r="C58" s="117">
        <f>_xlfn.CONFIDENCE.T(1-B38, B33, B36)</f>
        <v>4.2455134593699979</v>
      </c>
      <c r="D58" s="117">
        <f>_xlfn.CONFIDENCE.NORM(1-B38, B35, B36)</f>
        <v>0.28656364172290039</v>
      </c>
      <c r="G58" s="79"/>
    </row>
    <row r="59" spans="1:7" x14ac:dyDescent="0.2">
      <c r="C59" s="96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25"/>
  <sheetViews>
    <sheetView tabSelected="1" workbookViewId="0">
      <selection activeCell="B10" sqref="B10"/>
    </sheetView>
  </sheetViews>
  <sheetFormatPr baseColWidth="10" defaultRowHeight="16" x14ac:dyDescent="0.2"/>
  <cols>
    <col min="1" max="7" width="22.6640625" customWidth="1"/>
  </cols>
  <sheetData>
    <row r="1" spans="1:7" ht="25" x14ac:dyDescent="0.25">
      <c r="A1" s="127" t="s">
        <v>245</v>
      </c>
      <c r="B1" s="126"/>
      <c r="C1" s="126"/>
      <c r="D1" s="126"/>
      <c r="E1" s="126"/>
      <c r="F1" s="126"/>
      <c r="G1" s="126"/>
    </row>
    <row r="2" spans="1:7" x14ac:dyDescent="0.2">
      <c r="A2" s="76"/>
      <c r="B2" s="75"/>
      <c r="C2" s="75"/>
      <c r="D2" s="75"/>
      <c r="E2" s="75"/>
      <c r="F2" s="75"/>
      <c r="G2" s="75"/>
    </row>
    <row r="3" spans="1:7" x14ac:dyDescent="0.2">
      <c r="A3" s="134" t="s">
        <v>74</v>
      </c>
      <c r="B3" s="84">
        <v>75</v>
      </c>
      <c r="C3" s="75"/>
      <c r="D3" s="75"/>
      <c r="E3" s="75"/>
      <c r="F3" s="75"/>
      <c r="G3" s="75"/>
    </row>
    <row r="4" spans="1:7" x14ac:dyDescent="0.2">
      <c r="A4" s="134" t="s">
        <v>233</v>
      </c>
      <c r="B4" s="135">
        <v>68.400000000000006</v>
      </c>
      <c r="C4" s="75"/>
      <c r="D4" s="75"/>
      <c r="E4" s="75"/>
      <c r="F4" s="75"/>
      <c r="G4" s="75"/>
    </row>
    <row r="5" spans="1:7" x14ac:dyDescent="0.2">
      <c r="A5" s="134" t="s">
        <v>255</v>
      </c>
      <c r="B5" s="135">
        <v>14.4</v>
      </c>
      <c r="C5" s="75"/>
      <c r="D5" s="75"/>
      <c r="E5" s="75"/>
      <c r="F5" s="75"/>
      <c r="G5" s="75"/>
    </row>
    <row r="6" spans="1:7" x14ac:dyDescent="0.2">
      <c r="A6" s="134" t="s">
        <v>254</v>
      </c>
      <c r="B6" s="135">
        <v>14.4</v>
      </c>
      <c r="C6" s="75"/>
      <c r="D6" s="75"/>
      <c r="E6" s="75"/>
      <c r="F6" s="75"/>
      <c r="G6" s="75"/>
    </row>
    <row r="7" spans="1:7" x14ac:dyDescent="0.2">
      <c r="A7" s="134" t="s">
        <v>215</v>
      </c>
      <c r="B7" s="84">
        <v>30</v>
      </c>
      <c r="C7" s="75"/>
      <c r="D7" s="75"/>
      <c r="E7" s="75"/>
      <c r="F7" s="75"/>
      <c r="G7" s="75"/>
    </row>
    <row r="8" spans="1:7" x14ac:dyDescent="0.2">
      <c r="A8" s="134" t="s">
        <v>250</v>
      </c>
      <c r="B8" s="84">
        <v>1</v>
      </c>
      <c r="C8" s="75"/>
      <c r="D8" s="75"/>
      <c r="E8" s="75"/>
      <c r="F8" s="75"/>
      <c r="G8" s="75"/>
    </row>
    <row r="9" spans="1:7" x14ac:dyDescent="0.2">
      <c r="A9" s="134" t="s">
        <v>252</v>
      </c>
      <c r="B9" s="84">
        <v>0.1</v>
      </c>
      <c r="C9" s="75"/>
      <c r="D9" s="75"/>
      <c r="E9" s="75"/>
      <c r="F9" s="75"/>
      <c r="G9" s="75"/>
    </row>
    <row r="10" spans="1:7" x14ac:dyDescent="0.2">
      <c r="A10" s="134" t="s">
        <v>253</v>
      </c>
      <c r="B10" s="84">
        <v>2.1038836780136476</v>
      </c>
      <c r="C10" s="75"/>
      <c r="D10" s="75"/>
      <c r="E10" s="75"/>
      <c r="F10" s="75"/>
      <c r="G10" s="75"/>
    </row>
    <row r="11" spans="1:7" x14ac:dyDescent="0.2">
      <c r="A11" s="134" t="s">
        <v>259</v>
      </c>
      <c r="B11" s="84">
        <v>-2.5103950552320091</v>
      </c>
      <c r="C11" s="75"/>
      <c r="D11" s="75"/>
      <c r="E11" s="75"/>
      <c r="F11" s="75"/>
      <c r="G11" s="75"/>
    </row>
    <row r="12" spans="1:7" x14ac:dyDescent="0.2">
      <c r="C12" s="75"/>
      <c r="D12" s="75"/>
      <c r="E12" s="75"/>
      <c r="F12" s="75"/>
    </row>
    <row r="13" spans="1:7" x14ac:dyDescent="0.2">
      <c r="A13" s="27"/>
      <c r="B13" s="152" t="s">
        <v>256</v>
      </c>
      <c r="C13" s="108" t="s">
        <v>257</v>
      </c>
      <c r="D13" s="79"/>
      <c r="E13" s="75"/>
      <c r="F13" s="75"/>
    </row>
    <row r="14" spans="1:7" x14ac:dyDescent="0.2">
      <c r="A14" s="123" t="s">
        <v>260</v>
      </c>
      <c r="B14" s="130">
        <f>_xlfn.NORM.S.INV(1-B9)</f>
        <v>1.2815515655446006</v>
      </c>
      <c r="C14" s="115">
        <f>_xlfn.T.INV(1-B9, B7)</f>
        <v>1.3104150253913947</v>
      </c>
      <c r="D14" s="79"/>
      <c r="F14" s="75"/>
    </row>
    <row r="15" spans="1:7" x14ac:dyDescent="0.2">
      <c r="A15" s="123" t="s">
        <v>261</v>
      </c>
      <c r="B15" s="131"/>
      <c r="C15" s="115">
        <f>_xlfn.T.INV((B9/B8), B7)</f>
        <v>-1.3104150253913947</v>
      </c>
      <c r="D15" s="151">
        <f>_xlfn.T.INV(1-(B9/B8),B7)</f>
        <v>1.3104150253913947</v>
      </c>
      <c r="F15" s="75"/>
    </row>
    <row r="16" spans="1:7" x14ac:dyDescent="0.2">
      <c r="A16" s="149" t="s">
        <v>258</v>
      </c>
      <c r="B16" s="153">
        <f>(B4-B3)/(B5/SQRT(B7))</f>
        <v>-2.5103950552320091</v>
      </c>
      <c r="C16" s="154"/>
      <c r="D16" s="79"/>
      <c r="F16" s="75"/>
    </row>
    <row r="17" spans="1:7" x14ac:dyDescent="0.2">
      <c r="A17" s="150" t="s">
        <v>247</v>
      </c>
      <c r="B17" s="115">
        <f>_xlfn.NORM.S.DIST(B10, TRUE)</f>
        <v>0.98230570245217108</v>
      </c>
      <c r="C17" s="115">
        <f>_xlfn.T.DIST(B11, B7, TRUE)</f>
        <v>8.8413521905273355E-3</v>
      </c>
      <c r="D17" s="79"/>
      <c r="F17" s="75"/>
    </row>
    <row r="18" spans="1:7" x14ac:dyDescent="0.2">
      <c r="A18" s="150" t="s">
        <v>248</v>
      </c>
      <c r="B18" s="115">
        <f>1-B17</f>
        <v>1.7694297547828919E-2</v>
      </c>
      <c r="C18" s="115">
        <f>1-C17</f>
        <v>0.99115864780947271</v>
      </c>
      <c r="D18" s="79"/>
      <c r="F18" s="75"/>
    </row>
    <row r="19" spans="1:7" x14ac:dyDescent="0.2">
      <c r="A19" s="149" t="s">
        <v>249</v>
      </c>
      <c r="B19" s="115">
        <f>B8 * IF(B10&gt;0, B18, B17)</f>
        <v>1.7694297547828919E-2</v>
      </c>
      <c r="C19" s="115">
        <f>B8 * IF(B11&gt;0, C18, C17)</f>
        <v>8.8413521905273355E-3</v>
      </c>
      <c r="D19" s="79"/>
      <c r="F19" s="75"/>
    </row>
    <row r="20" spans="1:7" x14ac:dyDescent="0.2">
      <c r="A20" s="149" t="s">
        <v>251</v>
      </c>
      <c r="B20" s="117" t="str">
        <f>IF(B19&lt;B9, "Reject", "Do not reject")</f>
        <v>Reject</v>
      </c>
      <c r="C20" s="117" t="str">
        <f>IF(C19&lt;C9, "Reject", "Do not reject")</f>
        <v>Do not reject</v>
      </c>
      <c r="D20" s="27"/>
      <c r="F20" s="75"/>
    </row>
    <row r="21" spans="1:7" x14ac:dyDescent="0.2">
      <c r="C21" s="75"/>
      <c r="F21" s="75"/>
    </row>
    <row r="22" spans="1:7" x14ac:dyDescent="0.2">
      <c r="A22" s="76"/>
      <c r="B22" s="107"/>
      <c r="C22" s="75"/>
      <c r="F22" s="75"/>
      <c r="G22" s="75"/>
    </row>
    <row r="23" spans="1:7" x14ac:dyDescent="0.2">
      <c r="A23" s="76"/>
      <c r="B23" s="107"/>
      <c r="C23" s="75"/>
      <c r="F23" s="75"/>
      <c r="G23" s="75"/>
    </row>
    <row r="24" spans="1:7" x14ac:dyDescent="0.2">
      <c r="A24" s="76"/>
      <c r="B24" s="107"/>
      <c r="C24" s="75"/>
      <c r="D24" s="75"/>
      <c r="E24" s="75"/>
      <c r="F24" s="75"/>
      <c r="G24" s="75"/>
    </row>
    <row r="25" spans="1:7" ht="25" x14ac:dyDescent="0.25">
      <c r="A25" s="127" t="s">
        <v>246</v>
      </c>
      <c r="B25" s="126"/>
      <c r="C25" s="126"/>
      <c r="D25" s="126"/>
      <c r="E25" s="126"/>
      <c r="F25" s="126"/>
      <c r="G25" s="126"/>
    </row>
  </sheetData>
  <mergeCells count="4">
    <mergeCell ref="A1:G1"/>
    <mergeCell ref="A25:G25"/>
    <mergeCell ref="B14:B15"/>
    <mergeCell ref="B16:C16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Sampling &amp; Confidence Intervals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2024-03-02T05:27:26Z</dcterms:modified>
</cp:coreProperties>
</file>