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A3ED3E83-133B-A74D-897A-4A648546F6BF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Confidence Intervals &amp; Sampling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82" i="6" l="1"/>
  <c r="B67" i="6"/>
  <c r="D3" i="8"/>
  <c r="E34" i="8"/>
  <c r="E33" i="8"/>
  <c r="B33" i="8"/>
  <c r="B34" i="8" s="1"/>
  <c r="B45" i="8" l="1"/>
  <c r="B44" i="8" s="1"/>
  <c r="C57" i="6"/>
  <c r="C72" i="6"/>
  <c r="B9" i="6"/>
  <c r="B68" i="6"/>
  <c r="C21" i="9"/>
  <c r="B15" i="9"/>
  <c r="B14" i="9"/>
  <c r="B13" i="9" s="1"/>
  <c r="B21" i="9"/>
  <c r="B16" i="9" s="1"/>
  <c r="B17" i="9" s="1"/>
  <c r="C86" i="6" l="1"/>
  <c r="C22" i="9"/>
  <c r="C23" i="9" s="1"/>
  <c r="C24" i="9" s="1"/>
  <c r="C25" i="9" s="1"/>
  <c r="B22" i="9"/>
  <c r="D6" i="8"/>
  <c r="D7" i="8"/>
  <c r="D69" i="8"/>
  <c r="D67" i="8" s="1"/>
  <c r="B4" i="8" a="1"/>
  <c r="F39" i="6"/>
  <c r="F38" i="6"/>
  <c r="B51" i="8"/>
  <c r="B52" i="8" s="1"/>
  <c r="B69" i="8"/>
  <c r="B53" i="8"/>
  <c r="B54" i="8"/>
  <c r="B55" i="8" s="1"/>
  <c r="B50" i="8"/>
  <c r="C62" i="8" s="1"/>
  <c r="B113" i="6"/>
  <c r="D117" i="6" s="1"/>
  <c r="C59" i="6"/>
  <c r="C74" i="6"/>
  <c r="C40" i="6"/>
  <c r="B19" i="6"/>
  <c r="B20" i="6"/>
  <c r="B18" i="6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7" i="3"/>
  <c r="D166" i="3"/>
  <c r="G217" i="2"/>
  <c r="D164" i="3"/>
  <c r="G219" i="2"/>
  <c r="D163" i="3"/>
  <c r="G218" i="2"/>
  <c r="B4" i="8" l="1"/>
  <c r="D10" i="8" s="1"/>
  <c r="E10" i="8" s="1"/>
  <c r="F23" i="6"/>
  <c r="C23" i="6"/>
  <c r="D116" i="6"/>
  <c r="E6" i="8"/>
  <c r="D68" i="8"/>
  <c r="B23" i="9"/>
  <c r="B24" i="9" s="1"/>
  <c r="B25" i="9" s="1"/>
  <c r="D11" i="8"/>
  <c r="E11" i="8" s="1"/>
  <c r="E7" i="8"/>
  <c r="C69" i="8"/>
  <c r="C68" i="8"/>
  <c r="C67" i="8"/>
  <c r="D60" i="8"/>
  <c r="D59" i="8"/>
  <c r="D61" i="8"/>
  <c r="D62" i="8"/>
  <c r="E62" i="8"/>
  <c r="E59" i="8"/>
  <c r="E60" i="8"/>
  <c r="E61" i="8"/>
  <c r="B67" i="8"/>
  <c r="B68" i="8"/>
  <c r="C61" i="8"/>
  <c r="C59" i="8"/>
  <c r="C60" i="8"/>
  <c r="D118" i="6"/>
  <c r="C88" i="6"/>
  <c r="C24" i="6"/>
  <c r="C25" i="6"/>
  <c r="C26" i="6"/>
  <c r="C85" i="6"/>
  <c r="C87" i="6"/>
  <c r="D104" i="6"/>
  <c r="C8" i="6"/>
  <c r="D8" i="6" s="1"/>
  <c r="C7" i="6"/>
  <c r="D7" i="6" s="1"/>
  <c r="C4" i="6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4" i="6" l="1"/>
  <c r="D9" i="6" s="1"/>
  <c r="D119" i="6"/>
  <c r="E12" i="8"/>
  <c r="C9" i="6"/>
  <c r="D223" i="2"/>
  <c r="E6" i="6" l="1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1" i="2"/>
  <c r="G213" i="2"/>
  <c r="G216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21" i="2"/>
  <c r="C20" i="2"/>
  <c r="C18" i="2"/>
  <c r="C19" i="2"/>
  <c r="C14" i="2" l="1"/>
  <c r="D19" i="2" l="1"/>
  <c r="D21" i="2"/>
  <c r="D18" i="2"/>
  <c r="D20" i="2"/>
  <c r="B57" i="2" l="1"/>
  <c r="E18" i="2"/>
  <c r="E19" i="2" s="1"/>
  <c r="E20" i="2" s="1"/>
  <c r="E21" i="2" s="1"/>
  <c r="D165" i="3"/>
  <c r="D161" i="3"/>
  <c r="D16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<sst xmlns="http://schemas.openxmlformats.org/spreadsheetml/2006/main" count="435" uniqueCount="264">
  <si>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</si>
  <si>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</si>
  <si>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</si>
  <si>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</si>
  <si>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</si>
  <si>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</si>
  <si>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</si>
  <si>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</si>
  <si>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</si>
  <si>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</si>
  <si>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</si>
  <si>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</si>
  <si>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</si>
  <si>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</si>
  <si>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</si>
  <si>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</si>
  <si>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</si>
  <si>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</si>
  <si>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</si>
  <si>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</si>
  <si>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</si>
  <si>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</si>
  <si>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</si>
  <si>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</si>
  <si>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</si>
  <si>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</si>
  <si>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</si>
  <si>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</si>
  <si>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</si>
  <si>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</si>
  <si>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</si>
  <si>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</si>
  <si>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</si>
  <si>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</si>
  <si>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</si>
  <si>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</si>
  <si>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</si>
  <si>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</si>
  <si>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</si>
  <si>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</si>
  <si>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</si>
  <si>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</si>
  <si>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</si>
  <si>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</si>
  <si>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</si>
  <si>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</si>
  <si>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</si>
  <si>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</si>
  <si>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</si>
  <si>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</si>
  <si>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</si>
  <si>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</si>
  <si>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</si>
  <si>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</si>
  <si>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</si>
  <si>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</si>
  <si>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</si>
  <si>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</si>
  <si>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</si>
  <si>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</si>
  <si>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</si>
  <si>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</si>
  <si>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</si>
  <si>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</si>
  <si>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</si>
  <si>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</si>
  <si>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</si>
  <si>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</si>
  <si>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</si>
  <si>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</si>
  <si>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</si>
  <si>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</si>
  <si>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</si>
  <si>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</si>
  <si>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</si>
  <si>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</si>
  <si>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</si>
  <si>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</si>
  <si>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</si>
  <si>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</si>
  <si>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</si>
  <si>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</si>
  <si>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</si>
  <si>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</si>
  <si>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</si>
  <si>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</si>
  <si>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</si>
  <si>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</si>
  <si>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</si>
  <si>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</si>
  <si>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</si>
  <si>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</si>
  <si>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</si>
  <si>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</si>
  <si>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</si>
  <si>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</si>
  <si>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</si>
  <si>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</si>
  <si>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</si>
  <si>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</si>
  <si>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</si>
  <si>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</si>
  <si>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</si>
  <si>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</si>
  <si>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</si>
  <si>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</si>
  <si>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</si>
  <si>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</si>
  <si>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</si>
  <si>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</si>
  <si>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</si>
  <si>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</si>
  <si>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</si>
  <si>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</si>
  <si>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</si>
  <si>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</si>
  <si>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</si>
  <si>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</si>
  <si>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</si>
  <si>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</si>
  <si>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</si>
  <si>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</si>
  <si>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</si>
  <si>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</si>
  <si>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</si>
  <si>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</si>
  <si>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</si>
  <si>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</si>
  <si>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</si>
  <si>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</si>
  <si>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</si>
  <si>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</si>
  <si>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</si>
  <si>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</si>
  <si>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</si>
  <si>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</si>
  <si>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</si>
  <si>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</si>
  <si>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</si>
  <si>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</si>
  <si>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</si>
  <si>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</si>
  <si>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</si>
  <si>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</si>
  <si>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</si>
  <si>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</si>
  <si>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</si>
  <si>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</si>
  <si>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</si>
  <si>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</si>
  <si>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</si>
  <si>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</si>
  <si>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</si>
  <si>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</si>
  <si>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</si>
  <si>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</si>
  <si>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</si>
  <si>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</si>
  <si>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</si>
  <si>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</si>
  <si>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</si>
  <si>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</si>
  <si>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</si>
  <si>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</si>
  <si>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</si>
  <si>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</si>
  <si>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</si>
  <si>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</si>
  <si>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</si>
  <si>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</si>
  <si>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</si>
  <si>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</si>
  <si>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</si>
  <si>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</si>
  <si>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</si>
  <si>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</si>
  <si>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</si>
  <si>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</si>
  <si>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</si>
  <si>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</si>
  <si>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</si>
  <si>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</si>
  <si>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</si>
  <si>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</si>
  <si>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</si>
  <si>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</si>
  <si>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</si>
  <si>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</si>
  <si>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</si>
  <si>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</si>
  <si>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</si>
  <si>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</si>
  <si>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</si>
  <si>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</si>
  <si>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</si>
  <si>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</si>
  <si>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</si>
  <si>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</si>
  <si>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</si>
  <si>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</si>
  <si>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</si>
  <si>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</si>
  <si>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</si>
  <si>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</si>
  <si>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</si>
  <si>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</si>
  <si>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</si>
  <si>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</si>
  <si>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</si>
  <si>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</si>
  <si>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</si>
  <si>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</si>
  <si>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</si>
  <si>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</si>
  <si>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</si>
  <si>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</si>
  <si>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</si>
  <si>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</si>
  <si>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</si>
  <si>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>std error population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</si>
  <si>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</si>
  <si>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</si>
  <si>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</si>
  <si>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</si>
  <si>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</si>
  <si>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</si>
  <si>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</si>
  <si>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</si>
  <si>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</si>
  <si>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</si>
  <si>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</si>
  <si>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</si>
  <si>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</si>
  <si>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</si>
  <si>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</si>
  <si>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</si>
  <si>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</si>
  <si>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</si>
  <si>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</si>
  <si>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</si>
  <si>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</si>
  <si>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</si>
  <si>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</si>
  <si>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</si>
  <si>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</si>
  <si>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</si>
  <si>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</si>
  <si>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</si>
  <si>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</si>
  <si>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</si>
  <si>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</si>
  <si>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</si>
  <si>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</si>
  <si>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</si>
  <si>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</si>
  <si>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</si>
  <si>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&gt;</t>
  </si>
  <si>
    <t>=</t>
  </si>
  <si>
    <t>std error proportion</t>
  </si>
  <si>
    <t xml:space="preserve">P(proportion) </t>
  </si>
  <si>
    <t>&lt;=</t>
  </si>
  <si>
    <t>confidence interval</t>
  </si>
  <si>
    <t>Sample Size</t>
  </si>
  <si>
    <t>Z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</si>
</sst>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7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5" fillId="0" borderId="1"/>
    <xf numFmtId="9" fontId="15" fillId="0" borderId="1" applyFont="0" applyFill="0" applyBorder="0" applyAlignment="0" applyProtection="0"/>
    <xf numFmtId="0" fontId="16" fillId="0" borderId="1"/>
  </cellStyleXfs>
  <cellXfs count="169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12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4" fontId="9" fillId="3" borderId="2" xfId="0" applyNumberFormat="1" applyFont="1" applyFill="1" applyBorder="1"/>
    <xf numFmtId="4" fontId="9" fillId="3" borderId="2" xfId="0" applyNumberFormat="1" applyFont="1" applyFill="1" applyBorder="1" applyAlignment="1">
      <alignment horizontal="right" vertical="center"/>
    </xf>
    <xf numFmtId="0" fontId="9" fillId="3" borderId="2" xfId="0" applyFont="1" applyFill="1" applyBorder="1" applyAlignment="1">
      <alignment horizontal="right"/>
    </xf>
    <xf numFmtId="2" fontId="9" fillId="3" borderId="2" xfId="0" applyNumberFormat="1" applyFont="1" applyFill="1" applyBorder="1"/>
    <xf numFmtId="164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/>
    <xf numFmtId="2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 applyAlignment="1">
      <alignment horizontal="right"/>
    </xf>
    <xf numFmtId="0" fontId="9" fillId="3" borderId="2" xfId="0" applyFont="1" applyFill="1" applyBorder="1" applyAlignment="1">
      <alignment horizontal="right" vertical="center" wrapText="1"/>
    </xf>
    <xf numFmtId="166" fontId="9" fillId="3" borderId="2" xfId="0" applyNumberFormat="1" applyFont="1" applyFill="1" applyBorder="1" applyAlignment="1">
      <alignment horizontal="right" vertical="center"/>
    </xf>
    <xf numFmtId="168" fontId="9" fillId="3" borderId="2" xfId="0" applyNumberFormat="1" applyFont="1" applyFill="1" applyBorder="1"/>
    <xf numFmtId="168" fontId="9" fillId="3" borderId="2" xfId="2" applyNumberFormat="1" applyFont="1" applyFill="1" applyBorder="1"/>
    <xf numFmtId="166" fontId="9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right" vertical="center"/>
    </xf>
    <xf numFmtId="164" fontId="9" fillId="3" borderId="2" xfId="0" applyNumberFormat="1" applyFont="1" applyFill="1" applyBorder="1" applyAlignment="1">
      <alignment horizontal="right" vertical="center"/>
    </xf>
    <xf numFmtId="44" fontId="9" fillId="3" borderId="2" xfId="0" applyNumberFormat="1" applyFont="1" applyFill="1" applyBorder="1" applyAlignment="1">
      <alignment horizontal="center" vertical="center"/>
    </xf>
    <xf numFmtId="44" fontId="9" fillId="3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3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4" borderId="2" xfId="0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3" fillId="0" borderId="2" xfId="0" applyFont="1" applyBorder="1" applyAlignment="1">
      <alignment horizontal="left"/>
    </xf>
    <xf numFmtId="169" fontId="9" fillId="4" borderId="2" xfId="0" applyNumberFormat="1" applyFont="1" applyFill="1" applyBorder="1" applyAlignment="1">
      <alignment horizontal="center"/>
    </xf>
    <xf numFmtId="169" fontId="9" fillId="4" borderId="2" xfId="0" applyNumberFormat="1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2" fontId="9" fillId="3" borderId="2" xfId="0" applyNumberFormat="1" applyFont="1" applyFill="1" applyBorder="1" applyAlignment="1">
      <alignment horizontal="right" vertical="center"/>
    </xf>
    <xf numFmtId="9" fontId="9" fillId="3" borderId="2" xfId="2" applyFont="1" applyFill="1" applyBorder="1"/>
    <xf numFmtId="167" fontId="9" fillId="3" borderId="2" xfId="1" applyNumberFormat="1" applyFont="1" applyFill="1" applyBorder="1" applyAlignment="1">
      <alignment horizontal="left"/>
    </xf>
    <xf numFmtId="2" fontId="9" fillId="0" borderId="2" xfId="0" applyNumberFormat="1" applyFont="1" applyBorder="1"/>
    <xf numFmtId="9" fontId="9" fillId="0" borderId="0" xfId="0" applyNumberFormat="1" applyFont="1"/>
    <xf numFmtId="2" fontId="9" fillId="0" borderId="0" xfId="2" applyNumberFormat="1" applyFont="1"/>
    <xf numFmtId="2" fontId="9" fillId="3" borderId="2" xfId="2" applyNumberFormat="1" applyFont="1" applyFill="1" applyBorder="1"/>
    <xf numFmtId="1" fontId="9" fillId="3" borderId="2" xfId="0" applyNumberFormat="1" applyFont="1" applyFill="1" applyBorder="1" applyAlignment="1">
      <alignment horizontal="right"/>
    </xf>
    <xf numFmtId="9" fontId="9" fillId="0" borderId="2" xfId="2" applyFont="1" applyBorder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3" borderId="0" xfId="0" applyFont="1" applyFill="1"/>
    <xf numFmtId="0" fontId="9" fillId="3" borderId="5" xfId="0" applyFont="1" applyFill="1" applyBorder="1" applyAlignment="1">
      <alignment horizontal="right" vertical="center"/>
    </xf>
    <xf numFmtId="0" fontId="9" fillId="3" borderId="6" xfId="0" applyFont="1" applyFill="1" applyBorder="1" applyAlignment="1">
      <alignment horizontal="right" vertical="center"/>
    </xf>
    <xf numFmtId="166" fontId="9" fillId="3" borderId="5" xfId="0" applyNumberFormat="1" applyFont="1" applyFill="1" applyBorder="1" applyAlignment="1">
      <alignment horizontal="right" vertical="center"/>
    </xf>
    <xf numFmtId="166" fontId="9" fillId="3" borderId="6" xfId="0" applyNumberFormat="1" applyFont="1" applyFill="1" applyBorder="1" applyAlignment="1">
      <alignment horizontal="right" vertical="center"/>
    </xf>
    <xf numFmtId="0" fontId="10" fillId="3" borderId="0" xfId="0" applyFont="1" applyFill="1"/>
    <xf numFmtId="0" fontId="14" fillId="5" borderId="2" xfId="0" applyFont="1" applyFill="1" applyBorder="1"/>
    <xf numFmtId="166" fontId="9" fillId="3" borderId="5" xfId="0" applyNumberFormat="1" applyFont="1" applyFill="1" applyBorder="1" applyAlignment="1">
      <alignment vertical="center"/>
    </xf>
    <xf numFmtId="166" fontId="9" fillId="3" borderId="6" xfId="0" applyNumberFormat="1" applyFont="1" applyFill="1" applyBorder="1" applyAlignment="1">
      <alignment vertical="center"/>
    </xf>
    <xf numFmtId="0" fontId="11" fillId="4" borderId="8" xfId="0" applyFont="1" applyFill="1" applyBorder="1" applyAlignment="1">
      <alignment horizontal="left"/>
    </xf>
    <xf numFmtId="169" fontId="10" fillId="4" borderId="8" xfId="0" applyNumberFormat="1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</cellXfs>
  <cellStyles count="6">
    <cellStyle name="Currency" xfId="1" builtinId="4"/>
    <cellStyle name="Normal" xfId="0" builtinId="0"/>
    <cellStyle name="Normal 2" xfId="3" xr:uid="{47997285-B3F5-F244-B205-73B85F68F6F7}"/>
    <cellStyle name="Normal 3" xfId="5" xr:uid="{B9995DE2-6BC8-2D45-B0CA-8CAD653AB999}"/>
    <cellStyle name="Percent" xfId="2" builtinId="5"/>
    <cellStyle name="Percent 2" xfId="4" xr:uid="{FD7D5D8B-C45B-C54F-92D6-932DA4275992}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5" workbookViewId="0">
      <selection activeCell="G22" sqref="G22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55">
        <f>_xlfn.COVARIANCE.S(E3:E7,F3:F7)</f>
        <v>10.25</v>
      </c>
      <c r="D17" s="156"/>
    </row>
    <row r="18" spans="2:4" ht="15.75" customHeight="1" x14ac:dyDescent="0.2">
      <c r="B18" s="58" t="s">
        <v>164</v>
      </c>
      <c r="C18" s="155">
        <f>CORREL(E3:E7,F3:F7)</f>
        <v>0.67770909502996846</v>
      </c>
      <c r="D18" s="156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abSelected="1" topLeftCell="A24" workbookViewId="0">
      <selection activeCell="D54" sqref="D54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62" t="s">
        <v>190</v>
      </c>
      <c r="B1" s="162"/>
      <c r="C1" s="162"/>
      <c r="D1" s="162"/>
      <c r="E1" s="162"/>
      <c r="F1" s="162"/>
      <c r="G1" s="162"/>
      <c r="H1" s="79"/>
    </row>
    <row r="2" spans="1:8" x14ac:dyDescent="0.2">
      <c r="H2" s="79"/>
    </row>
    <row r="3" spans="1:8" x14ac:dyDescent="0.2">
      <c r="A3" s="102" t="s">
        <v>255</v>
      </c>
      <c r="B3" s="102" t="s">
        <v>5</v>
      </c>
      <c r="C3" s="102" t="s">
        <v>109</v>
      </c>
      <c r="D3" s="101" t="s">
        <v>35</v>
      </c>
      <c r="E3" s="101" t="s">
        <v>167</v>
      </c>
      <c r="F3" s="79"/>
      <c r="G3" s="80"/>
      <c r="H3" s="79"/>
    </row>
    <row r="4" spans="1:8" x14ac:dyDescent="0.2">
      <c r="A4" s="81">
        <v>0</v>
      </c>
      <c r="B4" s="81">
        <v>61</v>
      </c>
      <c r="C4" s="107">
        <f>B4/$B$9</f>
        <v>0.48799999999999999</v>
      </c>
      <c r="D4" s="117">
        <f>A4*C4</f>
        <v>0</v>
      </c>
      <c r="E4" s="117">
        <f>((A4-$D$9)^2)*C4</f>
        <v>0.44227635200000004</v>
      </c>
      <c r="F4" s="79"/>
      <c r="G4" s="80"/>
      <c r="H4" s="79"/>
    </row>
    <row r="5" spans="1:8" x14ac:dyDescent="0.2">
      <c r="A5" s="81">
        <v>1</v>
      </c>
      <c r="B5" s="81">
        <v>35</v>
      </c>
      <c r="C5" s="107">
        <f t="shared" ref="C5:C8" si="0">B5/$B$9</f>
        <v>0.28000000000000003</v>
      </c>
      <c r="D5" s="117">
        <f t="shared" ref="D5:D8" si="1">A5*C5</f>
        <v>0.28000000000000003</v>
      </c>
      <c r="E5" s="117">
        <f t="shared" ref="E5:E8" si="2">((A5-$D$9)^2)*C5</f>
        <v>6.4511999999999827E-4</v>
      </c>
      <c r="F5" s="79"/>
      <c r="G5" s="79"/>
      <c r="H5" s="79"/>
    </row>
    <row r="6" spans="1:8" x14ac:dyDescent="0.2">
      <c r="A6" s="81">
        <v>2</v>
      </c>
      <c r="B6" s="81">
        <v>10</v>
      </c>
      <c r="C6" s="107">
        <f t="shared" si="0"/>
        <v>0.08</v>
      </c>
      <c r="D6" s="117">
        <f t="shared" si="1"/>
        <v>0.16</v>
      </c>
      <c r="E6" s="117">
        <f t="shared" si="2"/>
        <v>8.786432000000001E-2</v>
      </c>
      <c r="F6" s="79"/>
      <c r="G6" s="79"/>
      <c r="H6" s="79"/>
    </row>
    <row r="7" spans="1:8" x14ac:dyDescent="0.2">
      <c r="A7" s="81">
        <v>3</v>
      </c>
      <c r="B7" s="81">
        <v>12</v>
      </c>
      <c r="C7" s="107">
        <f t="shared" si="0"/>
        <v>9.6000000000000002E-2</v>
      </c>
      <c r="D7" s="117">
        <f t="shared" si="1"/>
        <v>0.28800000000000003</v>
      </c>
      <c r="E7" s="117">
        <f t="shared" si="2"/>
        <v>0.402653184</v>
      </c>
      <c r="F7" s="79"/>
      <c r="G7" s="82"/>
      <c r="H7" s="79"/>
    </row>
    <row r="8" spans="1:8" x14ac:dyDescent="0.2">
      <c r="A8" s="81">
        <v>4</v>
      </c>
      <c r="B8" s="81">
        <v>7</v>
      </c>
      <c r="C8" s="107">
        <f t="shared" si="0"/>
        <v>5.6000000000000001E-2</v>
      </c>
      <c r="D8" s="117">
        <f t="shared" si="1"/>
        <v>0.224</v>
      </c>
      <c r="E8" s="117">
        <f t="shared" si="2"/>
        <v>0.52025702400000007</v>
      </c>
      <c r="F8" s="79"/>
      <c r="G8" s="82"/>
      <c r="H8" s="79"/>
    </row>
    <row r="9" spans="1:8" x14ac:dyDescent="0.2">
      <c r="A9" s="79"/>
      <c r="B9" s="116">
        <f>SUM(B4:B8)</f>
        <v>125</v>
      </c>
      <c r="C9" s="116">
        <f t="shared" ref="C9" si="3">SUM(C4:C8)</f>
        <v>1</v>
      </c>
      <c r="D9" s="117">
        <f>SUM(D4:D8)</f>
        <v>0.95200000000000007</v>
      </c>
      <c r="E9" s="117">
        <f>SQRT(SUM(E4:E8))</f>
        <v>1.2056931616294422</v>
      </c>
      <c r="F9" s="79"/>
      <c r="G9" s="82"/>
      <c r="H9" s="79"/>
    </row>
    <row r="10" spans="1:8" x14ac:dyDescent="0.2">
      <c r="B10" s="89"/>
      <c r="C10" s="89"/>
      <c r="D10" s="90"/>
      <c r="E10" s="90"/>
      <c r="F10" s="79"/>
      <c r="G10" s="82"/>
      <c r="H10" s="79"/>
    </row>
    <row r="11" spans="1:8" x14ac:dyDescent="0.2">
      <c r="B11" s="89"/>
      <c r="C11" s="89"/>
      <c r="D11" s="90"/>
      <c r="E11" s="90"/>
      <c r="F11" s="79"/>
      <c r="G11" s="82"/>
      <c r="H11" s="79"/>
    </row>
    <row r="12" spans="1:8" x14ac:dyDescent="0.2">
      <c r="B12" s="89"/>
      <c r="C12" s="89"/>
      <c r="D12" s="90"/>
      <c r="E12" s="90"/>
      <c r="F12" s="79"/>
      <c r="G12" s="82"/>
      <c r="H12" s="79"/>
    </row>
    <row r="13" spans="1:8" x14ac:dyDescent="0.2">
      <c r="B13" s="89"/>
      <c r="C13" s="89"/>
      <c r="D13" s="90"/>
      <c r="E13" s="90"/>
      <c r="F13" s="79"/>
      <c r="G13" s="82"/>
      <c r="H13" s="79"/>
    </row>
    <row r="14" spans="1:8" ht="25" x14ac:dyDescent="0.25">
      <c r="A14" s="162" t="s">
        <v>189</v>
      </c>
      <c r="B14" s="162"/>
      <c r="C14" s="162"/>
      <c r="D14" s="162"/>
      <c r="E14" s="162"/>
      <c r="F14" s="162"/>
      <c r="G14" s="162"/>
      <c r="H14" s="79"/>
    </row>
    <row r="15" spans="1:8" x14ac:dyDescent="0.2">
      <c r="B15" s="89"/>
      <c r="C15" s="89"/>
      <c r="D15" s="90"/>
      <c r="E15" s="90"/>
      <c r="F15" s="79"/>
      <c r="G15" s="82"/>
      <c r="H15" s="79"/>
    </row>
    <row r="16" spans="1:8" x14ac:dyDescent="0.2">
      <c r="A16" s="105" t="s">
        <v>186</v>
      </c>
      <c r="B16" s="83">
        <v>20</v>
      </c>
      <c r="C16" s="89"/>
      <c r="D16" s="90"/>
      <c r="E16" s="90"/>
      <c r="F16" s="79"/>
      <c r="G16" s="82"/>
      <c r="H16" s="79"/>
    </row>
    <row r="17" spans="1:8" x14ac:dyDescent="0.2">
      <c r="A17" s="105" t="s">
        <v>187</v>
      </c>
      <c r="B17" s="91">
        <v>42</v>
      </c>
      <c r="C17" s="89"/>
      <c r="D17" s="90"/>
      <c r="E17" s="90"/>
      <c r="F17" s="79"/>
      <c r="G17" s="82"/>
      <c r="H17" s="79"/>
    </row>
    <row r="18" spans="1:8" x14ac:dyDescent="0.2">
      <c r="A18" s="105" t="s">
        <v>197</v>
      </c>
      <c r="B18" s="117">
        <f>1/(B17-B16)</f>
        <v>4.5454545454545456E-2</v>
      </c>
      <c r="C18" s="89"/>
      <c r="D18" s="90"/>
      <c r="E18" s="90"/>
      <c r="F18" s="79"/>
      <c r="G18" s="82"/>
      <c r="H18" s="79"/>
    </row>
    <row r="19" spans="1:8" x14ac:dyDescent="0.2">
      <c r="A19" s="105" t="s">
        <v>74</v>
      </c>
      <c r="B19" s="146">
        <f>(B17+B16)/2</f>
        <v>31</v>
      </c>
      <c r="C19" s="89"/>
      <c r="D19" s="90"/>
      <c r="E19" s="90"/>
      <c r="F19" s="79"/>
      <c r="G19" s="82"/>
      <c r="H19" s="79"/>
    </row>
    <row r="20" spans="1:8" x14ac:dyDescent="0.2">
      <c r="A20" s="105" t="s">
        <v>169</v>
      </c>
      <c r="B20" s="146">
        <f>(B17-B16)/SQRT(12)</f>
        <v>6.3508529610858835</v>
      </c>
      <c r="C20" s="89"/>
      <c r="D20" s="90"/>
      <c r="E20" s="90"/>
      <c r="F20" s="79"/>
      <c r="G20" s="82"/>
      <c r="H20" s="79"/>
    </row>
    <row r="21" spans="1:8" x14ac:dyDescent="0.2">
      <c r="B21" s="89"/>
      <c r="C21" s="90"/>
      <c r="D21" s="90"/>
      <c r="E21" s="90"/>
      <c r="F21" s="79"/>
      <c r="G21" s="82"/>
      <c r="H21" s="79"/>
    </row>
    <row r="22" spans="1:8" x14ac:dyDescent="0.2">
      <c r="A22" s="102" t="s">
        <v>182</v>
      </c>
      <c r="B22" s="102" t="s">
        <v>180</v>
      </c>
      <c r="C22" s="102" t="s">
        <v>184</v>
      </c>
      <c r="D22" s="90"/>
      <c r="E22" s="102" t="s">
        <v>195</v>
      </c>
      <c r="F22" s="102" t="s">
        <v>198</v>
      </c>
      <c r="G22" s="82"/>
      <c r="H22" s="79"/>
    </row>
    <row r="23" spans="1:8" x14ac:dyDescent="0.2">
      <c r="A23" s="105" t="s">
        <v>257</v>
      </c>
      <c r="B23" s="83">
        <v>24</v>
      </c>
      <c r="C23" s="108">
        <f>$B$18*0</f>
        <v>0</v>
      </c>
      <c r="D23" s="90"/>
      <c r="E23" s="81">
        <v>70</v>
      </c>
      <c r="F23" s="106">
        <f>((E23/100)/B18) + B16</f>
        <v>35.4</v>
      </c>
      <c r="G23" s="82"/>
      <c r="H23" s="79"/>
    </row>
    <row r="24" spans="1:8" x14ac:dyDescent="0.2">
      <c r="A24" s="109" t="s">
        <v>260</v>
      </c>
      <c r="B24" s="83">
        <v>31</v>
      </c>
      <c r="C24" s="108">
        <f>$B$18*(B24-B16)</f>
        <v>0.5</v>
      </c>
      <c r="F24" s="79"/>
      <c r="G24" s="82"/>
      <c r="H24" s="79"/>
    </row>
    <row r="25" spans="1:8" x14ac:dyDescent="0.2">
      <c r="A25" s="105" t="s">
        <v>256</v>
      </c>
      <c r="B25" s="83">
        <v>28</v>
      </c>
      <c r="C25" s="108">
        <f>$B$18*($B$17-B25)</f>
        <v>0.63636363636363635</v>
      </c>
      <c r="F25" s="79"/>
      <c r="G25" s="82"/>
      <c r="H25" s="79"/>
    </row>
    <row r="26" spans="1:8" x14ac:dyDescent="0.2">
      <c r="A26" s="158" t="s">
        <v>196</v>
      </c>
      <c r="B26" s="83">
        <v>29</v>
      </c>
      <c r="C26" s="160">
        <f>$B$18*($B$17-B26) - $B$18*($B$17-B27)</f>
        <v>0.36363636363636365</v>
      </c>
      <c r="F26" s="79"/>
      <c r="G26" s="82"/>
      <c r="H26" s="79"/>
    </row>
    <row r="27" spans="1:8" x14ac:dyDescent="0.2">
      <c r="A27" s="159"/>
      <c r="B27" s="81">
        <v>37</v>
      </c>
      <c r="C27" s="161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57" t="s">
        <v>192</v>
      </c>
      <c r="B30" s="157"/>
      <c r="C30" s="157"/>
      <c r="D30" s="157"/>
      <c r="E30" s="157"/>
      <c r="F30" s="157"/>
      <c r="G30" s="157"/>
      <c r="H30" s="79"/>
    </row>
    <row r="31" spans="1:8" x14ac:dyDescent="0.2">
      <c r="F31" s="79"/>
      <c r="G31" s="82"/>
      <c r="H31" s="79"/>
    </row>
    <row r="32" spans="1:8" x14ac:dyDescent="0.2">
      <c r="A32" s="105" t="s">
        <v>74</v>
      </c>
      <c r="B32" s="84">
        <v>92.1</v>
      </c>
      <c r="F32" s="79"/>
      <c r="G32" s="82"/>
      <c r="H32" s="79"/>
    </row>
    <row r="33" spans="1:8" x14ac:dyDescent="0.2">
      <c r="A33" s="105" t="s">
        <v>169</v>
      </c>
      <c r="B33" s="84">
        <v>3.8</v>
      </c>
      <c r="C33" s="79"/>
      <c r="F33" s="79"/>
      <c r="G33" s="82"/>
      <c r="H33" s="79"/>
    </row>
    <row r="34" spans="1:8" x14ac:dyDescent="0.2">
      <c r="A34" s="105" t="s">
        <v>228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2" t="s">
        <v>182</v>
      </c>
      <c r="B36" s="102" t="s">
        <v>180</v>
      </c>
      <c r="C36" s="102" t="s">
        <v>184</v>
      </c>
      <c r="E36" s="102" t="s">
        <v>195</v>
      </c>
      <c r="F36" s="102" t="s">
        <v>199</v>
      </c>
      <c r="G36" s="82"/>
    </row>
    <row r="37" spans="1:8" x14ac:dyDescent="0.2">
      <c r="A37" s="105" t="s">
        <v>257</v>
      </c>
      <c r="B37" s="83">
        <v>170</v>
      </c>
      <c r="C37" s="108">
        <f>_xlfn.NORM.DIST(B37,$B$32,$B$33,FALSE)</f>
        <v>5.8210115268694259E-93</v>
      </c>
      <c r="E37" s="81">
        <v>35</v>
      </c>
      <c r="F37" s="106">
        <f>_xlfn.NORM.INV(E37/100, B32, B33)</f>
        <v>90.635782227651234</v>
      </c>
      <c r="G37" s="82"/>
    </row>
    <row r="38" spans="1:8" x14ac:dyDescent="0.2">
      <c r="A38" s="109" t="s">
        <v>260</v>
      </c>
      <c r="B38" s="83">
        <v>170</v>
      </c>
      <c r="C38" s="108">
        <f>_xlfn.NORM.DIST(B38,$B$32,$B$33,TRUE)</f>
        <v>1</v>
      </c>
      <c r="E38" s="116" t="s">
        <v>226</v>
      </c>
      <c r="F38" s="106">
        <f>B32 - (B34 * B33)</f>
        <v>88.3</v>
      </c>
      <c r="G38" s="82"/>
    </row>
    <row r="39" spans="1:8" x14ac:dyDescent="0.2">
      <c r="A39" s="105" t="s">
        <v>256</v>
      </c>
      <c r="B39" s="83">
        <v>90</v>
      </c>
      <c r="C39" s="108">
        <f>(1-_xlfn.NORM.DIST(B39,$B$32,$B$33,TRUE))</f>
        <v>0.70974214320182194</v>
      </c>
      <c r="D39" s="87"/>
      <c r="E39" s="112" t="s">
        <v>227</v>
      </c>
      <c r="F39" s="106">
        <f>B32 + (B34 * B33)</f>
        <v>95.899999999999991</v>
      </c>
      <c r="G39" s="82"/>
    </row>
    <row r="40" spans="1:8" x14ac:dyDescent="0.2">
      <c r="A40" s="158" t="s">
        <v>196</v>
      </c>
      <c r="B40" s="83">
        <v>14</v>
      </c>
      <c r="C40" s="160">
        <f>_xlfn.NORM.DIST(B41,$B$32,$B$33,TRUE) - _xlfn.NORM.DIST(B40,$B$32,$B$33,TRUE)</f>
        <v>9.0980992495193636E-83</v>
      </c>
      <c r="F40" s="87"/>
      <c r="G40" s="82"/>
    </row>
    <row r="41" spans="1:8" x14ac:dyDescent="0.2">
      <c r="A41" s="159"/>
      <c r="B41" s="81">
        <v>19</v>
      </c>
      <c r="C41" s="161"/>
      <c r="F41" s="79"/>
      <c r="G41" s="79"/>
    </row>
    <row r="42" spans="1:8" x14ac:dyDescent="0.2">
      <c r="A42" s="89"/>
      <c r="B42" s="79"/>
      <c r="C42" s="92"/>
      <c r="F42" s="79"/>
      <c r="G42" s="79"/>
    </row>
    <row r="43" spans="1:8" x14ac:dyDescent="0.2">
      <c r="A43" s="89"/>
      <c r="B43" s="79"/>
      <c r="C43" s="92"/>
      <c r="F43" s="79"/>
      <c r="G43" s="79"/>
    </row>
    <row r="44" spans="1:8" x14ac:dyDescent="0.2">
      <c r="F44" s="79"/>
      <c r="G44" s="79"/>
    </row>
    <row r="46" spans="1:8" ht="25" x14ac:dyDescent="0.25">
      <c r="A46" s="157" t="s">
        <v>191</v>
      </c>
      <c r="B46" s="157"/>
      <c r="C46" s="157"/>
      <c r="D46" s="157"/>
      <c r="E46" s="157"/>
      <c r="F46" s="157"/>
      <c r="G46" s="157"/>
    </row>
    <row r="48" spans="1:8" x14ac:dyDescent="0.2">
      <c r="A48" s="105" t="s">
        <v>168</v>
      </c>
      <c r="B48" s="83">
        <v>7.0999999999999994E-2</v>
      </c>
    </row>
    <row r="49" spans="1:3" x14ac:dyDescent="0.2">
      <c r="A49" s="105" t="s">
        <v>30</v>
      </c>
      <c r="B49" s="83">
        <v>100</v>
      </c>
    </row>
    <row r="50" spans="1:3" x14ac:dyDescent="0.2">
      <c r="A50" s="105" t="s">
        <v>74</v>
      </c>
      <c r="B50" s="105">
        <f>B49*B48</f>
        <v>7.1</v>
      </c>
    </row>
    <row r="51" spans="1:3" x14ac:dyDescent="0.2">
      <c r="A51" s="105" t="s">
        <v>170</v>
      </c>
      <c r="B51" s="105">
        <f>B49*(1-B48)*B48</f>
        <v>6.5958999999999994</v>
      </c>
    </row>
    <row r="52" spans="1:3" x14ac:dyDescent="0.2">
      <c r="A52" s="105" t="s">
        <v>169</v>
      </c>
      <c r="B52" s="109">
        <f>SQRT(B51)</f>
        <v>2.568248430350927</v>
      </c>
    </row>
    <row r="53" spans="1:3" x14ac:dyDescent="0.2">
      <c r="A53" s="86"/>
      <c r="B53" s="86"/>
    </row>
    <row r="55" spans="1:3" x14ac:dyDescent="0.2">
      <c r="A55" s="102" t="s">
        <v>182</v>
      </c>
      <c r="B55" s="102" t="s">
        <v>180</v>
      </c>
      <c r="C55" s="102" t="s">
        <v>181</v>
      </c>
    </row>
    <row r="56" spans="1:3" x14ac:dyDescent="0.2">
      <c r="A56" s="105" t="s">
        <v>257</v>
      </c>
      <c r="B56" s="83">
        <v>1</v>
      </c>
      <c r="C56" s="108">
        <f>_xlfn.BINOM.DIST(B56,$B$49,$B$48,FALSE)</f>
        <v>4.8396508822861123E-3</v>
      </c>
    </row>
    <row r="57" spans="1:3" x14ac:dyDescent="0.2">
      <c r="A57" s="109" t="s">
        <v>260</v>
      </c>
      <c r="B57" s="83">
        <v>1</v>
      </c>
      <c r="C57" s="108">
        <f>_xlfn.BINOM.DIST(B57, $B$49, $B$48, TRUE)</f>
        <v>5.4728953427993282E-3</v>
      </c>
    </row>
    <row r="58" spans="1:3" x14ac:dyDescent="0.2">
      <c r="A58" s="105" t="s">
        <v>256</v>
      </c>
      <c r="B58" s="83">
        <v>5</v>
      </c>
      <c r="C58" s="108">
        <f>1 - _xlfn.BINOM.DIST(B58,$B$49,$B$48,TRUE)</f>
        <v>0.72148233135432849</v>
      </c>
    </row>
    <row r="59" spans="1:3" x14ac:dyDescent="0.2">
      <c r="A59" s="158" t="s">
        <v>196</v>
      </c>
      <c r="B59" s="83">
        <v>2</v>
      </c>
      <c r="C59" s="160">
        <f>_xlfn.BINOM.DIST(B60,$B$49,$B$48,TRUE) - _xlfn.BINOM.DIST(B59,$B$49,$B$48,TRUE)</f>
        <v>0.40516176722632513</v>
      </c>
    </row>
    <row r="60" spans="1:3" x14ac:dyDescent="0.2">
      <c r="A60" s="159"/>
      <c r="B60" s="81">
        <v>6</v>
      </c>
      <c r="C60" s="161"/>
    </row>
    <row r="61" spans="1:3" x14ac:dyDescent="0.2">
      <c r="A61" s="89"/>
      <c r="B61" s="79"/>
      <c r="C61" s="92"/>
    </row>
    <row r="62" spans="1:3" x14ac:dyDescent="0.2">
      <c r="A62" s="89"/>
      <c r="B62" s="79"/>
      <c r="C62" s="92"/>
    </row>
    <row r="63" spans="1:3" x14ac:dyDescent="0.2">
      <c r="A63" s="80"/>
      <c r="B63" s="80"/>
      <c r="C63" s="87"/>
    </row>
    <row r="65" spans="1:7" ht="25" x14ac:dyDescent="0.25">
      <c r="A65" s="157" t="s">
        <v>193</v>
      </c>
      <c r="B65" s="157"/>
      <c r="C65" s="157"/>
      <c r="D65" s="157"/>
      <c r="E65" s="157"/>
      <c r="F65" s="157"/>
      <c r="G65" s="157"/>
    </row>
    <row r="67" spans="1:7" x14ac:dyDescent="0.2">
      <c r="A67" s="105" t="s">
        <v>188</v>
      </c>
      <c r="B67" s="84">
        <f>1/3.4</f>
        <v>0.29411764705882354</v>
      </c>
    </row>
    <row r="68" spans="1:7" x14ac:dyDescent="0.2">
      <c r="A68" s="105" t="s">
        <v>169</v>
      </c>
      <c r="B68" s="107">
        <f>SQRT(B67)</f>
        <v>0.54232614454664041</v>
      </c>
    </row>
    <row r="70" spans="1:7" x14ac:dyDescent="0.2">
      <c r="A70" s="102" t="s">
        <v>182</v>
      </c>
      <c r="B70" s="102" t="s">
        <v>180</v>
      </c>
      <c r="C70" s="102" t="s">
        <v>183</v>
      </c>
    </row>
    <row r="71" spans="1:7" x14ac:dyDescent="0.2">
      <c r="A71" s="105" t="s">
        <v>257</v>
      </c>
      <c r="B71" s="83">
        <v>5</v>
      </c>
      <c r="C71" s="108">
        <f>_xlfn.POISSON.DIST(B71,$B$67,FALSE)</f>
        <v>1.3667544531873795E-5</v>
      </c>
    </row>
    <row r="72" spans="1:7" x14ac:dyDescent="0.2">
      <c r="A72" s="109" t="s">
        <v>260</v>
      </c>
      <c r="B72" s="83">
        <v>2.4</v>
      </c>
      <c r="C72" s="108">
        <f>_xlfn.POISSON.DIST(B72,$B$67,TRUE)</f>
        <v>0.9965933487048797</v>
      </c>
    </row>
    <row r="73" spans="1:7" x14ac:dyDescent="0.2">
      <c r="A73" s="105" t="s">
        <v>256</v>
      </c>
      <c r="B73" s="83">
        <v>6</v>
      </c>
      <c r="C73" s="108">
        <f>(1 - _xlfn.POISSON.DIST(B73,$B$67,TRUE))</f>
        <v>2.9220104225124999E-8</v>
      </c>
    </row>
    <row r="74" spans="1:7" x14ac:dyDescent="0.2">
      <c r="A74" s="158" t="s">
        <v>196</v>
      </c>
      <c r="B74" s="83">
        <v>2</v>
      </c>
      <c r="C74" s="160">
        <f>_xlfn.POISSON.DIST(B75,$B$67,TRUE) - _xlfn.POISSON.DIST(B74,$B$67,TRUE)</f>
        <v>3.4059520973428459E-3</v>
      </c>
    </row>
    <row r="75" spans="1:7" x14ac:dyDescent="0.2">
      <c r="A75" s="159"/>
      <c r="B75" s="81">
        <v>5</v>
      </c>
      <c r="C75" s="161"/>
    </row>
    <row r="76" spans="1:7" x14ac:dyDescent="0.2">
      <c r="A76" s="89"/>
      <c r="B76" s="79"/>
      <c r="C76" s="92"/>
    </row>
    <row r="77" spans="1:7" x14ac:dyDescent="0.2">
      <c r="A77" s="89"/>
      <c r="B77" s="79"/>
      <c r="C77" s="92"/>
    </row>
    <row r="78" spans="1:7" x14ac:dyDescent="0.2">
      <c r="A78" s="80"/>
      <c r="B78" s="80"/>
      <c r="C78" s="87"/>
    </row>
    <row r="79" spans="1:7" x14ac:dyDescent="0.2">
      <c r="A79" s="80"/>
      <c r="B79" s="80"/>
      <c r="C79" s="87"/>
    </row>
    <row r="80" spans="1:7" ht="25" x14ac:dyDescent="0.25">
      <c r="A80" s="157" t="s">
        <v>194</v>
      </c>
      <c r="B80" s="157"/>
      <c r="C80" s="157"/>
      <c r="D80" s="157"/>
      <c r="E80" s="157"/>
      <c r="F80" s="157"/>
      <c r="G80" s="157"/>
    </row>
    <row r="81" spans="1:7" x14ac:dyDescent="0.2">
      <c r="B81" s="80"/>
      <c r="C81" s="87"/>
    </row>
    <row r="82" spans="1:7" x14ac:dyDescent="0.2">
      <c r="A82" s="105" t="s">
        <v>74</v>
      </c>
      <c r="B82" s="84">
        <f>1/5</f>
        <v>0.2</v>
      </c>
      <c r="C82" s="87"/>
    </row>
    <row r="83" spans="1:7" x14ac:dyDescent="0.2">
      <c r="B83" s="80"/>
      <c r="C83" s="87"/>
    </row>
    <row r="84" spans="1:7" x14ac:dyDescent="0.2">
      <c r="A84" s="102" t="s">
        <v>182</v>
      </c>
      <c r="B84" s="102" t="s">
        <v>180</v>
      </c>
      <c r="C84" s="102" t="s">
        <v>185</v>
      </c>
    </row>
    <row r="85" spans="1:7" x14ac:dyDescent="0.2">
      <c r="A85" s="105" t="s">
        <v>257</v>
      </c>
      <c r="B85" s="84">
        <v>1</v>
      </c>
      <c r="C85" s="108">
        <f>_xlfn.EXPON.DIST(B85,$B$82,FALSE)</f>
        <v>0.16374615061559639</v>
      </c>
    </row>
    <row r="86" spans="1:7" x14ac:dyDescent="0.2">
      <c r="A86" s="109" t="s">
        <v>260</v>
      </c>
      <c r="B86" s="84">
        <v>2.2000000000000002</v>
      </c>
      <c r="C86" s="108">
        <f>_xlfn.EXPON.DIST(B86,$B$82,TRUE)</f>
        <v>0.35596357891685865</v>
      </c>
      <c r="E86" s="88"/>
    </row>
    <row r="87" spans="1:7" x14ac:dyDescent="0.2">
      <c r="A87" s="105" t="s">
        <v>256</v>
      </c>
      <c r="B87" s="84">
        <v>2.7</v>
      </c>
      <c r="C87" s="108">
        <f>1 - _xlfn.EXPON.DIST(B87,$B$82,TRUE)</f>
        <v>0.58274825237398964</v>
      </c>
    </row>
    <row r="88" spans="1:7" x14ac:dyDescent="0.2">
      <c r="A88" s="158" t="s">
        <v>196</v>
      </c>
      <c r="B88" s="84">
        <v>2.1</v>
      </c>
      <c r="C88" s="160">
        <f>_xlfn.EXPON.DIST(B89,$B$82,TRUE) - _xlfn.EXPON.DIST(B88,$B$82,TRUE)</f>
        <v>0.25047716007445764</v>
      </c>
    </row>
    <row r="89" spans="1:7" x14ac:dyDescent="0.2">
      <c r="A89" s="159"/>
      <c r="B89" s="149">
        <v>4.5</v>
      </c>
      <c r="C89" s="161"/>
    </row>
    <row r="90" spans="1:7" x14ac:dyDescent="0.2">
      <c r="A90" s="89"/>
      <c r="B90" s="79"/>
      <c r="C90" s="92"/>
    </row>
    <row r="91" spans="1:7" x14ac:dyDescent="0.2">
      <c r="A91" s="89"/>
      <c r="B91" s="79"/>
      <c r="C91" s="92"/>
    </row>
    <row r="92" spans="1:7" x14ac:dyDescent="0.2">
      <c r="A92" s="89"/>
      <c r="B92" s="79"/>
      <c r="C92" s="92"/>
    </row>
    <row r="93" spans="1:7" x14ac:dyDescent="0.2">
      <c r="A93" s="80"/>
      <c r="B93" s="80"/>
      <c r="C93" s="87"/>
    </row>
    <row r="94" spans="1:7" ht="25" x14ac:dyDescent="0.25">
      <c r="A94" s="157" t="s">
        <v>179</v>
      </c>
      <c r="B94" s="157"/>
      <c r="C94" s="157"/>
      <c r="D94" s="157"/>
      <c r="E94" s="157"/>
      <c r="F94" s="157"/>
      <c r="G94" s="157"/>
    </row>
    <row r="95" spans="1:7" x14ac:dyDescent="0.2">
      <c r="D95" s="75"/>
      <c r="E95" s="75"/>
    </row>
    <row r="96" spans="1:7" x14ac:dyDescent="0.2">
      <c r="A96" s="75" t="s">
        <v>173</v>
      </c>
    </row>
    <row r="97" spans="1:7" x14ac:dyDescent="0.2">
      <c r="A97" s="79" t="s">
        <v>172</v>
      </c>
      <c r="B97" s="79"/>
      <c r="C97" s="79"/>
      <c r="D97" s="85"/>
      <c r="E97" s="85"/>
      <c r="F97" s="79"/>
    </row>
    <row r="98" spans="1:7" x14ac:dyDescent="0.2">
      <c r="A98" s="75" t="s">
        <v>171</v>
      </c>
      <c r="B98" s="79"/>
      <c r="C98" s="79"/>
      <c r="D98" s="85"/>
      <c r="E98" s="85"/>
      <c r="F98" s="79"/>
    </row>
    <row r="99" spans="1:7" x14ac:dyDescent="0.2">
      <c r="B99" s="79"/>
      <c r="C99" s="79"/>
      <c r="D99" s="85"/>
      <c r="E99" s="85"/>
      <c r="F99" s="79"/>
    </row>
    <row r="100" spans="1:7" x14ac:dyDescent="0.2">
      <c r="A100" s="101" t="s">
        <v>200</v>
      </c>
      <c r="B100" s="101" t="s">
        <v>174</v>
      </c>
      <c r="C100" s="101" t="s">
        <v>109</v>
      </c>
      <c r="D100" s="101" t="s">
        <v>179</v>
      </c>
      <c r="E100" s="85"/>
      <c r="F100" s="79"/>
    </row>
    <row r="101" spans="1:7" x14ac:dyDescent="0.2">
      <c r="A101" s="105" t="s">
        <v>176</v>
      </c>
      <c r="B101" s="81">
        <v>7000</v>
      </c>
      <c r="C101" s="147">
        <v>0.3</v>
      </c>
      <c r="D101" s="101">
        <f>B101*C101</f>
        <v>2100</v>
      </c>
    </row>
    <row r="102" spans="1:7" x14ac:dyDescent="0.2">
      <c r="A102" s="105" t="s">
        <v>177</v>
      </c>
      <c r="B102" s="81">
        <v>19000</v>
      </c>
      <c r="C102" s="147">
        <v>0.45</v>
      </c>
      <c r="D102" s="101">
        <f t="shared" ref="D102:D103" si="4">B102*C102</f>
        <v>8550</v>
      </c>
      <c r="E102" s="85"/>
      <c r="F102" s="79"/>
    </row>
    <row r="103" spans="1:7" x14ac:dyDescent="0.2">
      <c r="A103" s="105" t="s">
        <v>178</v>
      </c>
      <c r="B103" s="81">
        <v>37000</v>
      </c>
      <c r="C103" s="147">
        <v>0.25</v>
      </c>
      <c r="D103" s="101">
        <f t="shared" si="4"/>
        <v>9250</v>
      </c>
      <c r="E103" s="85"/>
      <c r="F103" s="79"/>
    </row>
    <row r="104" spans="1:7" x14ac:dyDescent="0.2">
      <c r="A104" s="79"/>
      <c r="B104" s="79"/>
      <c r="C104" s="79"/>
      <c r="D104" s="101">
        <f>SUM(D101:D103)</f>
        <v>19900</v>
      </c>
      <c r="E104" s="85"/>
      <c r="F104" s="79"/>
    </row>
    <row r="105" spans="1:7" x14ac:dyDescent="0.2">
      <c r="A105" s="79"/>
      <c r="B105" s="79"/>
      <c r="C105" s="79"/>
      <c r="D105" s="85"/>
      <c r="E105" s="85"/>
      <c r="F105" s="79"/>
    </row>
    <row r="106" spans="1:7" x14ac:dyDescent="0.2">
      <c r="A106" s="79" t="s">
        <v>201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202</v>
      </c>
      <c r="B107" s="79"/>
      <c r="C107" s="79"/>
      <c r="D107" s="79"/>
      <c r="E107" s="79"/>
      <c r="F107" s="79"/>
      <c r="G107" s="79"/>
    </row>
    <row r="108" spans="1:7" x14ac:dyDescent="0.2">
      <c r="A108" s="79" t="s">
        <v>203</v>
      </c>
      <c r="B108" s="79"/>
      <c r="C108" s="79"/>
      <c r="D108" s="79"/>
      <c r="E108" s="79"/>
      <c r="F108" s="79"/>
      <c r="G108" s="79"/>
    </row>
    <row r="109" spans="1:7" x14ac:dyDescent="0.2">
      <c r="A109" s="94"/>
      <c r="B109" s="79"/>
      <c r="C109" s="79"/>
      <c r="D109" s="79"/>
      <c r="E109" s="79"/>
      <c r="F109" s="79"/>
      <c r="G109" s="79"/>
    </row>
    <row r="110" spans="1:7" x14ac:dyDescent="0.2">
      <c r="A110" s="105" t="s">
        <v>204</v>
      </c>
      <c r="B110" s="93">
        <v>4</v>
      </c>
      <c r="C110" s="79"/>
      <c r="D110" s="79"/>
      <c r="E110" s="79"/>
      <c r="F110" s="79"/>
      <c r="G110" s="79"/>
    </row>
    <row r="111" spans="1:7" x14ac:dyDescent="0.2">
      <c r="A111" s="105" t="s">
        <v>205</v>
      </c>
      <c r="B111" s="93">
        <v>7</v>
      </c>
      <c r="C111" s="79"/>
      <c r="D111" s="79"/>
      <c r="E111" s="79"/>
      <c r="F111" s="79"/>
      <c r="G111" s="79"/>
    </row>
    <row r="112" spans="1:7" x14ac:dyDescent="0.2">
      <c r="A112" s="105" t="s">
        <v>207</v>
      </c>
      <c r="B112" s="81">
        <v>75</v>
      </c>
      <c r="C112" s="79"/>
      <c r="D112" s="79"/>
      <c r="E112" s="79"/>
      <c r="F112" s="79"/>
      <c r="G112" s="79"/>
    </row>
    <row r="113" spans="1:7" x14ac:dyDescent="0.2">
      <c r="A113" s="105" t="s">
        <v>206</v>
      </c>
      <c r="B113" s="148">
        <f>B112*B110</f>
        <v>300</v>
      </c>
      <c r="C113" s="79"/>
      <c r="D113" s="79"/>
      <c r="E113" s="79"/>
      <c r="F113" s="79"/>
      <c r="G113" s="79"/>
    </row>
    <row r="115" spans="1:7" x14ac:dyDescent="0.2">
      <c r="A115" s="101" t="s">
        <v>200</v>
      </c>
      <c r="B115" s="101" t="s">
        <v>175</v>
      </c>
      <c r="C115" s="101" t="s">
        <v>109</v>
      </c>
      <c r="D115" s="101" t="s">
        <v>179</v>
      </c>
    </row>
    <row r="116" spans="1:7" x14ac:dyDescent="0.2">
      <c r="A116" s="105" t="s">
        <v>176</v>
      </c>
      <c r="B116" s="81">
        <v>25</v>
      </c>
      <c r="C116" s="147">
        <v>0.35</v>
      </c>
      <c r="D116" s="118">
        <f>C116*($B$111*MIN($B$112, B116) - $B$113)</f>
        <v>-43.75</v>
      </c>
    </row>
    <row r="117" spans="1:7" x14ac:dyDescent="0.2">
      <c r="A117" s="105" t="s">
        <v>177</v>
      </c>
      <c r="B117" s="81">
        <v>50</v>
      </c>
      <c r="C117" s="147">
        <v>0.2</v>
      </c>
      <c r="D117" s="118">
        <f t="shared" ref="D117:D118" si="5">C117*($B$111*MIN($B$112, B117) - $B$113)</f>
        <v>10</v>
      </c>
    </row>
    <row r="118" spans="1:7" x14ac:dyDescent="0.2">
      <c r="A118" s="105" t="s">
        <v>178</v>
      </c>
      <c r="B118" s="81">
        <v>75</v>
      </c>
      <c r="C118" s="147">
        <v>0.45</v>
      </c>
      <c r="D118" s="118">
        <f t="shared" si="5"/>
        <v>101.25</v>
      </c>
    </row>
    <row r="119" spans="1:7" x14ac:dyDescent="0.2">
      <c r="A119" s="79"/>
      <c r="B119" s="79"/>
      <c r="C119" s="79"/>
      <c r="D119" s="119">
        <f>SUM(D116:D118)</f>
        <v>67.5</v>
      </c>
    </row>
    <row r="120" spans="1:7" x14ac:dyDescent="0.2">
      <c r="A120" s="79"/>
      <c r="B120" s="79"/>
      <c r="C120" s="79"/>
      <c r="F120" s="76"/>
    </row>
    <row r="121" spans="1:7" x14ac:dyDescent="0.2">
      <c r="A121" s="79"/>
      <c r="B121" s="79"/>
      <c r="C121" s="79"/>
      <c r="F121" s="76"/>
    </row>
  </sheetData>
  <mergeCells count="17">
    <mergeCell ref="A1:G1"/>
    <mergeCell ref="A14:G14"/>
    <mergeCell ref="A30:G30"/>
    <mergeCell ref="A46:G46"/>
    <mergeCell ref="A65:G65"/>
    <mergeCell ref="A26:A27"/>
    <mergeCell ref="C26:C27"/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73"/>
  <sheetViews>
    <sheetView topLeftCell="A38" workbookViewId="0">
      <selection activeCell="F66" sqref="F66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57" t="s">
        <v>208</v>
      </c>
      <c r="B1" s="162"/>
      <c r="C1" s="162"/>
      <c r="D1" s="162"/>
      <c r="E1" s="162"/>
      <c r="F1" s="162"/>
      <c r="G1" s="162"/>
    </row>
    <row r="3" spans="1:7" x14ac:dyDescent="0.2">
      <c r="A3" s="101" t="s">
        <v>27</v>
      </c>
      <c r="B3" s="102" t="s">
        <v>229</v>
      </c>
      <c r="C3" s="143" t="s">
        <v>74</v>
      </c>
      <c r="D3" s="97">
        <f>AVERAGE(A4:A23)</f>
        <v>34.6</v>
      </c>
    </row>
    <row r="4" spans="1:7" x14ac:dyDescent="0.2">
      <c r="A4" s="141">
        <v>25</v>
      </c>
      <c r="B4" s="77" cm="1">
        <f t="array" ref="B4:B23">_xlfn._xlws.SORT(A4:A23)</f>
        <v>5</v>
      </c>
      <c r="C4" s="122"/>
    </row>
    <row r="5" spans="1:7" x14ac:dyDescent="0.2">
      <c r="A5" s="141">
        <v>20</v>
      </c>
      <c r="B5" s="77">
        <v>10</v>
      </c>
      <c r="C5" s="140" t="s">
        <v>211</v>
      </c>
      <c r="D5" s="102" t="s">
        <v>224</v>
      </c>
      <c r="E5" s="101" t="s">
        <v>210</v>
      </c>
    </row>
    <row r="6" spans="1:7" x14ac:dyDescent="0.2">
      <c r="A6" s="141">
        <v>5</v>
      </c>
      <c r="B6" s="77">
        <v>15</v>
      </c>
      <c r="C6" s="144">
        <v>5</v>
      </c>
      <c r="D6" s="103">
        <f>AVERAGE(A4:A8)</f>
        <v>20</v>
      </c>
      <c r="E6" s="104">
        <f>D6-$D$3</f>
        <v>-14.600000000000001</v>
      </c>
      <c r="F6" s="98"/>
    </row>
    <row r="7" spans="1:7" x14ac:dyDescent="0.2">
      <c r="A7" s="141">
        <v>17</v>
      </c>
      <c r="B7" s="77">
        <v>17</v>
      </c>
      <c r="C7" s="145">
        <v>10</v>
      </c>
      <c r="D7" s="103">
        <f>AVERAGE(A4:A13)</f>
        <v>28.8</v>
      </c>
      <c r="E7" s="104">
        <f>D7-$D$3</f>
        <v>-5.8000000000000007</v>
      </c>
    </row>
    <row r="8" spans="1:7" x14ac:dyDescent="0.2">
      <c r="A8" s="141">
        <v>33</v>
      </c>
      <c r="B8" s="77">
        <v>20</v>
      </c>
      <c r="C8" s="79"/>
    </row>
    <row r="9" spans="1:7" x14ac:dyDescent="0.2">
      <c r="A9" s="141">
        <v>20</v>
      </c>
      <c r="B9" s="77">
        <v>20</v>
      </c>
      <c r="C9" s="140" t="s">
        <v>211</v>
      </c>
      <c r="D9" s="102" t="s">
        <v>224</v>
      </c>
      <c r="E9" s="101" t="s">
        <v>210</v>
      </c>
    </row>
    <row r="10" spans="1:7" x14ac:dyDescent="0.2">
      <c r="A10" s="141">
        <v>41</v>
      </c>
      <c r="B10" s="77">
        <v>20</v>
      </c>
      <c r="C10" s="144" t="s">
        <v>231</v>
      </c>
      <c r="D10" s="103">
        <f>AVERAGE(B4:B8)</f>
        <v>13.4</v>
      </c>
      <c r="E10" s="104">
        <f>D10-$D$3</f>
        <v>-21.200000000000003</v>
      </c>
    </row>
    <row r="11" spans="1:7" x14ac:dyDescent="0.2">
      <c r="A11" s="141">
        <v>53</v>
      </c>
      <c r="B11" s="77">
        <v>24</v>
      </c>
      <c r="C11" s="145" t="s">
        <v>232</v>
      </c>
      <c r="D11" s="103">
        <f>AVERAGE(B19:B23)</f>
        <v>58.8</v>
      </c>
      <c r="E11" s="104">
        <f>D11-$D$3</f>
        <v>24.199999999999996</v>
      </c>
    </row>
    <row r="12" spans="1:7" x14ac:dyDescent="0.2">
      <c r="A12" s="141">
        <v>50</v>
      </c>
      <c r="B12" s="77">
        <v>25</v>
      </c>
      <c r="C12" s="79"/>
      <c r="D12" s="105" t="s">
        <v>230</v>
      </c>
      <c r="E12" s="106">
        <f>MAX(ABS(E10), ABS(E11))</f>
        <v>24.199999999999996</v>
      </c>
    </row>
    <row r="13" spans="1:7" x14ac:dyDescent="0.2">
      <c r="A13" s="141">
        <v>24</v>
      </c>
      <c r="B13" s="77">
        <v>33</v>
      </c>
      <c r="C13" s="79"/>
    </row>
    <row r="14" spans="1:7" x14ac:dyDescent="0.2">
      <c r="A14" s="141">
        <v>41</v>
      </c>
      <c r="B14" s="77">
        <v>36</v>
      </c>
      <c r="C14" s="79"/>
    </row>
    <row r="15" spans="1:7" x14ac:dyDescent="0.2">
      <c r="A15" s="141">
        <v>52</v>
      </c>
      <c r="B15" s="77">
        <v>41</v>
      </c>
      <c r="C15" s="79"/>
    </row>
    <row r="16" spans="1:7" x14ac:dyDescent="0.2">
      <c r="A16" s="141">
        <v>47</v>
      </c>
      <c r="B16" s="77">
        <v>41</v>
      </c>
      <c r="C16" s="79"/>
    </row>
    <row r="17" spans="1:7" x14ac:dyDescent="0.2">
      <c r="A17" s="141">
        <v>15</v>
      </c>
      <c r="B17" s="77">
        <v>44</v>
      </c>
      <c r="C17" s="79"/>
    </row>
    <row r="18" spans="1:7" x14ac:dyDescent="0.2">
      <c r="A18" s="141">
        <v>44</v>
      </c>
      <c r="B18" s="77">
        <v>47</v>
      </c>
      <c r="C18" s="79"/>
    </row>
    <row r="19" spans="1:7" x14ac:dyDescent="0.2">
      <c r="A19" s="142">
        <v>10</v>
      </c>
      <c r="B19" s="77">
        <v>50</v>
      </c>
      <c r="C19" s="79"/>
    </row>
    <row r="20" spans="1:7" x14ac:dyDescent="0.2">
      <c r="A20" s="78">
        <v>36</v>
      </c>
      <c r="B20" s="77">
        <v>52</v>
      </c>
      <c r="C20" s="79"/>
    </row>
    <row r="21" spans="1:7" x14ac:dyDescent="0.2">
      <c r="A21" s="78">
        <v>60</v>
      </c>
      <c r="B21" s="77">
        <v>53</v>
      </c>
      <c r="C21" s="79"/>
    </row>
    <row r="22" spans="1:7" x14ac:dyDescent="0.2">
      <c r="A22" s="78">
        <v>20</v>
      </c>
      <c r="B22" s="77">
        <v>60</v>
      </c>
      <c r="C22" s="79"/>
    </row>
    <row r="23" spans="1:7" x14ac:dyDescent="0.2">
      <c r="A23" s="78">
        <v>79</v>
      </c>
      <c r="B23" s="77">
        <v>79</v>
      </c>
      <c r="C23" s="79"/>
    </row>
    <row r="24" spans="1:7" x14ac:dyDescent="0.2">
      <c r="A24" s="85"/>
      <c r="B24" s="122"/>
      <c r="C24" s="79"/>
    </row>
    <row r="25" spans="1:7" x14ac:dyDescent="0.2">
      <c r="A25" s="85"/>
      <c r="B25" s="122"/>
      <c r="C25" s="79"/>
    </row>
    <row r="26" spans="1:7" x14ac:dyDescent="0.2">
      <c r="A26" s="85"/>
      <c r="B26" s="122"/>
      <c r="C26" s="79"/>
    </row>
    <row r="27" spans="1:7" x14ac:dyDescent="0.2">
      <c r="A27" s="85"/>
      <c r="B27" s="122"/>
      <c r="C27" s="79"/>
    </row>
    <row r="28" spans="1:7" ht="25" x14ac:dyDescent="0.25">
      <c r="A28" s="157" t="s">
        <v>262</v>
      </c>
      <c r="B28" s="157"/>
      <c r="C28" s="157"/>
      <c r="D28" s="157"/>
      <c r="E28" s="157"/>
      <c r="F28" s="157"/>
      <c r="G28" s="157"/>
    </row>
    <row r="29" spans="1:7" x14ac:dyDescent="0.2">
      <c r="A29" s="85"/>
      <c r="B29" s="122"/>
      <c r="C29" s="79"/>
    </row>
    <row r="30" spans="1:7" x14ac:dyDescent="0.2">
      <c r="A30" s="116" t="s">
        <v>169</v>
      </c>
      <c r="B30" s="83">
        <v>70</v>
      </c>
      <c r="C30" s="79"/>
      <c r="D30" s="116" t="s">
        <v>216</v>
      </c>
      <c r="E30" s="83">
        <v>0.36</v>
      </c>
    </row>
    <row r="31" spans="1:7" x14ac:dyDescent="0.2">
      <c r="A31" s="116" t="s">
        <v>220</v>
      </c>
      <c r="B31" s="83">
        <v>14</v>
      </c>
      <c r="D31" s="116" t="s">
        <v>220</v>
      </c>
      <c r="E31" s="154">
        <v>0.04</v>
      </c>
    </row>
    <row r="32" spans="1:7" x14ac:dyDescent="0.2">
      <c r="A32" s="105" t="s">
        <v>261</v>
      </c>
      <c r="B32" s="95">
        <v>0.99</v>
      </c>
      <c r="D32" s="105" t="s">
        <v>261</v>
      </c>
      <c r="E32" s="95">
        <v>0.95</v>
      </c>
    </row>
    <row r="33" spans="1:7" x14ac:dyDescent="0.2">
      <c r="A33" s="105" t="s">
        <v>263</v>
      </c>
      <c r="B33" s="152">
        <f>_xlfn.NORM.S.INV((1-B32)/2)</f>
        <v>-2.5758293035488999</v>
      </c>
      <c r="D33" s="105" t="s">
        <v>263</v>
      </c>
      <c r="E33" s="152">
        <f>_xlfn.NORM.S.INV((1-E32)/2)</f>
        <v>-1.9599639845400536</v>
      </c>
    </row>
    <row r="34" spans="1:7" x14ac:dyDescent="0.2">
      <c r="A34" s="116" t="s">
        <v>209</v>
      </c>
      <c r="B34" s="153">
        <f>((B33*B30)/B31)^2</f>
        <v>165.87241502553027</v>
      </c>
      <c r="D34" s="116" t="s">
        <v>209</v>
      </c>
      <c r="E34" s="153">
        <f>(E33^2*E30*(1-E30))/E31^2</f>
        <v>553.17007017995377</v>
      </c>
    </row>
    <row r="35" spans="1:7" x14ac:dyDescent="0.2">
      <c r="B35" s="100"/>
    </row>
    <row r="36" spans="1:7" x14ac:dyDescent="0.2">
      <c r="B36" s="100"/>
    </row>
    <row r="37" spans="1:7" ht="25" x14ac:dyDescent="0.25">
      <c r="A37" s="157" t="s">
        <v>254</v>
      </c>
      <c r="B37" s="157"/>
      <c r="C37" s="157"/>
      <c r="D37" s="157"/>
      <c r="E37" s="157"/>
      <c r="F37" s="157"/>
      <c r="G37" s="157"/>
    </row>
    <row r="38" spans="1:7" x14ac:dyDescent="0.2">
      <c r="D38" s="76"/>
      <c r="E38" s="76"/>
      <c r="F38" s="79"/>
      <c r="G38" s="82"/>
    </row>
    <row r="39" spans="1:7" x14ac:dyDescent="0.2">
      <c r="A39" s="105" t="s">
        <v>74</v>
      </c>
      <c r="B39" s="84">
        <v>282.5</v>
      </c>
      <c r="D39" s="76"/>
      <c r="G39" s="82"/>
    </row>
    <row r="40" spans="1:7" x14ac:dyDescent="0.2">
      <c r="A40" s="105" t="s">
        <v>224</v>
      </c>
      <c r="B40" s="84">
        <v>0</v>
      </c>
      <c r="D40" s="76"/>
      <c r="G40" s="82"/>
    </row>
    <row r="41" spans="1:7" x14ac:dyDescent="0.2">
      <c r="A41" s="105" t="s">
        <v>169</v>
      </c>
      <c r="B41" s="84">
        <v>12.2</v>
      </c>
      <c r="D41" s="76"/>
      <c r="G41" s="82"/>
    </row>
    <row r="42" spans="1:7" x14ac:dyDescent="0.2">
      <c r="A42" s="105" t="s">
        <v>233</v>
      </c>
      <c r="B42" s="84">
        <v>4.2</v>
      </c>
      <c r="D42" s="76"/>
      <c r="G42" s="82"/>
    </row>
    <row r="43" spans="1:7" x14ac:dyDescent="0.2">
      <c r="A43" s="105" t="s">
        <v>216</v>
      </c>
      <c r="B43" s="84">
        <v>0.79</v>
      </c>
      <c r="D43" s="76"/>
      <c r="E43" s="80"/>
      <c r="F43" s="86"/>
      <c r="G43" s="82"/>
    </row>
    <row r="44" spans="1:7" x14ac:dyDescent="0.2">
      <c r="A44" s="105" t="s">
        <v>225</v>
      </c>
      <c r="B44" s="84">
        <f>B45</f>
        <v>0.40730823708832603</v>
      </c>
      <c r="D44" s="76"/>
      <c r="E44" s="80"/>
      <c r="F44" s="86"/>
      <c r="G44" s="82"/>
    </row>
    <row r="45" spans="1:7" x14ac:dyDescent="0.2">
      <c r="A45" s="105" t="s">
        <v>225</v>
      </c>
      <c r="B45" s="109">
        <f>SQRT(B43 * (1 - B43))</f>
        <v>0.40730823708832603</v>
      </c>
      <c r="D45" s="76"/>
      <c r="E45" s="80"/>
      <c r="F45" s="86"/>
      <c r="G45" s="82"/>
    </row>
    <row r="46" spans="1:7" x14ac:dyDescent="0.2">
      <c r="A46" s="105" t="s">
        <v>209</v>
      </c>
      <c r="B46" s="84">
        <v>30</v>
      </c>
      <c r="D46" s="76"/>
      <c r="E46" s="76"/>
      <c r="F46" s="79"/>
      <c r="G46" s="82"/>
    </row>
    <row r="47" spans="1:7" x14ac:dyDescent="0.2">
      <c r="A47" s="105" t="s">
        <v>217</v>
      </c>
      <c r="B47" s="84">
        <v>100</v>
      </c>
      <c r="D47" s="76"/>
      <c r="E47" s="76"/>
      <c r="F47" s="79"/>
      <c r="G47" s="82"/>
    </row>
    <row r="48" spans="1:7" x14ac:dyDescent="0.2">
      <c r="A48" s="105" t="s">
        <v>261</v>
      </c>
      <c r="B48" s="95">
        <v>0.8</v>
      </c>
      <c r="D48" s="76"/>
      <c r="E48" s="96"/>
      <c r="F48" s="79"/>
      <c r="G48" s="82"/>
    </row>
    <row r="49" spans="1:7" x14ac:dyDescent="0.2">
      <c r="A49" s="79"/>
      <c r="B49" s="79"/>
      <c r="C49" s="79"/>
      <c r="D49" s="76"/>
      <c r="E49" s="79"/>
      <c r="F49" s="79"/>
      <c r="G49" s="82"/>
    </row>
    <row r="50" spans="1:7" x14ac:dyDescent="0.2">
      <c r="A50" s="105" t="s">
        <v>218</v>
      </c>
      <c r="B50" s="110">
        <f>B41/SQRT(B46)</f>
        <v>2.2274050671876755</v>
      </c>
    </row>
    <row r="51" spans="1:7" x14ac:dyDescent="0.2">
      <c r="A51" s="105" t="s">
        <v>258</v>
      </c>
      <c r="B51" s="110">
        <f>SQRT(B43*(1-B43)/B46)</f>
        <v>7.4363969770312829E-2</v>
      </c>
    </row>
    <row r="52" spans="1:7" ht="17" x14ac:dyDescent="0.2">
      <c r="A52" s="111" t="s">
        <v>219</v>
      </c>
      <c r="B52" s="112">
        <f>B51 *  SQRT((B47-B46)/(B47-1))</f>
        <v>6.2530800491445895E-2</v>
      </c>
      <c r="G52" s="82"/>
    </row>
    <row r="53" spans="1:7" ht="17" x14ac:dyDescent="0.2">
      <c r="A53" s="111" t="s">
        <v>221</v>
      </c>
      <c r="B53" s="112">
        <f>(B40-B39)/(B41/SQRT(B46))</f>
        <v>-126.8291987665651</v>
      </c>
      <c r="G53" s="82"/>
    </row>
    <row r="54" spans="1:7" x14ac:dyDescent="0.2">
      <c r="A54" s="105" t="s">
        <v>214</v>
      </c>
      <c r="B54" s="113">
        <f>(1-B48)/2</f>
        <v>9.9999999999999978E-2</v>
      </c>
      <c r="G54" s="82"/>
    </row>
    <row r="55" spans="1:7" x14ac:dyDescent="0.2">
      <c r="A55" s="105" t="s">
        <v>215</v>
      </c>
      <c r="B55" s="114">
        <f>B48+B54</f>
        <v>0.9</v>
      </c>
      <c r="G55" s="82"/>
    </row>
    <row r="56" spans="1:7" x14ac:dyDescent="0.2">
      <c r="G56" s="82"/>
    </row>
    <row r="57" spans="1:7" x14ac:dyDescent="0.2">
      <c r="G57" s="82"/>
    </row>
    <row r="58" spans="1:7" x14ac:dyDescent="0.2">
      <c r="A58" s="102"/>
      <c r="B58" s="102" t="s">
        <v>180</v>
      </c>
      <c r="C58" s="102" t="s">
        <v>222</v>
      </c>
      <c r="D58" s="102" t="s">
        <v>259</v>
      </c>
      <c r="E58" s="102" t="s">
        <v>223</v>
      </c>
      <c r="F58" s="99"/>
      <c r="G58" s="79"/>
    </row>
    <row r="59" spans="1:7" x14ac:dyDescent="0.2">
      <c r="A59" s="105" t="s">
        <v>257</v>
      </c>
      <c r="B59" s="120">
        <v>1</v>
      </c>
      <c r="C59" s="108">
        <f>_xlfn.NORM.DIST(B59, $B$39, $B$50,FALSE)</f>
        <v>0</v>
      </c>
      <c r="D59" s="108">
        <f>_xlfn.NORM.DIST(B59, $B$43, $B$51, FALSE)</f>
        <v>9.9510056096036179E-2</v>
      </c>
      <c r="E59" s="108">
        <f>_xlfn.NORM.DIST(B59/$B$46, $B$43, $B$52,FALSE)</f>
        <v>1.0199816782484256E-31</v>
      </c>
    </row>
    <row r="60" spans="1:7" x14ac:dyDescent="0.2">
      <c r="A60" s="109" t="s">
        <v>260</v>
      </c>
      <c r="B60" s="120">
        <v>279</v>
      </c>
      <c r="C60" s="108">
        <f>_xlfn.NORM.DIST(B60, $B$39, $B$50,TRUE)</f>
        <v>5.8052403829567452E-2</v>
      </c>
      <c r="D60" s="108">
        <f>_xlfn.NORM.DIST(B60, $B$43, $B$51, TRUE)</f>
        <v>1</v>
      </c>
      <c r="E60" s="108">
        <f>_xlfn.NORM.DIST(B60/$B$46, $B$43, $B$52,TRUE)</f>
        <v>1</v>
      </c>
    </row>
    <row r="61" spans="1:7" x14ac:dyDescent="0.2">
      <c r="A61" s="105" t="s">
        <v>256</v>
      </c>
      <c r="B61" s="120">
        <v>0.74</v>
      </c>
      <c r="C61" s="108">
        <f>(1-_xlfn.NORM.DIST(B61, $B$39, $B$50,TRUE))</f>
        <v>1</v>
      </c>
      <c r="D61" s="108">
        <f>1 - _xlfn.NORM.DIST(B61, $B$43, $B$51, TRUE)</f>
        <v>0.7493254737662115</v>
      </c>
      <c r="E61" s="108">
        <f>1 - _xlfn.NORM.DIST(B61/$B$46, $B$43, $B$52,TRUE)</f>
        <v>1</v>
      </c>
    </row>
    <row r="62" spans="1:7" x14ac:dyDescent="0.2">
      <c r="A62" s="158" t="s">
        <v>196</v>
      </c>
      <c r="B62" s="120">
        <v>14</v>
      </c>
      <c r="C62" s="160">
        <f>_xlfn.NORM.DIST(B63, $B$39, $B$50,TRUE) - _xlfn.NORM.DIST(B62, $B$39, $B$50,TRUE)</f>
        <v>0</v>
      </c>
      <c r="D62" s="164">
        <f>_xlfn.NORM.DIST(B63, $B$43, $B$51, TRUE) - _xlfn.NORM.DIST(B62, $B$43, $B$51, TRUE)</f>
        <v>0</v>
      </c>
      <c r="E62" s="160">
        <f>_xlfn.NORM.DIST(B63/$B$46, $B$43, $B$52,TRUE) - _xlfn.NORM.DIST(B62/$B$46, $B$43, $B$52,TRUE)</f>
        <v>6.1149796065439257E-3</v>
      </c>
    </row>
    <row r="63" spans="1:7" x14ac:dyDescent="0.2">
      <c r="A63" s="159"/>
      <c r="B63" s="121">
        <v>19</v>
      </c>
      <c r="C63" s="161"/>
      <c r="D63" s="165"/>
      <c r="E63" s="161"/>
      <c r="G63" s="79"/>
    </row>
    <row r="64" spans="1:7" x14ac:dyDescent="0.2">
      <c r="A64" s="79"/>
      <c r="B64" s="79"/>
      <c r="C64" s="79"/>
      <c r="D64" s="79"/>
      <c r="E64" s="79"/>
      <c r="G64" s="79"/>
    </row>
    <row r="65" spans="1:7" x14ac:dyDescent="0.2">
      <c r="A65" s="163" t="s">
        <v>249</v>
      </c>
      <c r="B65" s="163"/>
      <c r="C65" s="163"/>
      <c r="D65" s="163"/>
      <c r="G65" s="79"/>
    </row>
    <row r="66" spans="1:7" x14ac:dyDescent="0.2">
      <c r="A66" s="101"/>
      <c r="B66" s="102" t="s">
        <v>74</v>
      </c>
      <c r="C66" s="115" t="s">
        <v>216</v>
      </c>
      <c r="D66" s="102" t="s">
        <v>234</v>
      </c>
      <c r="G66" s="79"/>
    </row>
    <row r="67" spans="1:7" x14ac:dyDescent="0.2">
      <c r="A67" s="105" t="s">
        <v>212</v>
      </c>
      <c r="B67" s="108">
        <f>_xlfn.NORM.INV(B54, $B$39, $B$50)</f>
        <v>279.64546554904365</v>
      </c>
      <c r="C67" s="112">
        <f>_xlfn.NORM.INV(B54, B43, B51)</f>
        <v>0.69469873812074423</v>
      </c>
      <c r="D67" s="110">
        <f>B39-D69</f>
        <v>281.49437749218231</v>
      </c>
      <c r="G67" s="79"/>
    </row>
    <row r="68" spans="1:7" x14ac:dyDescent="0.2">
      <c r="A68" s="105" t="s">
        <v>213</v>
      </c>
      <c r="B68" s="108">
        <f>_xlfn.NORM.INV(B55, $B$39, $B$50)</f>
        <v>285.35453445095635</v>
      </c>
      <c r="C68" s="110">
        <f>_xlfn.NORM.INV(B55, B43, B51)</f>
        <v>0.88530126187925584</v>
      </c>
      <c r="D68" s="110">
        <f>B39+D69</f>
        <v>283.50562250781769</v>
      </c>
      <c r="G68" s="79"/>
    </row>
    <row r="69" spans="1:7" x14ac:dyDescent="0.2">
      <c r="A69" s="116" t="s">
        <v>220</v>
      </c>
      <c r="B69" s="108">
        <f>_xlfn.CONFIDENCE.NORM(1-B48, B41, B46)</f>
        <v>2.8545344509563417</v>
      </c>
      <c r="C69" s="110">
        <f>_xlfn.CONFIDENCE.NORM(1-B48, B44, B46)</f>
        <v>9.5301261879255764E-2</v>
      </c>
      <c r="D69" s="110">
        <f>_xlfn.CONFIDENCE.T(1-B48, B42, B46)</f>
        <v>1.0056225078176664</v>
      </c>
      <c r="G69" s="79"/>
    </row>
    <row r="70" spans="1:7" x14ac:dyDescent="0.2">
      <c r="C70" s="92"/>
      <c r="D70" s="76"/>
      <c r="G70" s="79"/>
    </row>
    <row r="71" spans="1:7" x14ac:dyDescent="0.2">
      <c r="D71" s="76"/>
      <c r="E71" s="76"/>
      <c r="F71" s="79"/>
      <c r="G71" s="79"/>
    </row>
    <row r="72" spans="1:7" x14ac:dyDescent="0.2">
      <c r="C72" s="150"/>
      <c r="D72" s="76"/>
      <c r="E72" s="76"/>
      <c r="F72" s="79"/>
      <c r="G72" s="79"/>
    </row>
    <row r="73" spans="1:7" x14ac:dyDescent="0.2">
      <c r="C73" s="151"/>
    </row>
  </sheetData>
  <sortState xmlns:xlrd2="http://schemas.microsoft.com/office/spreadsheetml/2017/richdata2" ref="B4:B23">
    <sortCondition ref="B4:B23"/>
  </sortState>
  <mergeCells count="8">
    <mergeCell ref="A65:D65"/>
    <mergeCell ref="A28:G28"/>
    <mergeCell ref="A1:G1"/>
    <mergeCell ref="A37:G37"/>
    <mergeCell ref="A62:A63"/>
    <mergeCell ref="C62:C63"/>
    <mergeCell ref="E62:E63"/>
    <mergeCell ref="D62:D63"/>
  </mergeCells>
  <conditionalFormatting sqref="B44">
    <cfRule type="cellIs" dxfId="5" priority="1" operator="notEqual">
      <formula>$B$45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0"/>
  <sheetViews>
    <sheetView workbookViewId="0">
      <selection activeCell="B10" sqref="B10"/>
    </sheetView>
  </sheetViews>
  <sheetFormatPr baseColWidth="10" defaultColWidth="8.83203125" defaultRowHeight="16" x14ac:dyDescent="0.2"/>
  <cols>
    <col min="1" max="1" width="28" style="75" customWidth="1"/>
    <col min="2" max="4" width="22.6640625" style="129" bestFit="1" customWidth="1"/>
    <col min="5" max="7" width="22.6640625" style="75" bestFit="1" customWidth="1"/>
    <col min="8" max="16384" width="8.83203125" style="75"/>
  </cols>
  <sheetData>
    <row r="1" spans="1:7" ht="25" x14ac:dyDescent="0.25">
      <c r="A1" s="166" t="s">
        <v>235</v>
      </c>
      <c r="B1" s="167"/>
      <c r="C1" s="167"/>
      <c r="D1" s="167"/>
      <c r="E1" s="168"/>
      <c r="F1" s="168"/>
      <c r="G1" s="168"/>
    </row>
    <row r="2" spans="1:7" x14ac:dyDescent="0.2">
      <c r="A2" s="122"/>
      <c r="B2" s="123"/>
      <c r="C2" s="123"/>
      <c r="D2" s="123"/>
      <c r="E2" s="124"/>
      <c r="F2" s="124"/>
      <c r="G2" s="124"/>
    </row>
    <row r="3" spans="1:7" x14ac:dyDescent="0.2">
      <c r="A3" s="125" t="s">
        <v>74</v>
      </c>
      <c r="B3" s="126">
        <v>22</v>
      </c>
      <c r="C3" s="123"/>
      <c r="D3" s="123"/>
      <c r="E3" s="124"/>
      <c r="F3" s="124"/>
      <c r="G3" s="124"/>
    </row>
    <row r="4" spans="1:7" x14ac:dyDescent="0.2">
      <c r="A4" s="125" t="s">
        <v>224</v>
      </c>
      <c r="B4" s="126">
        <v>22</v>
      </c>
      <c r="C4" s="123"/>
      <c r="D4" s="123"/>
      <c r="E4" s="124"/>
      <c r="F4" s="124"/>
      <c r="G4" s="124"/>
    </row>
    <row r="5" spans="1:7" x14ac:dyDescent="0.2">
      <c r="A5" s="125" t="s">
        <v>216</v>
      </c>
      <c r="B5" s="126">
        <v>0</v>
      </c>
      <c r="C5" s="123"/>
      <c r="D5" s="123"/>
      <c r="E5" s="124"/>
      <c r="F5" s="124"/>
      <c r="G5" s="124"/>
    </row>
    <row r="6" spans="1:7" x14ac:dyDescent="0.2">
      <c r="A6" s="125" t="s">
        <v>245</v>
      </c>
      <c r="B6" s="126">
        <v>0</v>
      </c>
      <c r="C6" s="123"/>
      <c r="D6" s="123"/>
      <c r="E6" s="124"/>
      <c r="F6" s="124"/>
      <c r="G6" s="124"/>
    </row>
    <row r="7" spans="1:7" x14ac:dyDescent="0.2">
      <c r="A7" s="125" t="s">
        <v>242</v>
      </c>
      <c r="B7" s="126">
        <v>5</v>
      </c>
      <c r="C7" s="123"/>
      <c r="D7" s="123"/>
      <c r="E7" s="124"/>
      <c r="F7" s="124"/>
      <c r="G7" s="124"/>
    </row>
    <row r="8" spans="1:7" x14ac:dyDescent="0.2">
      <c r="A8" s="134" t="s">
        <v>241</v>
      </c>
      <c r="B8" s="126">
        <v>0</v>
      </c>
      <c r="C8" s="123"/>
      <c r="D8" s="123"/>
      <c r="E8" s="124"/>
      <c r="F8" s="124"/>
      <c r="G8" s="124"/>
    </row>
    <row r="9" spans="1:7" x14ac:dyDescent="0.2">
      <c r="A9" s="125" t="s">
        <v>209</v>
      </c>
      <c r="B9" s="126">
        <v>36</v>
      </c>
      <c r="C9" s="123"/>
      <c r="D9" s="123"/>
      <c r="E9" s="124"/>
      <c r="F9" s="124"/>
      <c r="G9" s="124"/>
    </row>
    <row r="10" spans="1:7" x14ac:dyDescent="0.2">
      <c r="A10" s="125" t="s">
        <v>251</v>
      </c>
      <c r="B10" s="126">
        <v>0.9</v>
      </c>
      <c r="C10" s="123"/>
      <c r="D10" s="123"/>
      <c r="E10" s="124"/>
      <c r="F10" s="124"/>
      <c r="G10" s="124"/>
    </row>
    <row r="11" spans="1:7" x14ac:dyDescent="0.2">
      <c r="A11" s="125" t="s">
        <v>250</v>
      </c>
      <c r="B11" s="126">
        <v>1</v>
      </c>
      <c r="C11" s="123"/>
      <c r="D11" s="123"/>
      <c r="E11" s="124"/>
      <c r="F11" s="124"/>
      <c r="G11" s="124"/>
    </row>
    <row r="12" spans="1:7" x14ac:dyDescent="0.2">
      <c r="A12" s="80"/>
      <c r="B12" s="131"/>
      <c r="C12" s="123"/>
      <c r="D12" s="123"/>
      <c r="E12" s="124"/>
      <c r="F12" s="124"/>
      <c r="G12" s="124"/>
    </row>
    <row r="13" spans="1:7" x14ac:dyDescent="0.2">
      <c r="A13" s="83" t="s">
        <v>252</v>
      </c>
      <c r="B13" s="135">
        <f>B14</f>
        <v>0</v>
      </c>
      <c r="C13" s="123"/>
      <c r="D13" s="123"/>
      <c r="E13" s="124"/>
      <c r="F13" s="124"/>
      <c r="G13" s="124"/>
    </row>
    <row r="14" spans="1:7" x14ac:dyDescent="0.2">
      <c r="A14" s="132" t="s">
        <v>252</v>
      </c>
      <c r="B14" s="127">
        <f>(B4-B3)/(IF(B8&gt;0, B8, B7)/SQRT(B9))</f>
        <v>0</v>
      </c>
      <c r="C14" s="123"/>
      <c r="D14" s="123"/>
      <c r="E14" s="124"/>
      <c r="F14" s="124"/>
      <c r="G14" s="124"/>
    </row>
    <row r="15" spans="1:7" x14ac:dyDescent="0.2">
      <c r="A15" s="132" t="s">
        <v>253</v>
      </c>
      <c r="B15" s="133">
        <f>IF(B5 &gt; 0, (B6-B5)/SQRT(B5*(1-B5)/B9), 0)</f>
        <v>0</v>
      </c>
      <c r="C15" s="123"/>
      <c r="D15" s="123"/>
      <c r="E15" s="124"/>
      <c r="F15" s="124"/>
      <c r="G15" s="124"/>
    </row>
    <row r="16" spans="1:7" x14ac:dyDescent="0.2">
      <c r="A16" s="132" t="s">
        <v>246</v>
      </c>
      <c r="B16" s="133">
        <f>B3 + B21 * (B7/SQRT(B9))</f>
        <v>20.932040362046166</v>
      </c>
      <c r="C16" s="123"/>
      <c r="D16" s="123"/>
      <c r="E16" s="124"/>
      <c r="F16" s="124"/>
      <c r="G16" s="124"/>
    </row>
    <row r="17" spans="1:7" x14ac:dyDescent="0.2">
      <c r="A17" s="132" t="s">
        <v>247</v>
      </c>
      <c r="B17" s="133">
        <f>_xlfn.NORM.DIST(B16,B4, B7/SQRT(B9), TRUE)</f>
        <v>9.9999999999999978E-2</v>
      </c>
      <c r="C17" s="123"/>
      <c r="D17" s="123"/>
      <c r="E17" s="124"/>
      <c r="F17" s="124"/>
      <c r="G17" s="124"/>
    </row>
    <row r="18" spans="1:7" customFormat="1" x14ac:dyDescent="0.2"/>
    <row r="19" spans="1:7" x14ac:dyDescent="0.2">
      <c r="A19" s="163" t="s">
        <v>249</v>
      </c>
      <c r="B19" s="163"/>
      <c r="C19" s="163"/>
      <c r="D19" s="123"/>
      <c r="E19" s="124"/>
      <c r="F19" s="124"/>
    </row>
    <row r="20" spans="1:7" x14ac:dyDescent="0.2">
      <c r="A20" s="137"/>
      <c r="B20" s="138" t="s">
        <v>243</v>
      </c>
      <c r="C20" s="138" t="s">
        <v>244</v>
      </c>
      <c r="D20" s="123"/>
      <c r="E20" s="123"/>
      <c r="F20" s="124"/>
    </row>
    <row r="21" spans="1:7" x14ac:dyDescent="0.2">
      <c r="A21" s="132" t="s">
        <v>248</v>
      </c>
      <c r="B21" s="139">
        <f>_xlfn.NORM.S.INV(1-B10)</f>
        <v>-1.2815515655446006</v>
      </c>
      <c r="C21" s="127">
        <f>_xlfn.T.INV(IF(B11=1, 1-B10, B10/B11), B9 -1)</f>
        <v>-1.3062118020160358</v>
      </c>
      <c r="D21" s="75"/>
      <c r="E21" s="124"/>
    </row>
    <row r="22" spans="1:7" x14ac:dyDescent="0.2">
      <c r="A22" s="132" t="s">
        <v>237</v>
      </c>
      <c r="B22" s="127">
        <f>_xlfn.NORM.S.DIST(IF(B15 &gt; 0, B15, B13), TRUE)</f>
        <v>0.5</v>
      </c>
      <c r="C22" s="127">
        <f>_xlfn.T.DIST(IF(B15 &gt; B15, B15, B13), (B9-1), TRUE)</f>
        <v>0.5</v>
      </c>
      <c r="D22" s="123"/>
      <c r="E22" s="136"/>
    </row>
    <row r="23" spans="1:7" x14ac:dyDescent="0.2">
      <c r="A23" s="132" t="s">
        <v>238</v>
      </c>
      <c r="B23" s="127">
        <f>1-B22</f>
        <v>0.5</v>
      </c>
      <c r="C23" s="127">
        <f>1-C22</f>
        <v>0.5</v>
      </c>
      <c r="D23" s="123"/>
      <c r="F23" s="124"/>
    </row>
    <row r="24" spans="1:7" x14ac:dyDescent="0.2">
      <c r="A24" s="132" t="s">
        <v>239</v>
      </c>
      <c r="B24" s="127">
        <f>B11 * IF(B13 &gt; 0,  B23,  B22)</f>
        <v>0.5</v>
      </c>
      <c r="C24" s="127">
        <f>B11 * IF(B13 &gt; 0, C23, C22)</f>
        <v>0.5</v>
      </c>
      <c r="D24" s="123"/>
      <c r="E24" s="129"/>
    </row>
    <row r="25" spans="1:7" x14ac:dyDescent="0.2">
      <c r="A25" s="132" t="s">
        <v>240</v>
      </c>
      <c r="B25" s="127" t="str">
        <f>IF(B24 &gt;= B10,  "Do not reject", "Reject")</f>
        <v>Reject</v>
      </c>
      <c r="C25" s="127" t="str">
        <f>IF(C24 &gt;= B10, "Do not reject",  "Reject")</f>
        <v>Reject</v>
      </c>
      <c r="D25" s="130"/>
      <c r="F25" s="124"/>
    </row>
    <row r="26" spans="1:7" x14ac:dyDescent="0.2">
      <c r="C26" s="123"/>
      <c r="F26" s="124"/>
    </row>
    <row r="27" spans="1:7" x14ac:dyDescent="0.2">
      <c r="A27" s="122"/>
      <c r="B27" s="128"/>
      <c r="C27" s="123"/>
      <c r="F27" s="124"/>
      <c r="G27" s="124"/>
    </row>
    <row r="28" spans="1:7" x14ac:dyDescent="0.2">
      <c r="A28" s="122"/>
      <c r="B28" s="128"/>
      <c r="C28" s="123"/>
      <c r="F28" s="124"/>
      <c r="G28" s="124"/>
    </row>
    <row r="29" spans="1:7" x14ac:dyDescent="0.2">
      <c r="A29" s="122"/>
      <c r="B29" s="128"/>
      <c r="C29" s="123"/>
      <c r="D29" s="123"/>
      <c r="E29" s="124"/>
      <c r="F29" s="124"/>
      <c r="G29" s="124"/>
    </row>
    <row r="30" spans="1:7" ht="25" x14ac:dyDescent="0.25">
      <c r="A30" s="166" t="s">
        <v>236</v>
      </c>
      <c r="B30" s="167"/>
      <c r="C30" s="167"/>
      <c r="D30" s="167"/>
      <c r="E30" s="168"/>
      <c r="F30" s="168"/>
      <c r="G30" s="168"/>
    </row>
  </sheetData>
  <mergeCells count="3">
    <mergeCell ref="A1:G1"/>
    <mergeCell ref="A30:G30"/>
    <mergeCell ref="A19:C19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2024-03-11T17:14:32Z</dcterms:modified>
</cp:coreProperties>
</file>