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D5B4F9DF-8F78-F44B-B903-62D4B2606BC5}" xr6:coauthVersionLast="47" xr6:coauthVersionMax="47" xr10:uidLastSave="{00000000-0000-0000-0000-000000000000}"/>
  <bookViews>
    <workbookView xWindow="0" yWindow="0" windowWidth="25600" windowHeight="28800" activeTab="4" xr2:uid="{00000000-000D-0000-FFFF-FFFF00000000}"/>
  </bookViews>
  <sheets>
    <sheet name="Descriptive Statistics" sheetId="2" r:id="rId1"/>
    <sheet name="Probability Introduction" sheetId="4" r:id="rId2"/>
    <sheet name="Probability Distributions" sheetId="6" r:id="rId3"/>
    <sheet name="Confidence Intervals &amp; Sampling" sheetId="8" r:id="rId4"/>
    <sheet name="Hypothesis Tests" sheetId="9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B34" i="9" l="1"/>
  <c r="C419" i="2"/>
  <c r="C418" i="2"/>
  <c r="C417" i="2"/>
  <c r="C416" i="2"/>
  <c r="C415" i="2"/>
  <c r="C414" i="2"/>
  <c r="C413" i="2"/>
  <c r="C268" i="2"/>
  <c r="D268" i="2"/>
  <c r="C269" i="2"/>
  <c r="D269" i="2"/>
  <c r="C271" i="2"/>
  <c r="C272" i="2"/>
  <c r="C299" i="2"/>
  <c r="C301" i="2"/>
  <c r="C303" i="2"/>
  <c r="C306" i="2"/>
  <c r="C308" i="2"/>
  <c r="C320" i="2"/>
  <c r="C321" i="2"/>
  <c r="C322" i="2"/>
  <c r="E331" i="2"/>
  <c r="E333" i="2"/>
  <c r="B383" i="2"/>
  <c r="C383" i="2"/>
  <c r="D383" i="2"/>
  <c r="C385" i="2" s="1"/>
  <c r="B406" i="2"/>
  <c r="C406" i="2"/>
  <c r="D406" i="2"/>
  <c r="E406" i="2"/>
  <c r="F406" i="2"/>
  <c r="C270" i="2" l="1"/>
  <c r="D270" i="2"/>
  <c r="B82" i="6"/>
  <c r="B67" i="6"/>
  <c r="D3" i="8"/>
  <c r="E34" i="8"/>
  <c r="E33" i="8"/>
  <c r="B33" i="8"/>
  <c r="B34" i="8" s="1"/>
  <c r="B45" i="8" l="1"/>
  <c r="B44" i="8" s="1"/>
  <c r="C57" i="6"/>
  <c r="C72" i="6"/>
  <c r="B9" i="6"/>
  <c r="B68" i="6"/>
  <c r="C21" i="9"/>
  <c r="B15" i="9"/>
  <c r="B14" i="9"/>
  <c r="B13" i="9" s="1"/>
  <c r="B21" i="9"/>
  <c r="B16" i="9" s="1"/>
  <c r="B17" i="9" s="1"/>
  <c r="C86" i="6" l="1"/>
  <c r="C22" i="9"/>
  <c r="C23" i="9" s="1"/>
  <c r="C24" i="9" s="1"/>
  <c r="C25" i="9" s="1"/>
  <c r="B22" i="9"/>
  <c r="D6" i="8"/>
  <c r="D7" i="8"/>
  <c r="D69" i="8"/>
  <c r="D67" i="8" s="1"/>
  <c r="B4" i="8" a="1"/>
  <c r="F39" i="6"/>
  <c r="F38" i="6"/>
  <c r="B51" i="8"/>
  <c r="B52" i="8" s="1"/>
  <c r="B69" i="8"/>
  <c r="B53" i="8"/>
  <c r="B54" i="8"/>
  <c r="B55" i="8" s="1"/>
  <c r="B50" i="8"/>
  <c r="C62" i="8" s="1"/>
  <c r="B113" i="6"/>
  <c r="D117" i="6" s="1"/>
  <c r="C59" i="6"/>
  <c r="C74" i="6"/>
  <c r="C40" i="6"/>
  <c r="B19" i="6"/>
  <c r="B20" i="6"/>
  <c r="B18" i="6"/>
  <c r="F37" i="6"/>
  <c r="C39" i="6"/>
  <c r="C38" i="6"/>
  <c r="C37" i="6"/>
  <c r="C73" i="6"/>
  <c r="C71" i="6"/>
  <c r="C58" i="6"/>
  <c r="C56" i="6"/>
  <c r="D102" i="6"/>
  <c r="D103" i="6"/>
  <c r="D101" i="6"/>
  <c r="C5" i="6"/>
  <c r="D5" i="6" s="1"/>
  <c r="B51" i="6"/>
  <c r="B52" i="6" s="1"/>
  <c r="B50" i="6"/>
  <c r="D72" i="4"/>
  <c r="D73" i="4"/>
  <c r="D74" i="4"/>
  <c r="D75" i="4"/>
  <c r="D76" i="4"/>
  <c r="I83" i="4" s="1"/>
  <c r="D71" i="4"/>
  <c r="C77" i="4"/>
  <c r="B77" i="4"/>
  <c r="G50" i="4"/>
  <c r="G51" i="4"/>
  <c r="G49" i="4"/>
  <c r="G48" i="4"/>
  <c r="F51" i="4"/>
  <c r="F50" i="4"/>
  <c r="F49" i="4"/>
  <c r="F48" i="4"/>
  <c r="I27" i="4"/>
  <c r="I26" i="4"/>
  <c r="I25" i="4"/>
  <c r="J24" i="4"/>
  <c r="K24" i="4"/>
  <c r="I23" i="4"/>
  <c r="I22" i="4"/>
  <c r="C223" i="2"/>
  <c r="C219" i="2"/>
  <c r="C218" i="2"/>
  <c r="C217" i="2"/>
  <c r="C216" i="2"/>
  <c r="C215" i="2"/>
  <c r="C214" i="2"/>
  <c r="C213" i="2"/>
  <c r="C212" i="2"/>
  <c r="C211" i="2"/>
  <c r="C210" i="2"/>
  <c r="G218" i="2"/>
  <c r="G217" i="2"/>
  <c r="G219" i="2"/>
  <c r="D77" i="4" l="1"/>
  <c r="I81" i="4" s="1"/>
  <c r="I24" i="4"/>
  <c r="M82" i="4"/>
  <c r="B4" i="8"/>
  <c r="D10" i="8" s="1"/>
  <c r="E10" i="8" s="1"/>
  <c r="F23" i="6"/>
  <c r="C23" i="6"/>
  <c r="D116" i="6"/>
  <c r="E6" i="8"/>
  <c r="D68" i="8"/>
  <c r="B23" i="9"/>
  <c r="B24" i="9" s="1"/>
  <c r="B25" i="9" s="1"/>
  <c r="D11" i="8"/>
  <c r="E11" i="8" s="1"/>
  <c r="E7" i="8"/>
  <c r="C69" i="8"/>
  <c r="C68" i="8"/>
  <c r="C67" i="8"/>
  <c r="D60" i="8"/>
  <c r="D59" i="8"/>
  <c r="D61" i="8"/>
  <c r="D62" i="8"/>
  <c r="E62" i="8"/>
  <c r="E59" i="8"/>
  <c r="E60" i="8"/>
  <c r="E61" i="8"/>
  <c r="B67" i="8"/>
  <c r="B68" i="8"/>
  <c r="C61" i="8"/>
  <c r="C59" i="8"/>
  <c r="C60" i="8"/>
  <c r="D118" i="6"/>
  <c r="C88" i="6"/>
  <c r="C24" i="6"/>
  <c r="C25" i="6"/>
  <c r="C26" i="6"/>
  <c r="C85" i="6"/>
  <c r="C87" i="6"/>
  <c r="D104" i="6"/>
  <c r="C8" i="6"/>
  <c r="D8" i="6" s="1"/>
  <c r="C7" i="6"/>
  <c r="D7" i="6" s="1"/>
  <c r="C4" i="6"/>
  <c r="C6" i="6"/>
  <c r="D6" i="6" s="1"/>
  <c r="J82" i="4" l="1"/>
  <c r="K82" i="4"/>
  <c r="L82" i="4"/>
  <c r="D4" i="6"/>
  <c r="D9" i="6" s="1"/>
  <c r="D119" i="6"/>
  <c r="E12" i="8"/>
  <c r="C9" i="6"/>
  <c r="D223" i="2"/>
  <c r="I82" i="4" l="1"/>
  <c r="E6" i="6"/>
  <c r="E8" i="6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4" i="2"/>
  <c r="G213" i="2"/>
  <c r="G211" i="2"/>
  <c r="G216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18" i="2"/>
  <c r="C19" i="2"/>
  <c r="C21" i="2"/>
  <c r="C20" i="2"/>
  <c r="C14" i="2" l="1"/>
  <c r="D19" i="2" l="1"/>
  <c r="D21" i="2"/>
  <c r="D18" i="2"/>
  <c r="D20" i="2"/>
  <c r="B57" i="2" l="1"/>
  <c r="E18" i="2"/>
  <c r="E19" i="2" s="1"/>
  <c r="E20" i="2" s="1"/>
  <c r="E2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<sst xmlns="http://schemas.openxmlformats.org/spreadsheetml/2006/main" count="393" uniqueCount="233">
  <si>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</si>
  <si>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</si>
  <si>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</si>
  <si>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</si>
  <si>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</si>
  <si>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</si>
  <si>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</si>
  <si>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</si>
  <si>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</si>
  <si>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</si>
  <si>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</si>
  <si>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</si>
  <si>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</si>
  <si>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</si>
  <si>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</si>
  <si>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</si>
  <si>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</si>
  <si>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</si>
  <si>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</si>
  <si>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</si>
  <si>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</si>
  <si>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</si>
  <si>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</si>
  <si>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</si>
  <si>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</si>
  <si>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</si>
  <si>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</si>
  <si>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</si>
  <si>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</si>
  <si>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</si>
  <si>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</si>
  <si>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</si>
  <si>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</si>
  <si>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</si>
  <si>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</si>
  <si>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</si>
  <si>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</si>
  <si>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</si>
  <si>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</si>
  <si>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</si>
  <si>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</si>
  <si>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</si>
  <si>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</si>
  <si>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</si>
  <si>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</si>
  <si>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</si>
  <si>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</si>
  <si>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</si>
  <si>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</si>
  <si>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</si>
  <si>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</si>
  <si>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</si>
  <si>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</si>
  <si>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</si>
  <si>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</si>
  <si>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</si>
  <si>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</si>
  <si>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</si>
  <si>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</si>
  <si>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</si>
  <si>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</si>
  <si>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</si>
  <si>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</si>
  <si>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</si>
  <si>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</si>
  <si>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</si>
  <si>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</si>
  <si>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</si>
  <si>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</si>
  <si>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</si>
  <si>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</si>
  <si>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</si>
  <si>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</si>
  <si>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</si>
  <si>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</si>
  <si>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</si>
  <si>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</si>
  <si>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</si>
  <si>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</si>
  <si>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</si>
  <si>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</si>
  <si>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</si>
  <si>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</si>
  <si>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</si>
  <si>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</si>
  <si>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</si>
  <si>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</si>
  <si>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</si>
  <si>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</si>
  <si>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</si>
  <si>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</si>
  <si>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</si>
  <si>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</si>
  <si>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</si>
  <si>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</si>
  <si>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</si>
  <si>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</si>
  <si>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</si>
  <si>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</si>
  <si>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</si>
  <si>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</si>
  <si>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</si>
  <si>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</si>
  <si>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</si>
  <si>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</si>
  <si>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</si>
  <si>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</si>
  <si>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</si>
  <si>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</si>
  <si>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</si>
  <si>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</si>
  <si>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</si>
  <si>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</si>
  <si>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</si>
  <si>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</si>
  <si>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</si>
  <si>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</si>
  <si>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</si>
  <si>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</si>
  <si>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</si>
  <si>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</si>
  <si>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</si>
  <si>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</si>
  <si>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</si>
  <si>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</si>
  <si>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</si>
  <si>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</si>
  <si>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</si>
  <si>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</si>
  <si>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</si>
  <si>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</si>
  <si>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</si>
  <si>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</si>
  <si>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Std Dev</t>
  </si>
  <si>
    <t>p</t>
  </si>
  <si>
    <t>std dev</t>
  </si>
  <si>
    <t>variance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</si>
  <si>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</si>
  <si>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</si>
  <si>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</si>
  <si>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</si>
  <si>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</si>
  <si>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</si>
  <si>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</si>
  <si>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</si>
  <si>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</si>
  <si>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</si>
  <si>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</si>
  <si>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</si>
  <si>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</si>
  <si>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</si>
  <si>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</si>
  <si>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</si>
  <si>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</si>
  <si>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</si>
  <si>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</si>
  <si>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</si>
  <si>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</si>
  <si>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</si>
  <si>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</si>
  <si>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</si>
  <si>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</si>
  <si>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</si>
  <si>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</si>
  <si>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</si>
  <si>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</si>
  <si>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</si>
  <si>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</si>
  <si>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</si>
  <si>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</si>
  <si>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</si>
  <si>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</si>
  <si>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</si>
  <si>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</si>
  <si>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</si>
  <si>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</si>
  <si>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</si>
  <si>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</si>
  <si>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</si>
  <si>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</si>
  <si>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</si>
  <si>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</si>
  <si>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</si>
  <si>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</si>
  <si>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</si>
  <si>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>std error population</t>
  </si>
  <si>
    <t>margin error</t>
  </si>
  <si>
    <t>Z(x)</t>
  </si>
  <si>
    <t>P(mean)</t>
  </si>
  <si>
    <t>P(population)</t>
  </si>
  <si>
    <t>sample mean</t>
  </si>
  <si>
    <t>std dev proportion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</si>
  <si>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</si>
  <si>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</si>
  <si>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</si>
  <si>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</si>
  <si>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</si>
  <si>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</si>
  <si>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</si>
  <si>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sample std dev</t>
  </si>
  <si>
    <t>population</t>
  </si>
  <si>
    <t>Hypothesis Test Single Population</t>
  </si>
  <si>
    <t>probability left test</t>
  </si>
  <si>
    <t>probability right test</t>
  </si>
  <si>
    <t>p-value</t>
  </si>
  <si>
    <t>hypothesis</t>
  </si>
  <si>
    <t>sample std deviation</t>
  </si>
  <si>
    <t xml:space="preserve"> std deviation</t>
  </si>
  <si>
    <t>Z Distribution</t>
  </si>
  <si>
    <t>T Distribution</t>
  </si>
  <si>
    <t>sample proportion</t>
  </si>
  <si>
    <t>Type II error Bx</t>
  </si>
  <si>
    <t>Type II error BPx</t>
  </si>
  <si>
    <t>critical score value</t>
  </si>
  <si>
    <t>Use T distribution when you have sample standard deviation (s)</t>
  </si>
  <si>
    <t># tail tests</t>
  </si>
  <si>
    <t>significance level</t>
  </si>
  <si>
    <t>ZT test statistic mean</t>
  </si>
  <si>
    <t>ZT test statistic proportion</t>
  </si>
  <si>
    <t>Confidence Intervals &amp; Sampling Distributions</t>
  </si>
  <si>
    <t>Bin</t>
  </si>
  <si>
    <t>&gt;</t>
  </si>
  <si>
    <t>=</t>
  </si>
  <si>
    <t>std error proportion</t>
  </si>
  <si>
    <t xml:space="preserve">P(proportion) </t>
  </si>
  <si>
    <t>&lt;=</t>
  </si>
  <si>
    <t>confidence interval</t>
  </si>
  <si>
    <t>Sample Size</t>
  </si>
  <si>
    <t>Z value</t>
  </si>
  <si>
    <t>Significance</t>
  </si>
  <si>
    <t>Hypothesis Test Two Populations</t>
  </si>
  <si>
    <t>F critial value</t>
  </si>
  <si>
    <t>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</si>
</sst>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  <numFmt numFmtId="169" formatCode="#,##0.0000"/>
    <numFmt numFmtId="170" formatCode="0.00000"/>
  </numFmts>
  <fonts count="17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rgb="FF00000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AE3F3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5" fillId="0" borderId="1"/>
    <xf numFmtId="9" fontId="15" fillId="0" borderId="1" applyFont="0" applyFill="0" applyBorder="0" applyAlignment="0" applyProtection="0"/>
    <xf numFmtId="0" fontId="16" fillId="0" borderId="1"/>
  </cellStyleXfs>
  <cellXfs count="159">
    <xf numFmtId="0" fontId="0" fillId="0" borderId="0" xfId="0"/>
    <xf numFmtId="0" fontId="3" fillId="0" borderId="0" xfId="0" applyFont="1" applyAlignment="1">
      <alignment horizontal="center"/>
    </xf>
    <xf numFmtId="0" fontId="5" fillId="0" borderId="0" xfId="0" applyFont="1"/>
    <xf numFmtId="0" fontId="3" fillId="0" borderId="0" xfId="0" applyFont="1"/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1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167" fontId="9" fillId="0" borderId="2" xfId="1" applyNumberFormat="1" applyFont="1" applyBorder="1"/>
    <xf numFmtId="0" fontId="12" fillId="0" borderId="1" xfId="0" applyFont="1" applyBorder="1"/>
    <xf numFmtId="9" fontId="9" fillId="0" borderId="2" xfId="2" applyFont="1" applyBorder="1"/>
    <xf numFmtId="166" fontId="9" fillId="0" borderId="1" xfId="0" applyNumberFormat="1" applyFont="1" applyBorder="1" applyAlignment="1">
      <alignment horizontal="right"/>
    </xf>
    <xf numFmtId="4" fontId="9" fillId="0" borderId="2" xfId="0" applyNumberFormat="1" applyFont="1" applyBorder="1"/>
    <xf numFmtId="4" fontId="9" fillId="0" borderId="0" xfId="0" applyNumberFormat="1" applyFont="1"/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/>
    </xf>
    <xf numFmtId="4" fontId="9" fillId="3" borderId="2" xfId="0" applyNumberFormat="1" applyFont="1" applyFill="1" applyBorder="1"/>
    <xf numFmtId="4" fontId="9" fillId="3" borderId="2" xfId="0" applyNumberFormat="1" applyFont="1" applyFill="1" applyBorder="1" applyAlignment="1">
      <alignment horizontal="right" vertical="center"/>
    </xf>
    <xf numFmtId="0" fontId="9" fillId="3" borderId="2" xfId="0" applyFont="1" applyFill="1" applyBorder="1" applyAlignment="1">
      <alignment horizontal="right"/>
    </xf>
    <xf numFmtId="2" fontId="9" fillId="3" borderId="2" xfId="0" applyNumberFormat="1" applyFont="1" applyFill="1" applyBorder="1"/>
    <xf numFmtId="164" fontId="9" fillId="3" borderId="2" xfId="0" applyNumberFormat="1" applyFont="1" applyFill="1" applyBorder="1" applyAlignment="1">
      <alignment horizontal="right"/>
    </xf>
    <xf numFmtId="166" fontId="9" fillId="3" borderId="2" xfId="0" applyNumberFormat="1" applyFont="1" applyFill="1" applyBorder="1"/>
    <xf numFmtId="2" fontId="9" fillId="3" borderId="2" xfId="0" applyNumberFormat="1" applyFont="1" applyFill="1" applyBorder="1" applyAlignment="1">
      <alignment horizontal="right"/>
    </xf>
    <xf numFmtId="166" fontId="9" fillId="3" borderId="2" xfId="0" applyNumberFormat="1" applyFont="1" applyFill="1" applyBorder="1" applyAlignment="1">
      <alignment horizontal="right"/>
    </xf>
    <xf numFmtId="0" fontId="9" fillId="3" borderId="2" xfId="0" applyFont="1" applyFill="1" applyBorder="1" applyAlignment="1">
      <alignment horizontal="right" vertical="center" wrapText="1"/>
    </xf>
    <xf numFmtId="166" fontId="9" fillId="3" borderId="2" xfId="0" applyNumberFormat="1" applyFont="1" applyFill="1" applyBorder="1" applyAlignment="1">
      <alignment horizontal="right" vertical="center"/>
    </xf>
    <xf numFmtId="168" fontId="9" fillId="3" borderId="2" xfId="0" applyNumberFormat="1" applyFont="1" applyFill="1" applyBorder="1"/>
    <xf numFmtId="168" fontId="9" fillId="3" borderId="2" xfId="2" applyNumberFormat="1" applyFont="1" applyFill="1" applyBorder="1"/>
    <xf numFmtId="166" fontId="9" fillId="3" borderId="2" xfId="0" applyNumberFormat="1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right" vertical="center"/>
    </xf>
    <xf numFmtId="164" fontId="9" fillId="3" borderId="2" xfId="0" applyNumberFormat="1" applyFont="1" applyFill="1" applyBorder="1" applyAlignment="1">
      <alignment horizontal="right" vertical="center"/>
    </xf>
    <xf numFmtId="44" fontId="9" fillId="3" borderId="2" xfId="0" applyNumberFormat="1" applyFont="1" applyFill="1" applyBorder="1" applyAlignment="1">
      <alignment horizontal="center" vertical="center"/>
    </xf>
    <xf numFmtId="44" fontId="9" fillId="3" borderId="2" xfId="1" applyFont="1" applyFill="1" applyBorder="1" applyAlignment="1">
      <alignment horizontal="center" vertical="center"/>
    </xf>
    <xf numFmtId="164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/>
    <xf numFmtId="0" fontId="9" fillId="0" borderId="1" xfId="0" applyFont="1" applyBorder="1" applyAlignment="1">
      <alignment horizontal="center"/>
    </xf>
    <xf numFmtId="169" fontId="9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9" xfId="0" applyFont="1" applyBorder="1" applyAlignment="1">
      <alignment horizontal="right"/>
    </xf>
    <xf numFmtId="4" fontId="9" fillId="0" borderId="9" xfId="0" applyNumberFormat="1" applyFont="1" applyBorder="1" applyAlignment="1">
      <alignment horizontal="right"/>
    </xf>
    <xf numFmtId="169" fontId="9" fillId="4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center"/>
    </xf>
    <xf numFmtId="169" fontId="9" fillId="0" borderId="0" xfId="0" applyNumberFormat="1" applyFont="1"/>
    <xf numFmtId="169" fontId="13" fillId="0" borderId="1" xfId="0" applyNumberFormat="1" applyFont="1" applyBorder="1" applyAlignment="1">
      <alignment horizontal="left"/>
    </xf>
    <xf numFmtId="4" fontId="9" fillId="0" borderId="1" xfId="0" applyNumberFormat="1" applyFont="1" applyBorder="1" applyAlignment="1">
      <alignment horizontal="right"/>
    </xf>
    <xf numFmtId="0" fontId="9" fillId="4" borderId="2" xfId="0" applyFont="1" applyFill="1" applyBorder="1" applyAlignment="1">
      <alignment horizontal="right"/>
    </xf>
    <xf numFmtId="166" fontId="9" fillId="4" borderId="2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right"/>
    </xf>
    <xf numFmtId="169" fontId="9" fillId="0" borderId="2" xfId="0" applyNumberFormat="1" applyFont="1" applyBorder="1" applyAlignment="1">
      <alignment horizontal="right"/>
    </xf>
    <xf numFmtId="170" fontId="9" fillId="0" borderId="0" xfId="0" applyNumberFormat="1" applyFont="1"/>
    <xf numFmtId="0" fontId="13" fillId="0" borderId="2" xfId="0" applyFont="1" applyBorder="1" applyAlignment="1">
      <alignment horizontal="left"/>
    </xf>
    <xf numFmtId="169" fontId="9" fillId="4" borderId="2" xfId="0" applyNumberFormat="1" applyFont="1" applyFill="1" applyBorder="1" applyAlignment="1">
      <alignment horizontal="center"/>
    </xf>
    <xf numFmtId="169" fontId="9" fillId="4" borderId="2" xfId="0" applyNumberFormat="1" applyFont="1" applyFill="1" applyBorder="1" applyAlignment="1">
      <alignment horizontal="right" vertical="center"/>
    </xf>
    <xf numFmtId="0" fontId="9" fillId="3" borderId="4" xfId="0" applyFont="1" applyFill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9" fillId="3" borderId="4" xfId="0" applyFont="1" applyFill="1" applyBorder="1" applyAlignment="1">
      <alignment horizontal="right"/>
    </xf>
    <xf numFmtId="0" fontId="9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2" fontId="9" fillId="3" borderId="2" xfId="0" applyNumberFormat="1" applyFont="1" applyFill="1" applyBorder="1" applyAlignment="1">
      <alignment horizontal="right" vertical="center"/>
    </xf>
    <xf numFmtId="9" fontId="9" fillId="3" borderId="2" xfId="2" applyFont="1" applyFill="1" applyBorder="1"/>
    <xf numFmtId="167" fontId="9" fillId="3" borderId="2" xfId="1" applyNumberFormat="1" applyFont="1" applyFill="1" applyBorder="1" applyAlignment="1">
      <alignment horizontal="left"/>
    </xf>
    <xf numFmtId="2" fontId="9" fillId="0" borderId="2" xfId="0" applyNumberFormat="1" applyFont="1" applyBorder="1"/>
    <xf numFmtId="9" fontId="9" fillId="0" borderId="0" xfId="0" applyNumberFormat="1" applyFont="1"/>
    <xf numFmtId="2" fontId="9" fillId="0" borderId="0" xfId="2" applyNumberFormat="1" applyFont="1"/>
    <xf numFmtId="2" fontId="9" fillId="3" borderId="2" xfId="2" applyNumberFormat="1" applyFont="1" applyFill="1" applyBorder="1"/>
    <xf numFmtId="1" fontId="9" fillId="3" borderId="2" xfId="0" applyNumberFormat="1" applyFont="1" applyFill="1" applyBorder="1" applyAlignment="1">
      <alignment horizontal="right"/>
    </xf>
    <xf numFmtId="9" fontId="9" fillId="0" borderId="2" xfId="2" applyFont="1" applyBorder="1" applyAlignment="1">
      <alignment horizontal="right"/>
    </xf>
    <xf numFmtId="0" fontId="5" fillId="3" borderId="2" xfId="0" applyFont="1" applyFill="1" applyBorder="1"/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1" fillId="3" borderId="0" xfId="0" applyFont="1" applyFill="1"/>
    <xf numFmtId="0" fontId="9" fillId="3" borderId="5" xfId="0" applyFont="1" applyFill="1" applyBorder="1" applyAlignment="1">
      <alignment horizontal="right" vertical="center"/>
    </xf>
    <xf numFmtId="0" fontId="9" fillId="3" borderId="6" xfId="0" applyFont="1" applyFill="1" applyBorder="1" applyAlignment="1">
      <alignment horizontal="right" vertical="center"/>
    </xf>
    <xf numFmtId="166" fontId="9" fillId="3" borderId="5" xfId="0" applyNumberFormat="1" applyFont="1" applyFill="1" applyBorder="1" applyAlignment="1">
      <alignment horizontal="right" vertical="center"/>
    </xf>
    <xf numFmtId="166" fontId="9" fillId="3" borderId="6" xfId="0" applyNumberFormat="1" applyFont="1" applyFill="1" applyBorder="1" applyAlignment="1">
      <alignment horizontal="right" vertical="center"/>
    </xf>
    <xf numFmtId="0" fontId="10" fillId="3" borderId="0" xfId="0" applyFont="1" applyFill="1"/>
    <xf numFmtId="0" fontId="14" fillId="5" borderId="2" xfId="0" applyFont="1" applyFill="1" applyBorder="1"/>
    <xf numFmtId="166" fontId="9" fillId="3" borderId="5" xfId="0" applyNumberFormat="1" applyFont="1" applyFill="1" applyBorder="1" applyAlignment="1">
      <alignment vertical="center"/>
    </xf>
    <xf numFmtId="166" fontId="9" fillId="3" borderId="6" xfId="0" applyNumberFormat="1" applyFont="1" applyFill="1" applyBorder="1" applyAlignment="1">
      <alignment vertical="center"/>
    </xf>
    <xf numFmtId="0" fontId="11" fillId="4" borderId="8" xfId="0" applyFont="1" applyFill="1" applyBorder="1" applyAlignment="1">
      <alignment horizontal="left"/>
    </xf>
    <xf numFmtId="169" fontId="10" fillId="4" borderId="8" xfId="0" applyNumberFormat="1" applyFont="1" applyFill="1" applyBorder="1" applyAlignment="1">
      <alignment horizontal="left"/>
    </xf>
    <xf numFmtId="0" fontId="10" fillId="4" borderId="8" xfId="0" applyFont="1" applyFill="1" applyBorder="1" applyAlignment="1">
      <alignment horizontal="left"/>
    </xf>
    <xf numFmtId="169" fontId="9" fillId="0" borderId="2" xfId="0" applyNumberFormat="1" applyFont="1" applyBorder="1"/>
    <xf numFmtId="169" fontId="11" fillId="4" borderId="8" xfId="0" applyNumberFormat="1" applyFont="1" applyFill="1" applyBorder="1" applyAlignment="1">
      <alignment horizontal="left"/>
    </xf>
  </cellXfs>
  <cellStyles count="6">
    <cellStyle name="Currency" xfId="1" builtinId="4"/>
    <cellStyle name="Normal" xfId="0" builtinId="0"/>
    <cellStyle name="Normal 2" xfId="3" xr:uid="{47997285-B3F5-F244-B205-73B85F68F6F7}"/>
    <cellStyle name="Normal 3" xfId="5" xr:uid="{B9995DE2-6BC8-2D45-B0CA-8CAD653AB999}"/>
    <cellStyle name="Percent" xfId="2" builtinId="5"/>
    <cellStyle name="Percent 2" xfId="4" xr:uid="{FD7D5D8B-C45B-C54F-92D6-932DA4275992}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18" Type="http://schemas.openxmlformats.org/officeDocument/2006/relationships/image" Target="../media/image13.png"/><Relationship Id="rId26" Type="http://schemas.openxmlformats.org/officeDocument/2006/relationships/image" Target="../media/image21.png"/><Relationship Id="rId3" Type="http://schemas.openxmlformats.org/officeDocument/2006/relationships/image" Target="../media/image1.png"/><Relationship Id="rId21" Type="http://schemas.openxmlformats.org/officeDocument/2006/relationships/image" Target="../media/image16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17" Type="http://schemas.openxmlformats.org/officeDocument/2006/relationships/image" Target="../media/image12.png"/><Relationship Id="rId25" Type="http://schemas.openxmlformats.org/officeDocument/2006/relationships/image" Target="../media/image2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20" Type="http://schemas.openxmlformats.org/officeDocument/2006/relationships/image" Target="../media/image15.png"/><Relationship Id="rId29" Type="http://schemas.openxmlformats.org/officeDocument/2006/relationships/image" Target="../media/image24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24" Type="http://schemas.openxmlformats.org/officeDocument/2006/relationships/image" Target="../media/image19.png"/><Relationship Id="rId32" Type="http://schemas.openxmlformats.org/officeDocument/2006/relationships/image" Target="../media/image27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23" Type="http://schemas.openxmlformats.org/officeDocument/2006/relationships/image" Target="../media/image18.png"/><Relationship Id="rId28" Type="http://schemas.openxmlformats.org/officeDocument/2006/relationships/image" Target="../media/image23.png"/><Relationship Id="rId10" Type="http://schemas.openxmlformats.org/officeDocument/2006/relationships/image" Target="../media/image8.png"/><Relationship Id="rId19" Type="http://schemas.openxmlformats.org/officeDocument/2006/relationships/image" Target="../media/image14.png"/><Relationship Id="rId31" Type="http://schemas.openxmlformats.org/officeDocument/2006/relationships/image" Target="../media/image26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Relationship Id="rId22" Type="http://schemas.openxmlformats.org/officeDocument/2006/relationships/image" Target="../media/image17.png"/><Relationship Id="rId27" Type="http://schemas.openxmlformats.org/officeDocument/2006/relationships/image" Target="../media/image22.png"/><Relationship Id="rId30" Type="http://schemas.openxmlformats.org/officeDocument/2006/relationships/image" Target="../media/image2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oneCellAnchor>
    <xdr:from>
      <xdr:col>1</xdr:col>
      <xdr:colOff>0</xdr:colOff>
      <xdr:row>310</xdr:row>
      <xdr:rowOff>0</xdr:rowOff>
    </xdr:from>
    <xdr:ext cx="5695950" cy="1657350"/>
    <xdr:pic>
      <xdr:nvPicPr>
        <xdr:cNvPr id="3" name="image27.png">
          <a:extLst>
            <a:ext uri="{FF2B5EF4-FFF2-40B4-BE49-F238E27FC236}">
              <a16:creationId xmlns:a16="http://schemas.microsoft.com/office/drawing/2014/main" id="{BA772308-13E6-3D47-A5BF-68F60AD27241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50900" y="10668000"/>
          <a:ext cx="5695950" cy="16573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38225"/>
    <xdr:pic>
      <xdr:nvPicPr>
        <xdr:cNvPr id="4" name="image28.png">
          <a:extLst>
            <a:ext uri="{FF2B5EF4-FFF2-40B4-BE49-F238E27FC236}">
              <a16:creationId xmlns:a16="http://schemas.microsoft.com/office/drawing/2014/main" id="{95759EA1-3EBC-F24B-90E2-772601C00202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50900" y="13144500"/>
          <a:ext cx="8496300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329</xdr:row>
      <xdr:rowOff>76200</xdr:rowOff>
    </xdr:from>
    <xdr:ext cx="5934075" cy="447675"/>
    <xdr:pic>
      <xdr:nvPicPr>
        <xdr:cNvPr id="6" name="image29.png">
          <a:extLst>
            <a:ext uri="{FF2B5EF4-FFF2-40B4-BE49-F238E27FC236}">
              <a16:creationId xmlns:a16="http://schemas.microsoft.com/office/drawing/2014/main" id="{5D34C7B0-5036-1F45-9702-51FC9F5B888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927100" y="14363700"/>
          <a:ext cx="5934075" cy="4476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331</xdr:row>
      <xdr:rowOff>85725</xdr:rowOff>
    </xdr:from>
    <xdr:ext cx="5905500" cy="476250"/>
    <xdr:pic>
      <xdr:nvPicPr>
        <xdr:cNvPr id="13" name="image30.png">
          <a:extLst>
            <a:ext uri="{FF2B5EF4-FFF2-40B4-BE49-F238E27FC236}">
              <a16:creationId xmlns:a16="http://schemas.microsoft.com/office/drawing/2014/main" id="{F504E8FB-61A4-184C-B5FA-76770B9596BE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908050" y="14754225"/>
          <a:ext cx="590550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255</xdr:row>
      <xdr:rowOff>0</xdr:rowOff>
    </xdr:from>
    <xdr:ext cx="5994400" cy="1739900"/>
    <xdr:pic>
      <xdr:nvPicPr>
        <xdr:cNvPr id="14" name="image33.png">
          <a:extLst>
            <a:ext uri="{FF2B5EF4-FFF2-40B4-BE49-F238E27FC236}">
              <a16:creationId xmlns:a16="http://schemas.microsoft.com/office/drawing/2014/main" id="{3DB31556-EA2E-7143-AE68-B0378E4E391F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50900" y="48577500"/>
          <a:ext cx="5994400" cy="17399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19050</xdr:rowOff>
    </xdr:from>
    <xdr:ext cx="3810000" cy="438150"/>
    <xdr:pic>
      <xdr:nvPicPr>
        <xdr:cNvPr id="15" name="image46.png">
          <a:extLst>
            <a:ext uri="{FF2B5EF4-FFF2-40B4-BE49-F238E27FC236}">
              <a16:creationId xmlns:a16="http://schemas.microsoft.com/office/drawing/2014/main" id="{940FE243-AB59-F74A-8234-EA6567302692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50900" y="1924050"/>
          <a:ext cx="3810000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275</xdr:row>
      <xdr:rowOff>0</xdr:rowOff>
    </xdr:from>
    <xdr:ext cx="7835900" cy="1968500"/>
    <xdr:pic>
      <xdr:nvPicPr>
        <xdr:cNvPr id="16" name="image40.png">
          <a:extLst>
            <a:ext uri="{FF2B5EF4-FFF2-40B4-BE49-F238E27FC236}">
              <a16:creationId xmlns:a16="http://schemas.microsoft.com/office/drawing/2014/main" id="{2E056381-EE92-0047-B33A-F652116F0A9E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850900" y="52387500"/>
          <a:ext cx="7835900" cy="19685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287</xdr:row>
      <xdr:rowOff>0</xdr:rowOff>
    </xdr:from>
    <xdr:ext cx="8496300" cy="1400175"/>
    <xdr:pic>
      <xdr:nvPicPr>
        <xdr:cNvPr id="17" name="image34.png">
          <a:extLst>
            <a:ext uri="{FF2B5EF4-FFF2-40B4-BE49-F238E27FC236}">
              <a16:creationId xmlns:a16="http://schemas.microsoft.com/office/drawing/2014/main" id="{DD638FCC-0687-F14C-9913-A59F2AEA0FE4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50900" y="6286500"/>
          <a:ext cx="8496300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297</xdr:row>
      <xdr:rowOff>47625</xdr:rowOff>
    </xdr:from>
    <xdr:ext cx="1952625" cy="2200275"/>
    <xdr:pic>
      <xdr:nvPicPr>
        <xdr:cNvPr id="18" name="image38.png">
          <a:extLst>
            <a:ext uri="{FF2B5EF4-FFF2-40B4-BE49-F238E27FC236}">
              <a16:creationId xmlns:a16="http://schemas.microsoft.com/office/drawing/2014/main" id="{ADE8D66A-7860-DD48-84B0-DC943B72B12F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46150" y="8239125"/>
          <a:ext cx="1952625" cy="22002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370</xdr:row>
      <xdr:rowOff>85725</xdr:rowOff>
    </xdr:from>
    <xdr:ext cx="8496300" cy="1466850"/>
    <xdr:pic>
      <xdr:nvPicPr>
        <xdr:cNvPr id="19" name="image41.png">
          <a:extLst>
            <a:ext uri="{FF2B5EF4-FFF2-40B4-BE49-F238E27FC236}">
              <a16:creationId xmlns:a16="http://schemas.microsoft.com/office/drawing/2014/main" id="{685CCF9B-E822-6E48-A50A-9C43EA57287C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50900" y="22183725"/>
          <a:ext cx="8496300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379</xdr:row>
      <xdr:rowOff>0</xdr:rowOff>
    </xdr:from>
    <xdr:ext cx="7048500" cy="485775"/>
    <xdr:pic>
      <xdr:nvPicPr>
        <xdr:cNvPr id="20" name="image35.png">
          <a:extLst>
            <a:ext uri="{FF2B5EF4-FFF2-40B4-BE49-F238E27FC236}">
              <a16:creationId xmlns:a16="http://schemas.microsoft.com/office/drawing/2014/main" id="{610C944F-5B24-FC45-90CA-6E973D81882B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50900" y="23812500"/>
          <a:ext cx="7048500" cy="4857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383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8A388A0C-3DF8-BA49-ADCA-C87DB8F311E5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850900" y="24688800"/>
          <a:ext cx="2476500" cy="323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12700</xdr:colOff>
      <xdr:row>399</xdr:row>
      <xdr:rowOff>50800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313101B9-304F-364F-9C03-91A05607269B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63600" y="76060300"/>
          <a:ext cx="5581650" cy="9620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41400"/>
    <xdr:pic>
      <xdr:nvPicPr>
        <xdr:cNvPr id="26" name="image28.png">
          <a:extLst>
            <a:ext uri="{FF2B5EF4-FFF2-40B4-BE49-F238E27FC236}">
              <a16:creationId xmlns:a16="http://schemas.microsoft.com/office/drawing/2014/main" id="{0D89BC09-7315-5840-9564-2004C6A9A6B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41400"/>
    <xdr:pic>
      <xdr:nvPicPr>
        <xdr:cNvPr id="27" name="Picture 3">
          <a:extLst>
            <a:ext uri="{FF2B5EF4-FFF2-40B4-BE49-F238E27FC236}">
              <a16:creationId xmlns:a16="http://schemas.microsoft.com/office/drawing/2014/main" id="{43A8A88C-2BCF-F246-8C8F-07C52BF8AA4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8496300" cy="1041400"/>
    <xdr:pic>
      <xdr:nvPicPr>
        <xdr:cNvPr id="28" name="Picture 4">
          <a:extLst>
            <a:ext uri="{FF2B5EF4-FFF2-40B4-BE49-F238E27FC236}">
              <a16:creationId xmlns:a16="http://schemas.microsoft.com/office/drawing/2014/main" id="{53D636F6-0394-834B-9D4E-D0D25CFCC46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oneCellAnchor>
  <xdr:twoCellAnchor editAs="oneCell">
    <xdr:from>
      <xdr:col>1</xdr:col>
      <xdr:colOff>0</xdr:colOff>
      <xdr:row>310</xdr:row>
      <xdr:rowOff>0</xdr:rowOff>
    </xdr:from>
    <xdr:to>
      <xdr:col>4</xdr:col>
      <xdr:colOff>1054100</xdr:colOff>
      <xdr:row>318</xdr:row>
      <xdr:rowOff>139700</xdr:rowOff>
    </xdr:to>
    <xdr:pic>
      <xdr:nvPicPr>
        <xdr:cNvPr id="31" name="image27.png">
          <a:extLst>
            <a:ext uri="{FF2B5EF4-FFF2-40B4-BE49-F238E27FC236}">
              <a16:creationId xmlns:a16="http://schemas.microsoft.com/office/drawing/2014/main" id="{E0F26EC8-59F0-CEB6-A2E1-16D34BE3BAE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8674000"/>
          <a:ext cx="57023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310</xdr:row>
      <xdr:rowOff>0</xdr:rowOff>
    </xdr:from>
    <xdr:to>
      <xdr:col>4</xdr:col>
      <xdr:colOff>1054100</xdr:colOff>
      <xdr:row>318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46C6931-C00D-E6F4-B3EB-5AAC8E7204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8674000"/>
          <a:ext cx="57023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310</xdr:row>
      <xdr:rowOff>0</xdr:rowOff>
    </xdr:from>
    <xdr:to>
      <xdr:col>4</xdr:col>
      <xdr:colOff>1054100</xdr:colOff>
      <xdr:row>318</xdr:row>
      <xdr:rowOff>139700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1837F9-FB02-915C-A1F4-FBB9E54B550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8674000"/>
          <a:ext cx="5702300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50800</xdr:colOff>
      <xdr:row>393</xdr:row>
      <xdr:rowOff>127000</xdr:rowOff>
    </xdr:from>
    <xdr:to>
      <xdr:col>4</xdr:col>
      <xdr:colOff>1181100</xdr:colOff>
      <xdr:row>398</xdr:row>
      <xdr:rowOff>139700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6465B3E-D352-D975-0137-5B7DEA2D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1700" y="74993500"/>
          <a:ext cx="5778500" cy="96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0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0</xdr:row>
      <xdr:rowOff>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0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0</xdr:row>
      <xdr:rowOff>0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</xdr:row>
      <xdr:rowOff>0</xdr:rowOff>
    </xdr:from>
    <xdr:to>
      <xdr:col>6</xdr:col>
      <xdr:colOff>596900</xdr:colOff>
      <xdr:row>6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6</xdr:col>
      <xdr:colOff>673100</xdr:colOff>
      <xdr:row>40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7000"/>
          <a:ext cx="78486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4</xdr:col>
      <xdr:colOff>368300</xdr:colOff>
      <xdr:row>59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77</xdr:row>
      <xdr:rowOff>177800</xdr:rowOff>
    </xdr:from>
    <xdr:to>
      <xdr:col>6</xdr:col>
      <xdr:colOff>647700</xdr:colOff>
      <xdr:row>87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0" y="15227300"/>
          <a:ext cx="7810500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64</xdr:row>
      <xdr:rowOff>12700</xdr:rowOff>
    </xdr:from>
    <xdr:to>
      <xdr:col>10</xdr:col>
      <xdr:colOff>266700</xdr:colOff>
      <xdr:row>67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6"/>
  <sheetViews>
    <sheetView workbookViewId="0">
      <selection activeCell="E428" sqref="E428"/>
    </sheetView>
  </sheetViews>
  <sheetFormatPr baseColWidth="10" defaultColWidth="11.1640625" defaultRowHeight="15" customHeight="1" x14ac:dyDescent="0.2"/>
  <cols>
    <col min="1" max="1" width="11.1640625" style="9"/>
    <col min="2" max="9" width="20.33203125" style="9" customWidth="1"/>
    <col min="10" max="10" width="13.1640625" style="9" customWidth="1"/>
    <col min="11" max="11" width="18.83203125" style="9" customWidth="1"/>
    <col min="12" max="12" width="19.33203125" style="9" customWidth="1"/>
    <col min="13" max="27" width="10.5" style="9" customWidth="1"/>
    <col min="28" max="16384" width="11.1640625" style="9"/>
  </cols>
  <sheetData>
    <row r="1" spans="1:3" ht="15.75" customHeight="1" x14ac:dyDescent="0.2">
      <c r="A1" s="24" t="s">
        <v>27</v>
      </c>
    </row>
    <row r="2" spans="1:3" ht="15.75" customHeight="1" x14ac:dyDescent="0.2">
      <c r="A2" s="28" t="s">
        <v>0</v>
      </c>
    </row>
    <row r="3" spans="1:3" ht="15.75" customHeight="1" x14ac:dyDescent="0.2">
      <c r="A3" s="28" t="s">
        <v>1</v>
      </c>
    </row>
    <row r="4" spans="1:3" ht="15.75" customHeight="1" x14ac:dyDescent="0.2">
      <c r="A4" s="28" t="s">
        <v>2</v>
      </c>
    </row>
    <row r="5" spans="1:3" ht="15.75" customHeight="1" x14ac:dyDescent="0.2">
      <c r="A5" s="28" t="s">
        <v>3</v>
      </c>
    </row>
    <row r="6" spans="1:3" ht="15.75" customHeight="1" x14ac:dyDescent="0.2">
      <c r="A6" s="28" t="s">
        <v>1</v>
      </c>
    </row>
    <row r="7" spans="1:3" ht="15.75" customHeight="1" x14ac:dyDescent="0.2">
      <c r="A7" s="28" t="s">
        <v>2</v>
      </c>
    </row>
    <row r="8" spans="1:3" ht="15.75" customHeight="1" x14ac:dyDescent="0.2">
      <c r="A8" s="28" t="s">
        <v>0</v>
      </c>
    </row>
    <row r="9" spans="1:3" ht="15.75" customHeight="1" x14ac:dyDescent="0.2">
      <c r="A9" s="28" t="s">
        <v>2</v>
      </c>
    </row>
    <row r="10" spans="1:3" ht="15.75" customHeight="1" x14ac:dyDescent="0.2">
      <c r="A10" s="28" t="s">
        <v>2</v>
      </c>
    </row>
    <row r="11" spans="1:3" ht="15.75" customHeight="1" x14ac:dyDescent="0.2">
      <c r="A11" s="28" t="s">
        <v>2</v>
      </c>
    </row>
    <row r="12" spans="1:3" ht="15.75" customHeight="1" x14ac:dyDescent="0.2">
      <c r="A12" s="28" t="s">
        <v>0</v>
      </c>
      <c r="B12" s="11" t="s">
        <v>88</v>
      </c>
      <c r="C12" s="21" t="s">
        <v>93</v>
      </c>
    </row>
    <row r="13" spans="1:3" ht="15.75" customHeight="1" x14ac:dyDescent="0.2">
      <c r="A13" s="28" t="s">
        <v>1</v>
      </c>
      <c r="B13" s="11" t="s">
        <v>87</v>
      </c>
      <c r="C13" s="21" t="s">
        <v>94</v>
      </c>
    </row>
    <row r="14" spans="1:3" ht="15.75" customHeight="1" x14ac:dyDescent="0.2">
      <c r="A14" s="28" t="s">
        <v>2</v>
      </c>
      <c r="B14" s="11" t="s">
        <v>79</v>
      </c>
      <c r="C14" s="21">
        <f ca="1">SUM(C18:C21)</f>
        <v>60</v>
      </c>
    </row>
    <row r="15" spans="1:3" ht="15.75" customHeight="1" x14ac:dyDescent="0.2">
      <c r="A15" s="28" t="s">
        <v>3</v>
      </c>
    </row>
    <row r="16" spans="1:3" ht="15.75" customHeight="1" x14ac:dyDescent="0.2">
      <c r="A16" s="28" t="s">
        <v>0</v>
      </c>
    </row>
    <row r="17" spans="1:5" ht="15.75" customHeight="1" x14ac:dyDescent="0.2">
      <c r="A17" s="28" t="s">
        <v>2</v>
      </c>
      <c r="B17" s="11" t="s">
        <v>4</v>
      </c>
      <c r="C17" s="11" t="s">
        <v>5</v>
      </c>
      <c r="D17" s="11" t="s">
        <v>78</v>
      </c>
      <c r="E17" s="11" t="s">
        <v>84</v>
      </c>
    </row>
    <row r="18" spans="1:5" ht="15.75" customHeight="1" x14ac:dyDescent="0.2">
      <c r="A18" s="28" t="s">
        <v>0</v>
      </c>
      <c r="B18" s="14" t="s">
        <v>6</v>
      </c>
      <c r="C18" s="14">
        <f ca="1">COUNTIF(INDIRECT(C12&amp;":"&amp;C13), "E")</f>
        <v>16</v>
      </c>
      <c r="D18" s="27">
        <f ca="1">C18/$C$14</f>
        <v>0.26666666666666666</v>
      </c>
      <c r="E18" s="27">
        <f ca="1">D18</f>
        <v>0.26666666666666666</v>
      </c>
    </row>
    <row r="19" spans="1:5" ht="15.75" customHeight="1" x14ac:dyDescent="0.2">
      <c r="A19" s="28" t="s">
        <v>2</v>
      </c>
      <c r="B19" s="14" t="s">
        <v>7</v>
      </c>
      <c r="C19" s="14">
        <f ca="1">COUNTIF(INDIRECT(C12&amp;":"&amp;C13), "G")</f>
        <v>29</v>
      </c>
      <c r="D19" s="27">
        <f t="shared" ref="D19:D21" ca="1" si="0">C19/$C$14</f>
        <v>0.48333333333333334</v>
      </c>
      <c r="E19" s="27">
        <f ca="1">E18+D19</f>
        <v>0.75</v>
      </c>
    </row>
    <row r="20" spans="1:5" ht="15.75" customHeight="1" x14ac:dyDescent="0.2">
      <c r="A20" s="28" t="s">
        <v>0</v>
      </c>
      <c r="B20" s="14" t="s">
        <v>8</v>
      </c>
      <c r="C20" s="14">
        <f ca="1">COUNTIF(INDIRECT(C12&amp;":"&amp;C13), "F")</f>
        <v>8</v>
      </c>
      <c r="D20" s="27">
        <f t="shared" ca="1" si="0"/>
        <v>0.13333333333333333</v>
      </c>
      <c r="E20" s="27">
        <f ca="1">E19+D20</f>
        <v>0.8833333333333333</v>
      </c>
    </row>
    <row r="21" spans="1:5" ht="15.75" customHeight="1" x14ac:dyDescent="0.2">
      <c r="A21" s="28" t="s">
        <v>0</v>
      </c>
      <c r="B21" s="14" t="s">
        <v>9</v>
      </c>
      <c r="C21" s="14">
        <f ca="1">COUNTIF(INDIRECT(C12&amp;":"&amp;C13), "P")</f>
        <v>7</v>
      </c>
      <c r="D21" s="27">
        <f t="shared" ca="1" si="0"/>
        <v>0.11666666666666667</v>
      </c>
      <c r="E21" s="27">
        <f ca="1">E20+D21</f>
        <v>1</v>
      </c>
    </row>
    <row r="22" spans="1:5" ht="15.75" customHeight="1" x14ac:dyDescent="0.2">
      <c r="A22" s="28" t="s">
        <v>2</v>
      </c>
    </row>
    <row r="23" spans="1:5" ht="15.75" customHeight="1" x14ac:dyDescent="0.2">
      <c r="A23" s="28" t="s">
        <v>2</v>
      </c>
    </row>
    <row r="24" spans="1:5" ht="15.75" customHeight="1" x14ac:dyDescent="0.2">
      <c r="A24" s="28" t="s">
        <v>0</v>
      </c>
    </row>
    <row r="25" spans="1:5" ht="15.75" customHeight="1" x14ac:dyDescent="0.2">
      <c r="A25" s="28" t="s">
        <v>0</v>
      </c>
    </row>
    <row r="26" spans="1:5" ht="15.75" customHeight="1" x14ac:dyDescent="0.2">
      <c r="A26" s="28" t="s">
        <v>2</v>
      </c>
    </row>
    <row r="27" spans="1:5" ht="15.75" customHeight="1" x14ac:dyDescent="0.2">
      <c r="A27" s="28" t="s">
        <v>2</v>
      </c>
    </row>
    <row r="28" spans="1:5" ht="15.75" customHeight="1" x14ac:dyDescent="0.2">
      <c r="A28" s="28" t="s">
        <v>1</v>
      </c>
    </row>
    <row r="29" spans="1:5" ht="15.75" customHeight="1" x14ac:dyDescent="0.2">
      <c r="A29" s="28" t="s">
        <v>2</v>
      </c>
    </row>
    <row r="30" spans="1:5" ht="15.75" customHeight="1" x14ac:dyDescent="0.2">
      <c r="A30" s="28" t="s">
        <v>3</v>
      </c>
    </row>
    <row r="31" spans="1:5" ht="15.75" customHeight="1" x14ac:dyDescent="0.2">
      <c r="A31" s="28" t="s">
        <v>2</v>
      </c>
    </row>
    <row r="32" spans="1:5" ht="15.75" customHeight="1" x14ac:dyDescent="0.2">
      <c r="A32" s="28" t="s">
        <v>2</v>
      </c>
    </row>
    <row r="33" spans="1:1" ht="15.75" customHeight="1" x14ac:dyDescent="0.2">
      <c r="A33" s="28" t="s">
        <v>2</v>
      </c>
    </row>
    <row r="34" spans="1:1" ht="15.75" customHeight="1" x14ac:dyDescent="0.2">
      <c r="A34" s="28" t="s">
        <v>0</v>
      </c>
    </row>
    <row r="35" spans="1:1" ht="15.75" customHeight="1" x14ac:dyDescent="0.2">
      <c r="A35" s="28" t="s">
        <v>1</v>
      </c>
    </row>
    <row r="36" spans="1:1" ht="15.75" customHeight="1" x14ac:dyDescent="0.2">
      <c r="A36" s="28" t="s">
        <v>2</v>
      </c>
    </row>
    <row r="37" spans="1:1" ht="15.75" customHeight="1" x14ac:dyDescent="0.2">
      <c r="A37" s="28" t="s">
        <v>2</v>
      </c>
    </row>
    <row r="38" spans="1:1" ht="15.75" customHeight="1" x14ac:dyDescent="0.2">
      <c r="A38" s="28" t="s">
        <v>2</v>
      </c>
    </row>
    <row r="39" spans="1:1" ht="15.75" customHeight="1" x14ac:dyDescent="0.2">
      <c r="A39" s="28" t="s">
        <v>1</v>
      </c>
    </row>
    <row r="40" spans="1:1" ht="15.75" customHeight="1" x14ac:dyDescent="0.2">
      <c r="A40" s="28" t="s">
        <v>3</v>
      </c>
    </row>
    <row r="41" spans="1:1" ht="15.75" customHeight="1" x14ac:dyDescent="0.2">
      <c r="A41" s="28" t="s">
        <v>1</v>
      </c>
    </row>
    <row r="42" spans="1:1" ht="15.75" customHeight="1" x14ac:dyDescent="0.2">
      <c r="A42" s="28" t="s">
        <v>2</v>
      </c>
    </row>
    <row r="43" spans="1:1" ht="15.75" customHeight="1" x14ac:dyDescent="0.2">
      <c r="A43" s="28" t="s">
        <v>0</v>
      </c>
    </row>
    <row r="44" spans="1:1" ht="15.75" customHeight="1" x14ac:dyDescent="0.2">
      <c r="A44" s="28" t="s">
        <v>0</v>
      </c>
    </row>
    <row r="45" spans="1:1" ht="15.75" customHeight="1" x14ac:dyDescent="0.2">
      <c r="A45" s="28" t="s">
        <v>2</v>
      </c>
    </row>
    <row r="46" spans="1:1" ht="15.75" customHeight="1" x14ac:dyDescent="0.2">
      <c r="A46" s="28" t="s">
        <v>2</v>
      </c>
    </row>
    <row r="47" spans="1:1" ht="15.75" customHeight="1" x14ac:dyDescent="0.2">
      <c r="A47" s="28" t="s">
        <v>0</v>
      </c>
    </row>
    <row r="48" spans="1:1" ht="15.75" customHeight="1" x14ac:dyDescent="0.2">
      <c r="A48" s="28" t="s">
        <v>1</v>
      </c>
    </row>
    <row r="49" spans="1:12" ht="15.75" customHeight="1" x14ac:dyDescent="0.2">
      <c r="A49" s="28" t="s">
        <v>3</v>
      </c>
    </row>
    <row r="50" spans="1:12" ht="15.75" customHeight="1" x14ac:dyDescent="0.2">
      <c r="A50" s="28" t="s">
        <v>2</v>
      </c>
    </row>
    <row r="51" spans="1:12" ht="15.75" customHeight="1" x14ac:dyDescent="0.2">
      <c r="A51" s="28" t="s">
        <v>3</v>
      </c>
    </row>
    <row r="52" spans="1:12" ht="15.75" customHeight="1" x14ac:dyDescent="0.2">
      <c r="A52" s="28" t="s">
        <v>3</v>
      </c>
    </row>
    <row r="53" spans="1:12" ht="15.75" customHeight="1" x14ac:dyDescent="0.2">
      <c r="A53" s="28" t="s">
        <v>2</v>
      </c>
    </row>
    <row r="54" spans="1:12" ht="15.75" customHeight="1" x14ac:dyDescent="0.2">
      <c r="A54" s="28" t="s">
        <v>0</v>
      </c>
    </row>
    <row r="55" spans="1:12" ht="15.75" customHeight="1" x14ac:dyDescent="0.2">
      <c r="A55" s="28" t="s">
        <v>2</v>
      </c>
    </row>
    <row r="56" spans="1:12" ht="15.75" customHeight="1" x14ac:dyDescent="0.2">
      <c r="A56" s="28" t="s">
        <v>2</v>
      </c>
    </row>
    <row r="57" spans="1:12" ht="15.75" customHeight="1" x14ac:dyDescent="0.2">
      <c r="A57" s="28" t="s">
        <v>2</v>
      </c>
      <c r="B57" s="38">
        <f ca="1">D18+D19</f>
        <v>0.75</v>
      </c>
    </row>
    <row r="58" spans="1:12" ht="15.75" customHeight="1" x14ac:dyDescent="0.2">
      <c r="A58" s="28" t="s">
        <v>2</v>
      </c>
    </row>
    <row r="59" spans="1:12" ht="15.75" customHeight="1" x14ac:dyDescent="0.2">
      <c r="A59" s="28" t="s">
        <v>0</v>
      </c>
    </row>
    <row r="60" spans="1:12" ht="15.75" customHeight="1" x14ac:dyDescent="0.2">
      <c r="A60" s="28" t="s">
        <v>0</v>
      </c>
    </row>
    <row r="61" spans="1:12" ht="15.75" customHeight="1" x14ac:dyDescent="0.2">
      <c r="A61" s="28" t="s">
        <v>2</v>
      </c>
    </row>
    <row r="62" spans="1:12" ht="15.75" customHeight="1" x14ac:dyDescent="0.2">
      <c r="L62" s="28"/>
    </row>
    <row r="63" spans="1:12" ht="15.75" customHeight="1" x14ac:dyDescent="0.2">
      <c r="L63" s="28"/>
    </row>
    <row r="64" spans="1:12" ht="15.75" customHeight="1" x14ac:dyDescent="0.2">
      <c r="L64" s="28"/>
    </row>
    <row r="65" spans="1:12" ht="15.75" customHeight="1" x14ac:dyDescent="0.2">
      <c r="L65" s="28"/>
    </row>
    <row r="66" spans="1:12" ht="15.75" customHeight="1" x14ac:dyDescent="0.2">
      <c r="L66" s="28"/>
    </row>
    <row r="67" spans="1:12" ht="15.75" customHeight="1" x14ac:dyDescent="0.2">
      <c r="L67" s="28"/>
    </row>
    <row r="68" spans="1:12" ht="15.75" customHeight="1" x14ac:dyDescent="0.2">
      <c r="L68" s="28"/>
    </row>
    <row r="69" spans="1:12" ht="15.75" customHeight="1" x14ac:dyDescent="0.2">
      <c r="L69" s="28"/>
    </row>
    <row r="70" spans="1:12" ht="15.75" customHeight="1" x14ac:dyDescent="0.2">
      <c r="L70" s="28"/>
    </row>
    <row r="71" spans="1:12" ht="15.75" customHeight="1" x14ac:dyDescent="0.2">
      <c r="L71" s="28"/>
    </row>
    <row r="72" spans="1:12" ht="15.75" customHeight="1" x14ac:dyDescent="0.2">
      <c r="L72" s="28"/>
    </row>
    <row r="73" spans="1:12" ht="15.75" customHeight="1" x14ac:dyDescent="0.2">
      <c r="A73" s="24" t="s">
        <v>27</v>
      </c>
    </row>
    <row r="74" spans="1:12" ht="15.75" customHeight="1" x14ac:dyDescent="0.2">
      <c r="A74" s="28">
        <v>26</v>
      </c>
    </row>
    <row r="75" spans="1:12" ht="15.75" customHeight="1" x14ac:dyDescent="0.2">
      <c r="A75" s="28">
        <v>26</v>
      </c>
    </row>
    <row r="76" spans="1:12" ht="15.75" customHeight="1" x14ac:dyDescent="0.2">
      <c r="A76" s="28">
        <v>27</v>
      </c>
    </row>
    <row r="77" spans="1:12" ht="15.75" customHeight="1" x14ac:dyDescent="0.2">
      <c r="A77" s="28">
        <v>28</v>
      </c>
    </row>
    <row r="78" spans="1:12" ht="15.75" customHeight="1" x14ac:dyDescent="0.2">
      <c r="A78" s="28">
        <v>30</v>
      </c>
    </row>
    <row r="79" spans="1:12" ht="15.75" customHeight="1" x14ac:dyDescent="0.2">
      <c r="A79" s="28">
        <v>31</v>
      </c>
    </row>
    <row r="80" spans="1:12" ht="15.75" customHeight="1" x14ac:dyDescent="0.2">
      <c r="A80" s="28">
        <v>31</v>
      </c>
    </row>
    <row r="81" spans="1:4" ht="15.75" customHeight="1" x14ac:dyDescent="0.2">
      <c r="A81" s="28">
        <v>32</v>
      </c>
    </row>
    <row r="82" spans="1:4" ht="15.75" customHeight="1" x14ac:dyDescent="0.2">
      <c r="A82" s="28">
        <v>32</v>
      </c>
    </row>
    <row r="83" spans="1:4" ht="15.75" customHeight="1" x14ac:dyDescent="0.2">
      <c r="A83" s="28">
        <v>33</v>
      </c>
      <c r="B83" s="29" t="s">
        <v>10</v>
      </c>
      <c r="C83" s="18" t="s">
        <v>11</v>
      </c>
    </row>
    <row r="84" spans="1:4" ht="15.75" customHeight="1" x14ac:dyDescent="0.2">
      <c r="A84" s="28">
        <v>33</v>
      </c>
      <c r="B84" s="17">
        <v>2</v>
      </c>
      <c r="C84" s="30">
        <v>6678</v>
      </c>
    </row>
    <row r="85" spans="1:4" ht="15.75" customHeight="1" x14ac:dyDescent="0.2">
      <c r="A85" s="28">
        <v>34</v>
      </c>
      <c r="B85" s="17">
        <v>3</v>
      </c>
      <c r="C85" s="31" t="s">
        <v>12</v>
      </c>
    </row>
    <row r="86" spans="1:4" ht="15.75" customHeight="1" x14ac:dyDescent="0.2">
      <c r="A86" s="28">
        <v>34</v>
      </c>
      <c r="B86" s="17">
        <v>4</v>
      </c>
      <c r="C86" s="30" t="s">
        <v>13</v>
      </c>
    </row>
    <row r="87" spans="1:4" ht="15.75" customHeight="1" x14ac:dyDescent="0.2">
      <c r="A87" s="28">
        <v>34</v>
      </c>
      <c r="B87" s="17">
        <v>5</v>
      </c>
      <c r="C87" s="30" t="s">
        <v>14</v>
      </c>
    </row>
    <row r="88" spans="1:4" ht="15.75" customHeight="1" x14ac:dyDescent="0.2">
      <c r="A88" s="28">
        <v>34</v>
      </c>
    </row>
    <row r="89" spans="1:4" ht="15.75" customHeight="1" x14ac:dyDescent="0.2">
      <c r="A89" s="28">
        <v>35</v>
      </c>
    </row>
    <row r="90" spans="1:4" ht="15.75" customHeight="1" x14ac:dyDescent="0.2">
      <c r="A90" s="28">
        <v>39</v>
      </c>
    </row>
    <row r="91" spans="1:4" ht="15.75" customHeight="1" x14ac:dyDescent="0.2">
      <c r="A91" s="28">
        <v>40</v>
      </c>
    </row>
    <row r="92" spans="1:4" ht="15.75" customHeight="1" x14ac:dyDescent="0.2">
      <c r="A92" s="28">
        <v>40</v>
      </c>
      <c r="B92" s="17">
        <v>2</v>
      </c>
      <c r="C92" s="32" t="s">
        <v>15</v>
      </c>
      <c r="D92" s="30" t="s">
        <v>16</v>
      </c>
    </row>
    <row r="93" spans="1:4" ht="15.75" customHeight="1" x14ac:dyDescent="0.2">
      <c r="A93" s="28">
        <v>41</v>
      </c>
      <c r="B93" s="17">
        <v>3</v>
      </c>
      <c r="C93" s="32" t="s">
        <v>17</v>
      </c>
      <c r="D93" s="30" t="s">
        <v>18</v>
      </c>
    </row>
    <row r="94" spans="1:4" ht="15.75" customHeight="1" x14ac:dyDescent="0.2">
      <c r="A94" s="28">
        <v>44</v>
      </c>
      <c r="B94" s="17">
        <v>3</v>
      </c>
      <c r="C94" s="32" t="s">
        <v>15</v>
      </c>
      <c r="D94" s="30" t="s">
        <v>19</v>
      </c>
    </row>
    <row r="95" spans="1:4" ht="15.75" customHeight="1" x14ac:dyDescent="0.2">
      <c r="A95" s="28">
        <v>44</v>
      </c>
      <c r="B95" s="17">
        <v>4</v>
      </c>
      <c r="C95" s="32" t="s">
        <v>17</v>
      </c>
      <c r="D95" s="30" t="s">
        <v>20</v>
      </c>
    </row>
    <row r="96" spans="1:4" ht="15.75" customHeight="1" x14ac:dyDescent="0.2">
      <c r="A96" s="28">
        <v>44</v>
      </c>
      <c r="B96" s="17">
        <v>4</v>
      </c>
      <c r="C96" s="32" t="s">
        <v>15</v>
      </c>
      <c r="D96" s="30" t="s">
        <v>21</v>
      </c>
    </row>
    <row r="97" spans="1:4" ht="15.75" customHeight="1" x14ac:dyDescent="0.2">
      <c r="A97" s="28">
        <v>45</v>
      </c>
      <c r="B97" s="17">
        <v>5</v>
      </c>
      <c r="C97" s="32" t="s">
        <v>17</v>
      </c>
      <c r="D97" s="30" t="s">
        <v>22</v>
      </c>
    </row>
    <row r="98" spans="1:4" ht="15.75" customHeight="1" x14ac:dyDescent="0.2">
      <c r="A98" s="28">
        <v>47</v>
      </c>
      <c r="B98" s="17">
        <v>5</v>
      </c>
      <c r="C98" s="32" t="s">
        <v>15</v>
      </c>
      <c r="D98" s="30" t="s">
        <v>23</v>
      </c>
    </row>
    <row r="99" spans="1:4" ht="15.75" customHeight="1" x14ac:dyDescent="0.2">
      <c r="A99" s="28">
        <v>48</v>
      </c>
    </row>
    <row r="100" spans="1:4" ht="15.75" customHeight="1" x14ac:dyDescent="0.2">
      <c r="A100" s="28">
        <v>50</v>
      </c>
    </row>
    <row r="101" spans="1:4" ht="15.75" customHeight="1" x14ac:dyDescent="0.2">
      <c r="A101" s="28">
        <v>50</v>
      </c>
    </row>
    <row r="102" spans="1:4" ht="15.75" customHeight="1" x14ac:dyDescent="0.2">
      <c r="A102" s="28">
        <v>51</v>
      </c>
    </row>
    <row r="103" spans="1:4" ht="15.75" customHeight="1" x14ac:dyDescent="0.2">
      <c r="A103" s="28">
        <v>52</v>
      </c>
    </row>
    <row r="104" spans="1:4" ht="15.75" customHeight="1" x14ac:dyDescent="0.2">
      <c r="A104" s="28">
        <v>52</v>
      </c>
    </row>
    <row r="105" spans="1:4" ht="15.75" customHeight="1" x14ac:dyDescent="0.2">
      <c r="A105" s="28">
        <v>53</v>
      </c>
    </row>
    <row r="106" spans="1:4" ht="15.75" customHeight="1" x14ac:dyDescent="0.2">
      <c r="A106" s="28">
        <v>53</v>
      </c>
    </row>
    <row r="107" spans="1:4" ht="15.75" customHeight="1" x14ac:dyDescent="0.2">
      <c r="A107" s="28">
        <v>54</v>
      </c>
    </row>
    <row r="108" spans="1:4" ht="15.75" customHeight="1" x14ac:dyDescent="0.2">
      <c r="A108" s="28">
        <v>55</v>
      </c>
    </row>
    <row r="109" spans="1:4" ht="15.75" customHeight="1" x14ac:dyDescent="0.2">
      <c r="A109" s="28">
        <v>57</v>
      </c>
    </row>
    <row r="110" spans="1:4" ht="15.75" customHeight="1" x14ac:dyDescent="0.2">
      <c r="A110" s="28">
        <v>57</v>
      </c>
    </row>
    <row r="111" spans="1:4" ht="15.75" customHeight="1" x14ac:dyDescent="0.2">
      <c r="A111" s="28">
        <v>58</v>
      </c>
    </row>
    <row r="112" spans="1:4" ht="15.75" customHeight="1" x14ac:dyDescent="0.2">
      <c r="A112" s="28">
        <v>58</v>
      </c>
    </row>
    <row r="113" spans="12:12" ht="15.75" customHeight="1" x14ac:dyDescent="0.2">
      <c r="L113" s="28"/>
    </row>
    <row r="114" spans="12:12" ht="15.75" customHeight="1" x14ac:dyDescent="0.2">
      <c r="L114" s="28"/>
    </row>
    <row r="115" spans="12:12" ht="15.75" customHeight="1" x14ac:dyDescent="0.2">
      <c r="L115" s="28"/>
    </row>
    <row r="116" spans="12:12" ht="15.75" customHeight="1" x14ac:dyDescent="0.2">
      <c r="L116" s="28"/>
    </row>
    <row r="117" spans="12:12" ht="15.75" customHeight="1" x14ac:dyDescent="0.2">
      <c r="L117" s="28"/>
    </row>
    <row r="118" spans="12:12" ht="15.75" customHeight="1" x14ac:dyDescent="0.2">
      <c r="L118" s="28"/>
    </row>
    <row r="119" spans="12:12" ht="15.75" customHeight="1" x14ac:dyDescent="0.2">
      <c r="L119" s="28"/>
    </row>
    <row r="120" spans="12:12" ht="15.75" customHeight="1" x14ac:dyDescent="0.2">
      <c r="L120" s="28"/>
    </row>
    <row r="121" spans="12:12" ht="15.75" customHeight="1" x14ac:dyDescent="0.2">
      <c r="L121" s="28"/>
    </row>
    <row r="122" spans="12:12" ht="15.75" customHeight="1" x14ac:dyDescent="0.2">
      <c r="L122" s="28"/>
    </row>
    <row r="123" spans="12:12" ht="15.75" customHeight="1" x14ac:dyDescent="0.2">
      <c r="L123" s="28"/>
    </row>
    <row r="124" spans="12:12" ht="15.75" customHeight="1" x14ac:dyDescent="0.2">
      <c r="L124" s="28"/>
    </row>
    <row r="125" spans="12:12" ht="15.75" customHeight="1" x14ac:dyDescent="0.2">
      <c r="L125" s="28"/>
    </row>
    <row r="126" spans="12:12" ht="15.75" customHeight="1" x14ac:dyDescent="0.2">
      <c r="L126" s="28"/>
    </row>
    <row r="127" spans="12:12" ht="15.75" customHeight="1" x14ac:dyDescent="0.2">
      <c r="L127" s="28"/>
    </row>
    <row r="128" spans="12:12" ht="15.75" customHeight="1" x14ac:dyDescent="0.2">
      <c r="L128" s="28"/>
    </row>
    <row r="129" spans="2:12" ht="15.75" customHeight="1" x14ac:dyDescent="0.2">
      <c r="L129" s="28"/>
    </row>
    <row r="130" spans="2:12" ht="15.75" customHeight="1" x14ac:dyDescent="0.2">
      <c r="B130" s="17" t="s">
        <v>24</v>
      </c>
      <c r="C130" s="17" t="s">
        <v>25</v>
      </c>
      <c r="L130" s="28"/>
    </row>
    <row r="131" spans="2:12" ht="15.75" customHeight="1" x14ac:dyDescent="0.2">
      <c r="B131" s="17">
        <v>30</v>
      </c>
      <c r="C131" s="17">
        <v>400</v>
      </c>
      <c r="L131" s="28"/>
    </row>
    <row r="132" spans="2:12" ht="15.75" customHeight="1" x14ac:dyDescent="0.2">
      <c r="B132" s="17">
        <v>27</v>
      </c>
      <c r="C132" s="17">
        <v>333</v>
      </c>
      <c r="L132" s="28"/>
    </row>
    <row r="133" spans="2:12" ht="15.75" customHeight="1" x14ac:dyDescent="0.2">
      <c r="B133" s="17">
        <v>29</v>
      </c>
      <c r="C133" s="17">
        <v>351</v>
      </c>
      <c r="L133" s="28"/>
    </row>
    <row r="134" spans="2:12" ht="15.75" customHeight="1" x14ac:dyDescent="0.2">
      <c r="B134" s="17">
        <v>17</v>
      </c>
      <c r="C134" s="17">
        <v>271</v>
      </c>
      <c r="L134" s="28"/>
    </row>
    <row r="135" spans="2:12" ht="15.75" customHeight="1" x14ac:dyDescent="0.2">
      <c r="B135" s="17">
        <v>34</v>
      </c>
      <c r="C135" s="17">
        <v>170</v>
      </c>
      <c r="L135" s="28"/>
    </row>
    <row r="136" spans="2:12" ht="15.75" customHeight="1" x14ac:dyDescent="0.2">
      <c r="B136" s="17">
        <v>17</v>
      </c>
      <c r="C136" s="17">
        <v>21</v>
      </c>
      <c r="L136" s="28"/>
    </row>
    <row r="137" spans="2:12" ht="15.75" customHeight="1" x14ac:dyDescent="0.2">
      <c r="B137" s="17">
        <v>10</v>
      </c>
      <c r="C137" s="17">
        <v>325</v>
      </c>
      <c r="L137" s="28"/>
    </row>
    <row r="138" spans="2:12" ht="15.75" customHeight="1" x14ac:dyDescent="0.2">
      <c r="B138" s="17">
        <v>37</v>
      </c>
      <c r="C138" s="17">
        <v>201</v>
      </c>
      <c r="L138" s="28"/>
    </row>
    <row r="139" spans="2:12" ht="15.75" customHeight="1" x14ac:dyDescent="0.2">
      <c r="B139" s="17">
        <v>36</v>
      </c>
      <c r="C139" s="17">
        <v>20</v>
      </c>
      <c r="L139" s="28"/>
    </row>
    <row r="140" spans="2:12" ht="15.75" customHeight="1" x14ac:dyDescent="0.2">
      <c r="B140" s="17">
        <v>16</v>
      </c>
      <c r="C140" s="17">
        <v>179</v>
      </c>
      <c r="L140" s="28"/>
    </row>
    <row r="141" spans="2:12" ht="15.75" customHeight="1" x14ac:dyDescent="0.2">
      <c r="B141" s="17">
        <v>39</v>
      </c>
      <c r="C141" s="17">
        <v>381</v>
      </c>
      <c r="L141" s="28"/>
    </row>
    <row r="142" spans="2:12" ht="15.75" customHeight="1" x14ac:dyDescent="0.2">
      <c r="B142" s="17">
        <v>33</v>
      </c>
      <c r="C142" s="17">
        <v>134</v>
      </c>
      <c r="L142" s="28"/>
    </row>
    <row r="143" spans="2:12" ht="15.75" customHeight="1" x14ac:dyDescent="0.2">
      <c r="L143" s="28"/>
    </row>
    <row r="144" spans="2:12" ht="15.75" customHeight="1" x14ac:dyDescent="0.2">
      <c r="L144" s="28"/>
    </row>
    <row r="145" spans="12:12" ht="15.75" customHeight="1" x14ac:dyDescent="0.2">
      <c r="L145" s="28"/>
    </row>
    <row r="146" spans="12:12" ht="15.75" customHeight="1" x14ac:dyDescent="0.2">
      <c r="L146" s="28"/>
    </row>
    <row r="147" spans="12:12" ht="15.75" customHeight="1" x14ac:dyDescent="0.2">
      <c r="L147" s="28"/>
    </row>
    <row r="148" spans="12:12" ht="15.75" customHeight="1" x14ac:dyDescent="0.2">
      <c r="L148" s="28"/>
    </row>
    <row r="149" spans="12:12" ht="15.75" customHeight="1" x14ac:dyDescent="0.2">
      <c r="L149" s="28"/>
    </row>
    <row r="150" spans="12:12" ht="15.75" customHeight="1" x14ac:dyDescent="0.2">
      <c r="L150" s="28"/>
    </row>
    <row r="151" spans="12:12" ht="15.75" customHeight="1" x14ac:dyDescent="0.2">
      <c r="L151" s="28"/>
    </row>
    <row r="152" spans="12:12" ht="15.75" customHeight="1" x14ac:dyDescent="0.2">
      <c r="L152" s="28"/>
    </row>
    <row r="153" spans="12:12" ht="15.75" customHeight="1" x14ac:dyDescent="0.2">
      <c r="L153" s="28"/>
    </row>
    <row r="154" spans="12:12" ht="15.75" customHeight="1" x14ac:dyDescent="0.2">
      <c r="L154" s="28"/>
    </row>
    <row r="155" spans="12:12" ht="15.75" customHeight="1" x14ac:dyDescent="0.2">
      <c r="L155" s="28"/>
    </row>
    <row r="156" spans="12:12" ht="15.75" customHeight="1" x14ac:dyDescent="0.2">
      <c r="L156" s="28"/>
    </row>
    <row r="157" spans="12:12" ht="15.75" customHeight="1" x14ac:dyDescent="0.2">
      <c r="L157" s="28"/>
    </row>
    <row r="158" spans="12:12" ht="15.75" customHeight="1" x14ac:dyDescent="0.2">
      <c r="L158" s="28"/>
    </row>
    <row r="159" spans="12:12" ht="15.75" customHeight="1" x14ac:dyDescent="0.2">
      <c r="L159" s="28"/>
    </row>
    <row r="160" spans="12:12" ht="15.75" customHeight="1" x14ac:dyDescent="0.2">
      <c r="L160" s="28"/>
    </row>
    <row r="161" spans="12:12" ht="15.75" customHeight="1" x14ac:dyDescent="0.2">
      <c r="L161" s="28"/>
    </row>
    <row r="162" spans="12:12" ht="15.75" customHeight="1" x14ac:dyDescent="0.2">
      <c r="L162" s="28"/>
    </row>
    <row r="163" spans="12:12" ht="15.75" customHeight="1" x14ac:dyDescent="0.2">
      <c r="L163" s="28"/>
    </row>
    <row r="164" spans="12:12" ht="15.75" customHeight="1" x14ac:dyDescent="0.2">
      <c r="L164" s="28"/>
    </row>
    <row r="165" spans="12:12" ht="15.75" customHeight="1" x14ac:dyDescent="0.2">
      <c r="L165" s="28"/>
    </row>
    <row r="166" spans="12:12" ht="15.75" customHeight="1" x14ac:dyDescent="0.2">
      <c r="L166" s="28"/>
    </row>
    <row r="167" spans="12:12" ht="15.75" customHeight="1" x14ac:dyDescent="0.2">
      <c r="L167" s="28"/>
    </row>
    <row r="168" spans="12:12" ht="15.75" customHeight="1" x14ac:dyDescent="0.2">
      <c r="L168" s="28"/>
    </row>
    <row r="169" spans="12:12" ht="15.75" customHeight="1" x14ac:dyDescent="0.2">
      <c r="L169" s="28"/>
    </row>
    <row r="170" spans="12:12" ht="15.75" customHeight="1" x14ac:dyDescent="0.2">
      <c r="L170" s="28"/>
    </row>
    <row r="171" spans="12:12" ht="15.75" customHeight="1" x14ac:dyDescent="0.2">
      <c r="L171" s="28"/>
    </row>
    <row r="172" spans="12:12" ht="15.75" customHeight="1" x14ac:dyDescent="0.2">
      <c r="L172" s="28"/>
    </row>
    <row r="173" spans="12:12" ht="15.75" customHeight="1" x14ac:dyDescent="0.2">
      <c r="L173" s="28"/>
    </row>
    <row r="174" spans="12:12" ht="15.75" customHeight="1" x14ac:dyDescent="0.2">
      <c r="L174" s="28"/>
    </row>
    <row r="175" spans="12:12" ht="15.75" customHeight="1" x14ac:dyDescent="0.2">
      <c r="L175" s="28"/>
    </row>
    <row r="176" spans="12:12" ht="15.75" customHeight="1" x14ac:dyDescent="0.2">
      <c r="L176" s="28"/>
    </row>
    <row r="177" spans="12:12" ht="15.75" customHeight="1" x14ac:dyDescent="0.2">
      <c r="L177" s="28"/>
    </row>
    <row r="178" spans="12:12" ht="15.75" customHeight="1" x14ac:dyDescent="0.2">
      <c r="L178" s="28"/>
    </row>
    <row r="179" spans="12:12" ht="15.75" customHeight="1" x14ac:dyDescent="0.2">
      <c r="L179" s="28"/>
    </row>
    <row r="180" spans="12:12" ht="15.75" customHeight="1" x14ac:dyDescent="0.2">
      <c r="L180" s="28"/>
    </row>
    <row r="182" spans="12:12" ht="15.75" customHeight="1" x14ac:dyDescent="0.2">
      <c r="L182" s="28"/>
    </row>
    <row r="183" spans="12:12" ht="15.75" customHeight="1" x14ac:dyDescent="0.2">
      <c r="L183" s="28"/>
    </row>
    <row r="184" spans="12:12" ht="15.75" customHeight="1" x14ac:dyDescent="0.2">
      <c r="L184" s="28"/>
    </row>
    <row r="185" spans="12:12" ht="15.75" customHeight="1" x14ac:dyDescent="0.2">
      <c r="L185" s="28"/>
    </row>
    <row r="186" spans="12:12" ht="15.75" customHeight="1" x14ac:dyDescent="0.2">
      <c r="L186" s="28"/>
    </row>
    <row r="187" spans="12:12" ht="15.75" customHeight="1" x14ac:dyDescent="0.2">
      <c r="L187" s="28"/>
    </row>
    <row r="188" spans="12:12" ht="15.75" customHeight="1" x14ac:dyDescent="0.2">
      <c r="L188" s="28"/>
    </row>
    <row r="189" spans="12:12" ht="15.75" customHeight="1" x14ac:dyDescent="0.2">
      <c r="L189" s="2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28"/>
    </row>
    <row r="196" spans="1:12" ht="15.75" customHeight="1" x14ac:dyDescent="0.2">
      <c r="L196" s="28"/>
    </row>
    <row r="197" spans="1:12" ht="15.75" customHeight="1" x14ac:dyDescent="0.2">
      <c r="L197" s="28"/>
    </row>
    <row r="198" spans="1:12" ht="15.75" customHeight="1" x14ac:dyDescent="0.2">
      <c r="L198" s="28"/>
    </row>
    <row r="199" spans="1:12" ht="15.75" customHeight="1" x14ac:dyDescent="0.2">
      <c r="A199" s="24" t="s">
        <v>27</v>
      </c>
      <c r="L199" s="28"/>
    </row>
    <row r="200" spans="1:12" ht="15.75" customHeight="1" x14ac:dyDescent="0.2">
      <c r="A200" s="39">
        <v>11</v>
      </c>
      <c r="L200" s="28"/>
    </row>
    <row r="201" spans="1:12" ht="15.75" customHeight="1" x14ac:dyDescent="0.2">
      <c r="A201" s="39">
        <v>33</v>
      </c>
      <c r="L201" s="28"/>
    </row>
    <row r="202" spans="1:12" ht="15.75" customHeight="1" x14ac:dyDescent="0.2">
      <c r="A202" s="39">
        <v>17</v>
      </c>
      <c r="L202" s="28"/>
    </row>
    <row r="203" spans="1:12" ht="15.75" customHeight="1" x14ac:dyDescent="0.2">
      <c r="A203" s="39">
        <v>46</v>
      </c>
      <c r="L203" s="28"/>
    </row>
    <row r="204" spans="1:12" ht="15.75" customHeight="1" x14ac:dyDescent="0.2">
      <c r="A204" s="39">
        <v>38</v>
      </c>
      <c r="L204" s="28"/>
    </row>
    <row r="205" spans="1:12" ht="15.75" customHeight="1" x14ac:dyDescent="0.2">
      <c r="A205" s="40">
        <v>33</v>
      </c>
      <c r="L205" s="28"/>
    </row>
    <row r="206" spans="1:12" ht="15.75" customHeight="1" x14ac:dyDescent="0.2">
      <c r="A206" s="39">
        <v>45</v>
      </c>
      <c r="L206" s="28"/>
    </row>
    <row r="207" spans="1:12" ht="15.75" customHeight="1" x14ac:dyDescent="0.2">
      <c r="A207" s="39">
        <v>11</v>
      </c>
      <c r="L207" s="28"/>
    </row>
    <row r="208" spans="1:12" ht="15.75" customHeight="1" x14ac:dyDescent="0.2">
      <c r="A208" s="39">
        <v>15</v>
      </c>
      <c r="L208" s="28"/>
    </row>
    <row r="209" spans="1:12" ht="15.75" customHeight="1" x14ac:dyDescent="0.2">
      <c r="A209" s="39">
        <v>23</v>
      </c>
      <c r="B209" s="33" t="s">
        <v>28</v>
      </c>
      <c r="C209" s="33" t="s">
        <v>29</v>
      </c>
      <c r="D209" s="33" t="s">
        <v>30</v>
      </c>
      <c r="F209" s="34" t="s">
        <v>88</v>
      </c>
      <c r="G209" s="21" t="s">
        <v>92</v>
      </c>
      <c r="L209" s="28"/>
    </row>
    <row r="210" spans="1:12" ht="15.75" customHeight="1" x14ac:dyDescent="0.2">
      <c r="A210" s="39">
        <v>34</v>
      </c>
      <c r="B210" s="17">
        <v>1</v>
      </c>
      <c r="C210" s="17">
        <f t="shared" ref="C210:C219" si="1">2^B210</f>
        <v>2</v>
      </c>
      <c r="D210" s="14">
        <f t="shared" ref="D210:D219" ca="1" si="2">$G$211</f>
        <v>25</v>
      </c>
      <c r="F210" s="14" t="s">
        <v>87</v>
      </c>
      <c r="G210" s="21" t="s">
        <v>107</v>
      </c>
      <c r="H210" s="25"/>
      <c r="L210" s="28"/>
    </row>
    <row r="211" spans="1:12" ht="15.75" customHeight="1" x14ac:dyDescent="0.2">
      <c r="A211" s="39">
        <v>33</v>
      </c>
      <c r="B211" s="17">
        <v>2</v>
      </c>
      <c r="C211" s="17">
        <f t="shared" si="1"/>
        <v>4</v>
      </c>
      <c r="D211" s="14">
        <f t="shared" ca="1" si="2"/>
        <v>25</v>
      </c>
      <c r="F211" s="14" t="s">
        <v>79</v>
      </c>
      <c r="G211" s="14">
        <f ca="1">COUNT(INDIRECT(G209&amp;":"&amp;G210))</f>
        <v>25</v>
      </c>
      <c r="H211" s="25"/>
      <c r="L211" s="28"/>
    </row>
    <row r="212" spans="1:12" ht="15.75" customHeight="1" x14ac:dyDescent="0.2">
      <c r="A212" s="40">
        <v>49</v>
      </c>
      <c r="B212" s="17">
        <v>3</v>
      </c>
      <c r="C212" s="17">
        <f t="shared" si="1"/>
        <v>8</v>
      </c>
      <c r="D212" s="14">
        <f t="shared" ca="1" si="2"/>
        <v>25</v>
      </c>
      <c r="F212" s="14" t="s">
        <v>80</v>
      </c>
      <c r="G212" s="14">
        <v>5</v>
      </c>
      <c r="H212" s="26"/>
      <c r="L212" s="28"/>
    </row>
    <row r="213" spans="1:12" ht="15.75" customHeight="1" x14ac:dyDescent="0.2">
      <c r="A213" s="39">
        <v>28</v>
      </c>
      <c r="B213" s="17">
        <v>4</v>
      </c>
      <c r="C213" s="17">
        <f t="shared" si="1"/>
        <v>16</v>
      </c>
      <c r="D213" s="14">
        <f t="shared" ca="1" si="2"/>
        <v>25</v>
      </c>
      <c r="F213" s="14" t="s">
        <v>85</v>
      </c>
      <c r="G213" s="17">
        <f ca="1">MIN(INDIRECT(G209&amp;":"&amp;G210))</f>
        <v>11</v>
      </c>
      <c r="H213" s="25"/>
      <c r="L213" s="28"/>
    </row>
    <row r="214" spans="1:12" ht="15.75" customHeight="1" x14ac:dyDescent="0.2">
      <c r="A214" s="39">
        <v>32</v>
      </c>
      <c r="B214" s="14">
        <v>5</v>
      </c>
      <c r="C214" s="14">
        <f t="shared" si="1"/>
        <v>32</v>
      </c>
      <c r="D214" s="14">
        <f t="shared" ca="1" si="2"/>
        <v>25</v>
      </c>
      <c r="F214" s="14" t="s">
        <v>86</v>
      </c>
      <c r="G214" s="14">
        <f ca="1">MAX(INDIRECT(G209&amp;":"&amp;G210))</f>
        <v>49</v>
      </c>
      <c r="L214" s="28"/>
    </row>
    <row r="215" spans="1:12" ht="15.75" customHeight="1" x14ac:dyDescent="0.2">
      <c r="A215" s="40">
        <v>37</v>
      </c>
      <c r="B215" s="17">
        <v>6</v>
      </c>
      <c r="C215" s="17">
        <f t="shared" si="1"/>
        <v>64</v>
      </c>
      <c r="D215" s="14">
        <f t="shared" ca="1" si="2"/>
        <v>25</v>
      </c>
      <c r="F215" s="14" t="s">
        <v>81</v>
      </c>
      <c r="G215" s="14">
        <v>10</v>
      </c>
      <c r="L215" s="28"/>
    </row>
    <row r="216" spans="1:12" ht="15.75" customHeight="1" x14ac:dyDescent="0.2">
      <c r="A216" s="40">
        <v>16</v>
      </c>
      <c r="B216" s="17">
        <v>7</v>
      </c>
      <c r="C216" s="17">
        <f t="shared" si="1"/>
        <v>128</v>
      </c>
      <c r="D216" s="14">
        <f t="shared" ca="1" si="2"/>
        <v>25</v>
      </c>
      <c r="F216" s="14" t="s">
        <v>35</v>
      </c>
      <c r="G216" s="37">
        <f ca="1">AVERAGE(INDIRECT(G209&amp;":"&amp;G210))</f>
        <v>29.84</v>
      </c>
      <c r="L216" s="28"/>
    </row>
    <row r="217" spans="1:12" ht="15.75" customHeight="1" x14ac:dyDescent="0.2">
      <c r="A217" s="40">
        <v>36</v>
      </c>
      <c r="B217" s="17">
        <v>8</v>
      </c>
      <c r="C217" s="17">
        <f t="shared" si="1"/>
        <v>256</v>
      </c>
      <c r="D217" s="14">
        <f t="shared" ca="1" si="2"/>
        <v>25</v>
      </c>
      <c r="F217" s="14" t="s">
        <v>91</v>
      </c>
      <c r="G217" s="14">
        <f ca="1">MEDIAN(INDIRECT(G209&amp;":"&amp;G210))</f>
        <v>33</v>
      </c>
      <c r="L217" s="28"/>
    </row>
    <row r="218" spans="1:12" ht="15.75" customHeight="1" x14ac:dyDescent="0.2">
      <c r="A218" s="39">
        <v>28</v>
      </c>
      <c r="B218" s="17">
        <v>9</v>
      </c>
      <c r="C218" s="17">
        <f t="shared" si="1"/>
        <v>512</v>
      </c>
      <c r="D218" s="14">
        <f t="shared" ca="1" si="2"/>
        <v>25</v>
      </c>
      <c r="F218" s="14" t="s">
        <v>106</v>
      </c>
      <c r="G218" s="14">
        <f ca="1">_xlfn.MODE.SNGL(INDIRECT(G209&amp;":"&amp;G210))</f>
        <v>33</v>
      </c>
      <c r="L218" s="28"/>
    </row>
    <row r="219" spans="1:12" ht="15.75" customHeight="1" x14ac:dyDescent="0.2">
      <c r="A219" s="39">
        <v>46</v>
      </c>
      <c r="B219" s="17">
        <v>10</v>
      </c>
      <c r="C219" s="17">
        <f t="shared" si="1"/>
        <v>1024</v>
      </c>
      <c r="D219" s="14">
        <f t="shared" ca="1" si="2"/>
        <v>25</v>
      </c>
      <c r="F219" s="14" t="s">
        <v>34</v>
      </c>
      <c r="G219" s="37">
        <f ca="1">_xlfn.STDEV.P(INDIRECT(G209&amp;":"&amp;G210))</f>
        <v>12.350481771979586</v>
      </c>
      <c r="L219" s="28"/>
    </row>
    <row r="220" spans="1:12" ht="15.75" customHeight="1" x14ac:dyDescent="0.2">
      <c r="A220" s="40">
        <v>44</v>
      </c>
      <c r="L220" s="28"/>
    </row>
    <row r="221" spans="1:12" ht="15.75" customHeight="1" x14ac:dyDescent="0.2">
      <c r="A221" s="40">
        <v>19</v>
      </c>
      <c r="L221" s="28"/>
    </row>
    <row r="222" spans="1:12" ht="15.75" customHeight="1" x14ac:dyDescent="0.2">
      <c r="A222" s="39">
        <v>13</v>
      </c>
      <c r="B222" s="11" t="s">
        <v>26</v>
      </c>
      <c r="C222" s="11" t="s">
        <v>82</v>
      </c>
      <c r="D222" s="11" t="s">
        <v>83</v>
      </c>
      <c r="E222" s="11" t="s">
        <v>5</v>
      </c>
      <c r="F222" s="11" t="s">
        <v>78</v>
      </c>
      <c r="G222" s="11" t="s">
        <v>105</v>
      </c>
      <c r="H222" s="11" t="s">
        <v>89</v>
      </c>
      <c r="I222" s="11" t="s">
        <v>90</v>
      </c>
      <c r="L222" s="28"/>
    </row>
    <row r="223" spans="1:12" ht="15.75" customHeight="1" x14ac:dyDescent="0.2">
      <c r="A223" s="40">
        <v>46</v>
      </c>
      <c r="B223" s="14" t="s">
        <v>95</v>
      </c>
      <c r="C223" s="14">
        <f>0</f>
        <v>0</v>
      </c>
      <c r="D223" s="14">
        <f t="shared" ref="D223:D228" si="3">C223+$G$215</f>
        <v>10</v>
      </c>
      <c r="E223" s="14">
        <f ca="1">COUNTIFS(INDIRECT($G$209&amp;":"&amp;$G$210), "&gt;="&amp;C223, INDIRECT($G$209&amp;":"&amp;$G$210), "&lt;"&amp;D223)</f>
        <v>0</v>
      </c>
      <c r="F223" s="27">
        <f t="shared" ref="F223:F228" ca="1" si="4">E223/$G$211</f>
        <v>0</v>
      </c>
      <c r="G223" s="27">
        <f ca="1">F223</f>
        <v>0</v>
      </c>
      <c r="H223" s="14">
        <f ca="1">((C223+D223)/2)*E223</f>
        <v>0</v>
      </c>
      <c r="I223" s="14"/>
      <c r="J223" s="16"/>
      <c r="L223" s="28"/>
    </row>
    <row r="224" spans="1:12" ht="15.75" customHeight="1" x14ac:dyDescent="0.2">
      <c r="A224" s="39">
        <v>13</v>
      </c>
      <c r="B224" s="14" t="s">
        <v>96</v>
      </c>
      <c r="C224" s="14">
        <f>D223</f>
        <v>10</v>
      </c>
      <c r="D224" s="14">
        <f t="shared" si="3"/>
        <v>20</v>
      </c>
      <c r="E224" s="14">
        <f t="shared" ref="E224:E232" ca="1" si="5">COUNTIFS(INDIRECT($G$209&amp;":"&amp;$G$210), "&gt;="&amp;C224, INDIRECT($G$209&amp;":"&amp;$G$210), "&lt;"&amp;D224)</f>
        <v>8</v>
      </c>
      <c r="F224" s="27">
        <f t="shared" ca="1" si="4"/>
        <v>0.32</v>
      </c>
      <c r="G224" s="27">
        <f ca="1">G223+F224</f>
        <v>0.32</v>
      </c>
      <c r="H224" s="14">
        <f ca="1">((C224+D224)/2)*E224</f>
        <v>120</v>
      </c>
      <c r="I224" s="14"/>
      <c r="J224" s="16"/>
      <c r="L224" s="28"/>
    </row>
    <row r="225" spans="1:12" ht="15.75" customHeight="1" x14ac:dyDescent="0.2">
      <c r="A225" s="41"/>
      <c r="B225" s="14" t="s">
        <v>97</v>
      </c>
      <c r="C225" s="14">
        <f t="shared" ref="C225:C232" si="6">D224</f>
        <v>20</v>
      </c>
      <c r="D225" s="14">
        <f t="shared" si="3"/>
        <v>30</v>
      </c>
      <c r="E225" s="14">
        <f t="shared" ca="1" si="5"/>
        <v>3</v>
      </c>
      <c r="F225" s="27">
        <f t="shared" ca="1" si="4"/>
        <v>0.12</v>
      </c>
      <c r="G225" s="27">
        <f t="shared" ref="G225:G232" ca="1" si="7">G224+F225</f>
        <v>0.44</v>
      </c>
      <c r="H225" s="14">
        <f t="shared" ref="H225:H232" ca="1" si="8">((C225+D225)/2)*E225</f>
        <v>75</v>
      </c>
      <c r="I225" s="14"/>
      <c r="J225" s="16"/>
      <c r="L225" s="28"/>
    </row>
    <row r="226" spans="1:12" ht="15.75" customHeight="1" x14ac:dyDescent="0.2">
      <c r="A226" s="41"/>
      <c r="B226" s="14" t="s">
        <v>98</v>
      </c>
      <c r="C226" s="14">
        <f t="shared" si="6"/>
        <v>30</v>
      </c>
      <c r="D226" s="14">
        <f t="shared" si="3"/>
        <v>40</v>
      </c>
      <c r="E226" s="14">
        <f t="shared" ca="1" si="5"/>
        <v>8</v>
      </c>
      <c r="F226" s="27">
        <f t="shared" ca="1" si="4"/>
        <v>0.32</v>
      </c>
      <c r="G226" s="27">
        <f t="shared" ca="1" si="7"/>
        <v>0.76</v>
      </c>
      <c r="H226" s="14">
        <f t="shared" ca="1" si="8"/>
        <v>280</v>
      </c>
      <c r="I226" s="14"/>
      <c r="J226" s="16"/>
      <c r="L226" s="28"/>
    </row>
    <row r="227" spans="1:12" ht="15.75" customHeight="1" x14ac:dyDescent="0.2">
      <c r="A227" s="41"/>
      <c r="B227" s="14" t="s">
        <v>99</v>
      </c>
      <c r="C227" s="14">
        <f t="shared" si="6"/>
        <v>40</v>
      </c>
      <c r="D227" s="14">
        <f t="shared" si="3"/>
        <v>50</v>
      </c>
      <c r="E227" s="14">
        <f t="shared" ca="1" si="5"/>
        <v>6</v>
      </c>
      <c r="F227" s="27">
        <f t="shared" ca="1" si="4"/>
        <v>0.24</v>
      </c>
      <c r="G227" s="27">
        <f t="shared" ca="1" si="7"/>
        <v>1</v>
      </c>
      <c r="H227" s="14">
        <f t="shared" ca="1" si="8"/>
        <v>270</v>
      </c>
      <c r="I227" s="14"/>
      <c r="J227" s="16"/>
      <c r="L227" s="28"/>
    </row>
    <row r="228" spans="1:12" ht="15.75" customHeight="1" x14ac:dyDescent="0.2">
      <c r="A228" s="22"/>
      <c r="B228" s="14" t="s">
        <v>100</v>
      </c>
      <c r="C228" s="14">
        <f t="shared" si="6"/>
        <v>50</v>
      </c>
      <c r="D228" s="14">
        <f t="shared" si="3"/>
        <v>60</v>
      </c>
      <c r="E228" s="14">
        <f t="shared" ca="1" si="5"/>
        <v>0</v>
      </c>
      <c r="F228" s="27">
        <f t="shared" ca="1" si="4"/>
        <v>0</v>
      </c>
      <c r="G228" s="27">
        <f t="shared" ca="1" si="7"/>
        <v>1</v>
      </c>
      <c r="H228" s="14">
        <f t="shared" ca="1" si="8"/>
        <v>0</v>
      </c>
      <c r="I228" s="14"/>
      <c r="L228" s="28"/>
    </row>
    <row r="229" spans="1:12" ht="15.75" customHeight="1" x14ac:dyDescent="0.2">
      <c r="A229" s="22"/>
      <c r="B229" s="14" t="s">
        <v>101</v>
      </c>
      <c r="C229" s="14">
        <f t="shared" si="6"/>
        <v>60</v>
      </c>
      <c r="D229" s="14">
        <f t="shared" ref="D229:D232" si="9">C229+$G$215</f>
        <v>70</v>
      </c>
      <c r="E229" s="14">
        <f t="shared" ca="1" si="5"/>
        <v>0</v>
      </c>
      <c r="F229" s="27">
        <f t="shared" ref="F229:F232" ca="1" si="10">E229/$G$211</f>
        <v>0</v>
      </c>
      <c r="G229" s="27">
        <f t="shared" ca="1" si="7"/>
        <v>1</v>
      </c>
      <c r="H229" s="14">
        <f t="shared" ca="1" si="8"/>
        <v>0</v>
      </c>
      <c r="I229" s="14"/>
      <c r="L229" s="28"/>
    </row>
    <row r="230" spans="1:12" ht="15.75" customHeight="1" x14ac:dyDescent="0.2">
      <c r="A230" s="22"/>
      <c r="B230" s="14" t="s">
        <v>102</v>
      </c>
      <c r="C230" s="14">
        <f t="shared" si="6"/>
        <v>70</v>
      </c>
      <c r="D230" s="14">
        <f t="shared" si="9"/>
        <v>80</v>
      </c>
      <c r="E230" s="14">
        <f t="shared" ca="1" si="5"/>
        <v>0</v>
      </c>
      <c r="F230" s="27">
        <f t="shared" ca="1" si="10"/>
        <v>0</v>
      </c>
      <c r="G230" s="27">
        <f t="shared" ca="1" si="7"/>
        <v>1</v>
      </c>
      <c r="H230" s="14">
        <f t="shared" ca="1" si="8"/>
        <v>0</v>
      </c>
      <c r="I230" s="14"/>
      <c r="J230" s="10"/>
      <c r="K230" s="10"/>
      <c r="L230" s="28"/>
    </row>
    <row r="231" spans="1:12" ht="15.75" customHeight="1" x14ac:dyDescent="0.2">
      <c r="A231" s="41"/>
      <c r="B231" s="14" t="s">
        <v>103</v>
      </c>
      <c r="C231" s="14">
        <f t="shared" si="6"/>
        <v>80</v>
      </c>
      <c r="D231" s="14">
        <f t="shared" si="9"/>
        <v>90</v>
      </c>
      <c r="E231" s="14">
        <f t="shared" ca="1" si="5"/>
        <v>0</v>
      </c>
      <c r="F231" s="27">
        <f t="shared" ca="1" si="10"/>
        <v>0</v>
      </c>
      <c r="G231" s="27">
        <f t="shared" ca="1" si="7"/>
        <v>1</v>
      </c>
      <c r="H231" s="14">
        <f t="shared" ca="1" si="8"/>
        <v>0</v>
      </c>
      <c r="I231" s="14"/>
      <c r="L231" s="28"/>
    </row>
    <row r="232" spans="1:12" ht="15.75" customHeight="1" x14ac:dyDescent="0.2">
      <c r="A232" s="41"/>
      <c r="B232" s="14" t="s">
        <v>104</v>
      </c>
      <c r="C232" s="14">
        <f t="shared" si="6"/>
        <v>90</v>
      </c>
      <c r="D232" s="14">
        <f t="shared" si="9"/>
        <v>100</v>
      </c>
      <c r="E232" s="14">
        <f t="shared" ca="1" si="5"/>
        <v>0</v>
      </c>
      <c r="F232" s="27">
        <f t="shared" ca="1" si="10"/>
        <v>0</v>
      </c>
      <c r="G232" s="27">
        <f t="shared" ca="1" si="7"/>
        <v>1</v>
      </c>
      <c r="H232" s="14">
        <f t="shared" ca="1" si="8"/>
        <v>0</v>
      </c>
      <c r="I232" s="14"/>
      <c r="L232" s="28"/>
    </row>
    <row r="233" spans="1:12" ht="15.75" customHeight="1" x14ac:dyDescent="0.2">
      <c r="A233" s="22"/>
      <c r="H233" s="14">
        <f ca="1">SUM(H223:H232)/G211</f>
        <v>29.8</v>
      </c>
      <c r="I233" s="14"/>
      <c r="L233" s="28"/>
    </row>
    <row r="234" spans="1:12" ht="15.75" customHeight="1" x14ac:dyDescent="0.2">
      <c r="A234" s="22"/>
      <c r="L234" s="28"/>
    </row>
    <row r="235" spans="1:12" ht="15.75" customHeight="1" x14ac:dyDescent="0.2">
      <c r="A235" s="41"/>
      <c r="L235" s="28"/>
    </row>
    <row r="236" spans="1:12" ht="15.75" customHeight="1" x14ac:dyDescent="0.2">
      <c r="L236" s="28"/>
    </row>
    <row r="237" spans="1:12" ht="15.75" customHeight="1" x14ac:dyDescent="0.2">
      <c r="L237" s="28"/>
    </row>
    <row r="238" spans="1:12" ht="15.75" customHeight="1" x14ac:dyDescent="0.2">
      <c r="L238" s="28"/>
    </row>
    <row r="239" spans="1:12" ht="15.75" customHeight="1" x14ac:dyDescent="0.2">
      <c r="L239" s="28"/>
    </row>
    <row r="240" spans="1:12" ht="15.75" customHeight="1" x14ac:dyDescent="0.2">
      <c r="L240" s="28"/>
    </row>
    <row r="241" spans="1:12" ht="15.75" customHeight="1" x14ac:dyDescent="0.2">
      <c r="J241" s="35"/>
      <c r="K241" s="36"/>
      <c r="L241" s="28"/>
    </row>
    <row r="242" spans="1:12" ht="15.75" customHeight="1" x14ac:dyDescent="0.2">
      <c r="J242" s="35"/>
      <c r="K242" s="36"/>
      <c r="L242" s="28"/>
    </row>
    <row r="243" spans="1:12" ht="15.75" customHeight="1" x14ac:dyDescent="0.2">
      <c r="J243" s="35"/>
      <c r="K243" s="36"/>
      <c r="L243" s="28"/>
    </row>
    <row r="244" spans="1:12" ht="15.75" customHeight="1" x14ac:dyDescent="0.2">
      <c r="J244" s="35"/>
      <c r="K244" s="36"/>
      <c r="L244" s="28"/>
    </row>
    <row r="245" spans="1:12" ht="15.75" customHeight="1" x14ac:dyDescent="0.2">
      <c r="J245" s="35"/>
      <c r="K245" s="36"/>
      <c r="L245" s="28"/>
    </row>
    <row r="246" spans="1:12" ht="15.75" customHeight="1" x14ac:dyDescent="0.2">
      <c r="L246" s="28"/>
    </row>
    <row r="247" spans="1:12" ht="15.75" customHeight="1" x14ac:dyDescent="0.2">
      <c r="L247" s="28"/>
    </row>
    <row r="248" spans="1:12" ht="15.75" customHeight="1" x14ac:dyDescent="0.2">
      <c r="L248" s="28"/>
    </row>
    <row r="249" spans="1:12" ht="15.75" customHeight="1" x14ac:dyDescent="0.2">
      <c r="L249" s="28"/>
    </row>
    <row r="250" spans="1:12" ht="15.75" customHeight="1" x14ac:dyDescent="0.2">
      <c r="L250" s="28"/>
    </row>
    <row r="251" spans="1:12" ht="15.75" customHeight="1" x14ac:dyDescent="0.2">
      <c r="L251" s="28"/>
    </row>
    <row r="252" spans="1:12" ht="15.75" customHeight="1" x14ac:dyDescent="0.2">
      <c r="L252" s="28"/>
    </row>
    <row r="253" spans="1:12" ht="15.75" customHeight="1" x14ac:dyDescent="0.2">
      <c r="L253" s="28"/>
    </row>
    <row r="254" spans="1:12" ht="15.75" customHeight="1" x14ac:dyDescent="0.2"/>
    <row r="255" spans="1:12" ht="15.75" customHeight="1" x14ac:dyDescent="0.2">
      <c r="A255"/>
      <c r="B255" s="3"/>
      <c r="C255" s="4"/>
      <c r="D255"/>
      <c r="E255"/>
      <c r="F255"/>
      <c r="G255"/>
    </row>
    <row r="256" spans="1:12" ht="15.75" customHeight="1" x14ac:dyDescent="0.2">
      <c r="A256"/>
      <c r="B256" s="3"/>
      <c r="C256" s="4"/>
      <c r="D256"/>
      <c r="F256" s="58" t="s">
        <v>32</v>
      </c>
      <c r="G256" s="58" t="s">
        <v>33</v>
      </c>
    </row>
    <row r="257" spans="1:13" ht="15.75" customHeight="1" x14ac:dyDescent="0.2">
      <c r="A257"/>
      <c r="B257" s="3"/>
      <c r="C257" s="4"/>
      <c r="D257"/>
      <c r="F257" s="12">
        <v>12</v>
      </c>
      <c r="G257" s="12">
        <v>5</v>
      </c>
    </row>
    <row r="258" spans="1:13" ht="15.75" customHeight="1" x14ac:dyDescent="0.2">
      <c r="A258"/>
      <c r="B258" s="3"/>
      <c r="C258" s="4"/>
      <c r="D258"/>
      <c r="F258" s="12">
        <v>23</v>
      </c>
      <c r="G258" s="12">
        <v>9</v>
      </c>
    </row>
    <row r="259" spans="1:13" ht="15.75" customHeight="1" x14ac:dyDescent="0.2">
      <c r="A259"/>
      <c r="B259" s="3"/>
      <c r="C259" s="4"/>
      <c r="D259"/>
      <c r="F259" s="12">
        <v>13</v>
      </c>
      <c r="G259" s="12">
        <v>2</v>
      </c>
    </row>
    <row r="260" spans="1:13" ht="15.75" customHeight="1" x14ac:dyDescent="0.2">
      <c r="A260"/>
      <c r="B260" s="3"/>
      <c r="C260" s="4"/>
      <c r="D260"/>
      <c r="F260" s="12">
        <v>24</v>
      </c>
      <c r="G260" s="12">
        <v>6</v>
      </c>
    </row>
    <row r="261" spans="1:13" ht="15.75" customHeight="1" x14ac:dyDescent="0.2">
      <c r="A261"/>
      <c r="B261" s="3"/>
      <c r="C261" s="4"/>
      <c r="D261"/>
      <c r="F261" s="12">
        <v>18</v>
      </c>
      <c r="G261" s="12">
        <v>8</v>
      </c>
      <c r="L261" s="28"/>
      <c r="M261" s="22"/>
    </row>
    <row r="262" spans="1:13" ht="15.75" customHeight="1" x14ac:dyDescent="0.2">
      <c r="A262"/>
      <c r="B262" s="3"/>
      <c r="C262" s="4"/>
      <c r="D262"/>
      <c r="E262"/>
      <c r="F262"/>
      <c r="G262"/>
      <c r="L262" s="28"/>
    </row>
    <row r="263" spans="1:13" ht="15.75" customHeight="1" x14ac:dyDescent="0.2">
      <c r="A263"/>
      <c r="B263" s="3"/>
      <c r="C263" s="4"/>
      <c r="D263"/>
      <c r="E263"/>
      <c r="F263"/>
      <c r="G263"/>
      <c r="L263" s="28"/>
    </row>
    <row r="264" spans="1:13" ht="15.75" customHeight="1" x14ac:dyDescent="0.2">
      <c r="A264"/>
      <c r="B264" s="3"/>
      <c r="C264" s="4"/>
      <c r="D264"/>
      <c r="E264"/>
      <c r="F264"/>
      <c r="G264"/>
      <c r="L264" s="28"/>
    </row>
    <row r="265" spans="1:13" ht="15.75" customHeight="1" x14ac:dyDescent="0.2">
      <c r="A265"/>
      <c r="B265" s="3"/>
      <c r="C265" s="4"/>
      <c r="D265"/>
      <c r="E265"/>
      <c r="F265"/>
      <c r="G265"/>
      <c r="L265" s="28"/>
    </row>
    <row r="266" spans="1:13" ht="15.75" customHeight="1" x14ac:dyDescent="0.2">
      <c r="A266"/>
      <c r="B266" s="3"/>
      <c r="C266" s="4"/>
      <c r="D266"/>
      <c r="E266"/>
      <c r="F266"/>
      <c r="G266"/>
      <c r="L266" s="28"/>
    </row>
    <row r="267" spans="1:13" ht="15.75" customHeight="1" x14ac:dyDescent="0.2">
      <c r="A267"/>
      <c r="B267" s="3"/>
      <c r="C267" s="4"/>
      <c r="D267"/>
      <c r="E267"/>
      <c r="F267"/>
      <c r="G267"/>
      <c r="L267" s="28"/>
    </row>
    <row r="268" spans="1:13" ht="15.75" customHeight="1" x14ac:dyDescent="0.2">
      <c r="A268"/>
      <c r="B268" s="12" t="s">
        <v>34</v>
      </c>
      <c r="C268" s="61">
        <f>_xlfn.STDEV.S(F257:F261)</f>
        <v>5.5226805085936306</v>
      </c>
      <c r="D268" s="61">
        <f>_xlfn.STDEV.S(G257:G261)</f>
        <v>2.7386127875258306</v>
      </c>
      <c r="E268"/>
      <c r="F268"/>
      <c r="G268"/>
      <c r="L268" s="28"/>
    </row>
    <row r="269" spans="1:13" ht="15.75" customHeight="1" x14ac:dyDescent="0.2">
      <c r="A269"/>
      <c r="B269" s="12" t="s">
        <v>35</v>
      </c>
      <c r="C269" s="61">
        <f>AVERAGE(F257:F261)</f>
        <v>18</v>
      </c>
      <c r="D269" s="61">
        <f>AVERAGE(G257:G261)</f>
        <v>6</v>
      </c>
      <c r="E269"/>
      <c r="F269"/>
      <c r="G269"/>
      <c r="L269" s="28"/>
    </row>
    <row r="270" spans="1:13" ht="15.75" customHeight="1" x14ac:dyDescent="0.2">
      <c r="A270"/>
      <c r="B270" s="12" t="s">
        <v>36</v>
      </c>
      <c r="C270" s="61">
        <f>(C268/C269)*100</f>
        <v>30.681558381075725</v>
      </c>
      <c r="D270" s="61">
        <f>(D268/D269)*100</f>
        <v>45.643546458763844</v>
      </c>
      <c r="E270"/>
      <c r="F270"/>
      <c r="G270"/>
      <c r="L270" s="28"/>
    </row>
    <row r="271" spans="1:13" ht="15.75" customHeight="1" x14ac:dyDescent="0.2">
      <c r="A271"/>
      <c r="B271" s="45" t="s">
        <v>131</v>
      </c>
      <c r="C271" s="143">
        <f>_xlfn.COVARIANCE.S(F257:F261,G257:G261)</f>
        <v>10.25</v>
      </c>
      <c r="D271" s="144"/>
      <c r="E271"/>
      <c r="F271"/>
      <c r="G271"/>
      <c r="L271" s="28"/>
    </row>
    <row r="272" spans="1:13" ht="15.75" customHeight="1" x14ac:dyDescent="0.2">
      <c r="A272"/>
      <c r="B272" s="45" t="s">
        <v>132</v>
      </c>
      <c r="C272" s="143">
        <f>CORREL(F257:F261,G257:G261)</f>
        <v>0.67770909502996846</v>
      </c>
      <c r="D272" s="144"/>
      <c r="E272"/>
      <c r="F272"/>
      <c r="G272"/>
      <c r="L272" s="28"/>
    </row>
    <row r="273" spans="1:12" ht="15.75" customHeight="1" x14ac:dyDescent="0.2">
      <c r="A273"/>
      <c r="B273" s="2"/>
      <c r="C273" s="4"/>
      <c r="D273" s="4"/>
      <c r="E273"/>
      <c r="F273"/>
      <c r="G273"/>
      <c r="L273" s="28"/>
    </row>
    <row r="274" spans="1:12" ht="15.75" customHeight="1" x14ac:dyDescent="0.2">
      <c r="A274"/>
      <c r="B274" s="2"/>
      <c r="C274" s="4"/>
      <c r="D274" s="4"/>
      <c r="E274"/>
      <c r="F274"/>
      <c r="G274"/>
      <c r="L274" s="28"/>
    </row>
    <row r="275" spans="1:12" ht="15.75" customHeight="1" x14ac:dyDescent="0.2">
      <c r="A275"/>
      <c r="B275" s="3"/>
      <c r="C275" s="4"/>
      <c r="D275"/>
      <c r="E275"/>
      <c r="F275"/>
      <c r="G275"/>
      <c r="L275" s="28"/>
    </row>
    <row r="276" spans="1:12" ht="15.75" customHeight="1" x14ac:dyDescent="0.2">
      <c r="A276"/>
      <c r="B276" s="3"/>
      <c r="C276" s="4"/>
      <c r="D276"/>
      <c r="E276"/>
      <c r="F276"/>
      <c r="G276"/>
      <c r="L276" s="28"/>
    </row>
    <row r="277" spans="1:12" ht="15.75" customHeight="1" x14ac:dyDescent="0.2">
      <c r="A277"/>
      <c r="B277" s="3"/>
      <c r="C277" s="4"/>
      <c r="D277"/>
      <c r="E277"/>
      <c r="F277"/>
      <c r="G277"/>
      <c r="L277" s="28"/>
    </row>
    <row r="278" spans="1:12" ht="15.75" customHeight="1" x14ac:dyDescent="0.2">
      <c r="A278"/>
      <c r="B278" s="3"/>
      <c r="C278" s="4"/>
      <c r="D278"/>
      <c r="E278"/>
      <c r="F278"/>
      <c r="G278"/>
      <c r="L278" s="28"/>
    </row>
    <row r="279" spans="1:12" ht="15.75" customHeight="1" x14ac:dyDescent="0.2">
      <c r="A279"/>
      <c r="B279" s="3"/>
      <c r="C279" s="4"/>
      <c r="D279"/>
      <c r="E279"/>
      <c r="F279"/>
      <c r="G279"/>
      <c r="L279" s="28"/>
    </row>
    <row r="280" spans="1:12" ht="15.75" customHeight="1" x14ac:dyDescent="0.2">
      <c r="A280"/>
      <c r="B280" s="3"/>
      <c r="C280" s="4"/>
      <c r="D280"/>
      <c r="E280"/>
      <c r="F280"/>
      <c r="G280"/>
      <c r="L280" s="28"/>
    </row>
    <row r="281" spans="1:12" ht="15.75" customHeight="1" x14ac:dyDescent="0.2">
      <c r="A281"/>
      <c r="B281" s="3"/>
      <c r="C281" s="4"/>
      <c r="D281"/>
      <c r="E281"/>
      <c r="F281"/>
      <c r="G281"/>
      <c r="L281" s="28"/>
    </row>
    <row r="282" spans="1:12" ht="15.75" customHeight="1" x14ac:dyDescent="0.2">
      <c r="A282"/>
      <c r="B282" s="3"/>
      <c r="C282" s="4"/>
      <c r="D282"/>
      <c r="E282"/>
      <c r="F282"/>
      <c r="G282"/>
      <c r="L282" s="28"/>
    </row>
    <row r="283" spans="1:12" ht="15.75" customHeight="1" x14ac:dyDescent="0.2">
      <c r="A283"/>
      <c r="B283" s="3"/>
      <c r="C283" s="4"/>
      <c r="D283"/>
      <c r="E283"/>
      <c r="F283"/>
      <c r="G283"/>
      <c r="L283" s="28"/>
    </row>
    <row r="284" spans="1:12" ht="15.75" customHeight="1" x14ac:dyDescent="0.2">
      <c r="A284"/>
      <c r="B284" s="3"/>
      <c r="C284" s="4"/>
      <c r="D284"/>
      <c r="E284"/>
      <c r="F284"/>
      <c r="G284"/>
      <c r="L284" s="28"/>
    </row>
    <row r="285" spans="1:12" ht="15.75" customHeight="1" x14ac:dyDescent="0.2">
      <c r="A285"/>
      <c r="B285" s="3"/>
      <c r="C285" s="4"/>
      <c r="D285"/>
      <c r="E285"/>
      <c r="F285"/>
      <c r="G285"/>
      <c r="L285" s="28"/>
    </row>
    <row r="286" spans="1:12" ht="15.75" customHeight="1" x14ac:dyDescent="0.2">
      <c r="A286"/>
      <c r="B286" s="3"/>
      <c r="C286" s="4"/>
      <c r="D286"/>
      <c r="E286"/>
      <c r="F286"/>
      <c r="G286"/>
      <c r="L286" s="28"/>
    </row>
    <row r="287" spans="1:12" ht="15.75" customHeight="1" x14ac:dyDescent="0.2">
      <c r="A287"/>
      <c r="B287" s="3"/>
      <c r="C287" s="4"/>
      <c r="D287"/>
      <c r="E287"/>
      <c r="F287"/>
      <c r="G287"/>
      <c r="L287" s="28"/>
    </row>
    <row r="288" spans="1:12" ht="15.75" customHeight="1" x14ac:dyDescent="0.2">
      <c r="A288"/>
      <c r="B288" s="3"/>
      <c r="C288" s="4"/>
      <c r="D288"/>
      <c r="E288"/>
      <c r="F288"/>
      <c r="G288"/>
      <c r="L288" s="28"/>
    </row>
    <row r="289" spans="1:12" ht="15.75" customHeight="1" x14ac:dyDescent="0.2">
      <c r="A289"/>
      <c r="B289" s="3"/>
      <c r="C289" s="4"/>
      <c r="D289"/>
      <c r="E289"/>
      <c r="F289"/>
      <c r="G289"/>
      <c r="L289" s="28"/>
    </row>
    <row r="290" spans="1:12" ht="15.75" customHeight="1" x14ac:dyDescent="0.2">
      <c r="A290"/>
      <c r="B290" s="3"/>
      <c r="C290" s="4"/>
      <c r="D290"/>
      <c r="E290"/>
      <c r="F290"/>
      <c r="G290"/>
      <c r="L290" s="28"/>
    </row>
    <row r="291" spans="1:12" ht="15.75" customHeight="1" x14ac:dyDescent="0.2">
      <c r="A291"/>
      <c r="B291" s="3"/>
      <c r="C291" s="4"/>
      <c r="D291"/>
      <c r="E291"/>
      <c r="F291"/>
      <c r="G291"/>
      <c r="L291" s="28"/>
    </row>
    <row r="292" spans="1:12" ht="15.75" customHeight="1" x14ac:dyDescent="0.2">
      <c r="A292"/>
      <c r="B292" s="3"/>
      <c r="C292" s="4"/>
      <c r="D292"/>
      <c r="E292"/>
      <c r="F292"/>
      <c r="G292"/>
      <c r="L292" s="28"/>
    </row>
    <row r="293" spans="1:12" ht="15.75" customHeight="1" x14ac:dyDescent="0.2">
      <c r="A293"/>
      <c r="B293" s="3"/>
      <c r="C293" s="4"/>
      <c r="D293"/>
      <c r="E293"/>
      <c r="F293"/>
      <c r="G293"/>
      <c r="L293" s="28"/>
    </row>
    <row r="294" spans="1:12" ht="15.75" customHeight="1" x14ac:dyDescent="0.2">
      <c r="A294"/>
      <c r="B294" s="3"/>
      <c r="C294" s="4"/>
      <c r="D294"/>
      <c r="E294"/>
      <c r="F294"/>
      <c r="G294"/>
      <c r="L294" s="28"/>
    </row>
    <row r="295" spans="1:12" ht="15.75" customHeight="1" x14ac:dyDescent="0.2">
      <c r="A295"/>
      <c r="B295" s="3"/>
      <c r="C295" s="4"/>
      <c r="D295"/>
      <c r="E295"/>
      <c r="F295"/>
      <c r="G295"/>
      <c r="L295" s="28"/>
    </row>
    <row r="296" spans="1:12" ht="15.75" customHeight="1" x14ac:dyDescent="0.2">
      <c r="A296"/>
      <c r="B296" s="2" t="s">
        <v>35</v>
      </c>
      <c r="C296" s="4">
        <v>725</v>
      </c>
      <c r="D296"/>
      <c r="E296"/>
      <c r="F296"/>
      <c r="G296"/>
      <c r="L296" s="28"/>
    </row>
    <row r="297" spans="1:12" ht="15.75" customHeight="1" x14ac:dyDescent="0.2">
      <c r="A297"/>
      <c r="B297" s="2" t="s">
        <v>37</v>
      </c>
      <c r="C297" s="4">
        <v>75</v>
      </c>
      <c r="D297"/>
      <c r="E297"/>
      <c r="F297"/>
      <c r="G297"/>
      <c r="L297" s="28"/>
    </row>
    <row r="298" spans="1:12" ht="15.75" customHeight="1" x14ac:dyDescent="0.2">
      <c r="A298"/>
      <c r="B298" s="3"/>
      <c r="C298" s="4"/>
      <c r="D298"/>
      <c r="E298"/>
      <c r="F298"/>
      <c r="G298"/>
      <c r="L298" s="28"/>
    </row>
    <row r="299" spans="1:12" ht="15.75" customHeight="1" x14ac:dyDescent="0.2">
      <c r="A299"/>
      <c r="B299" s="3"/>
      <c r="C299" s="4">
        <f>STANDARDIZE(646, $C$296, $C$297)</f>
        <v>-1.0533333333333332</v>
      </c>
      <c r="D299"/>
      <c r="E299"/>
      <c r="F299"/>
      <c r="G299"/>
      <c r="L299" s="28"/>
    </row>
    <row r="300" spans="1:12" ht="15.75" customHeight="1" x14ac:dyDescent="0.2">
      <c r="A300"/>
      <c r="B300" s="3"/>
      <c r="C300" s="4"/>
      <c r="D300"/>
      <c r="E300"/>
      <c r="F300"/>
      <c r="G300"/>
      <c r="L300" s="28"/>
    </row>
    <row r="301" spans="1:12" ht="15.75" customHeight="1" x14ac:dyDescent="0.2">
      <c r="A301"/>
      <c r="B301" s="3"/>
      <c r="C301" s="4">
        <f>STANDARDIZE(870, $C$296, $C$297)</f>
        <v>1.9333333333333333</v>
      </c>
      <c r="D301"/>
      <c r="E301"/>
      <c r="F301"/>
      <c r="G301"/>
      <c r="L301" s="28"/>
    </row>
    <row r="302" spans="1:12" ht="15.75" customHeight="1" x14ac:dyDescent="0.2">
      <c r="A302"/>
      <c r="B302" s="3"/>
      <c r="C302" s="4"/>
      <c r="D302"/>
      <c r="E302"/>
      <c r="F302"/>
      <c r="G302"/>
      <c r="L302" s="28"/>
    </row>
    <row r="303" spans="1:12" ht="15.75" customHeight="1" x14ac:dyDescent="0.2">
      <c r="A303"/>
      <c r="B303" s="3"/>
      <c r="C303" s="4">
        <f>STANDARDIZE(564, $C$296, $C$297)</f>
        <v>-2.1466666666666665</v>
      </c>
      <c r="D303"/>
      <c r="E303"/>
      <c r="F303"/>
      <c r="G303"/>
      <c r="L303" s="28"/>
    </row>
    <row r="304" spans="1:12" ht="15.75" customHeight="1" x14ac:dyDescent="0.2">
      <c r="A304"/>
      <c r="B304" s="3"/>
      <c r="C304" s="4"/>
      <c r="D304"/>
      <c r="E304"/>
      <c r="F304"/>
      <c r="G304"/>
      <c r="L304" s="28"/>
    </row>
    <row r="305" spans="1:12" ht="15.75" customHeight="1" x14ac:dyDescent="0.2">
      <c r="A305"/>
      <c r="B305" s="3"/>
      <c r="C305" s="4"/>
      <c r="D305"/>
      <c r="E305"/>
      <c r="F305"/>
      <c r="G305"/>
      <c r="L305" s="28"/>
    </row>
    <row r="306" spans="1:12" ht="15.75" customHeight="1" x14ac:dyDescent="0.2">
      <c r="A306"/>
      <c r="B306" s="3"/>
      <c r="C306" s="4">
        <f>STANDARDIZE(774, $C$296, $C$297)</f>
        <v>0.65333333333333332</v>
      </c>
      <c r="D306"/>
      <c r="E306"/>
      <c r="F306"/>
      <c r="G306"/>
      <c r="L306" s="28"/>
    </row>
    <row r="307" spans="1:12" ht="15.75" customHeight="1" x14ac:dyDescent="0.2">
      <c r="A307"/>
      <c r="B307" s="3"/>
      <c r="C307" s="4"/>
      <c r="D307"/>
      <c r="E307"/>
      <c r="F307"/>
      <c r="G307"/>
      <c r="L307" s="28"/>
    </row>
    <row r="308" spans="1:12" ht="15.75" customHeight="1" x14ac:dyDescent="0.2">
      <c r="A308"/>
      <c r="B308" s="3"/>
      <c r="C308" s="4">
        <f>STANDARDIZE(918, $C$296, $C$297)</f>
        <v>2.5733333333333333</v>
      </c>
      <c r="D308"/>
      <c r="E308"/>
      <c r="F308"/>
      <c r="G308"/>
      <c r="L308" s="28"/>
    </row>
    <row r="309" spans="1:12" ht="15.75" customHeight="1" x14ac:dyDescent="0.2">
      <c r="A309"/>
      <c r="B309" s="3"/>
      <c r="C309" s="4"/>
      <c r="D309"/>
      <c r="E309"/>
      <c r="F309"/>
      <c r="G309"/>
      <c r="L309" s="28"/>
    </row>
    <row r="310" spans="1:12" ht="15.75" customHeight="1" x14ac:dyDescent="0.2">
      <c r="A310"/>
      <c r="B310"/>
      <c r="C310"/>
      <c r="D310"/>
      <c r="E310"/>
      <c r="F310"/>
      <c r="G310"/>
      <c r="L310" s="28"/>
    </row>
    <row r="311" spans="1:12" ht="15.75" customHeight="1" x14ac:dyDescent="0.2">
      <c r="A311" s="59" t="s">
        <v>27</v>
      </c>
      <c r="B311"/>
      <c r="C311"/>
      <c r="D311"/>
      <c r="E311"/>
      <c r="F311"/>
      <c r="G311"/>
      <c r="L311" s="28"/>
    </row>
    <row r="312" spans="1:12" ht="15.75" customHeight="1" x14ac:dyDescent="0.2">
      <c r="A312" s="60">
        <v>9</v>
      </c>
      <c r="B312"/>
      <c r="C312"/>
      <c r="D312"/>
      <c r="E312"/>
      <c r="F312"/>
      <c r="G312"/>
      <c r="L312" s="28"/>
    </row>
    <row r="313" spans="1:12" ht="15.75" customHeight="1" x14ac:dyDescent="0.2">
      <c r="A313" s="60">
        <v>40</v>
      </c>
      <c r="B313"/>
      <c r="C313"/>
      <c r="D313"/>
      <c r="E313"/>
      <c r="F313"/>
      <c r="G313"/>
      <c r="L313" s="28"/>
    </row>
    <row r="314" spans="1:12" ht="15.75" customHeight="1" x14ac:dyDescent="0.2">
      <c r="A314" s="60">
        <v>24</v>
      </c>
      <c r="B314"/>
      <c r="C314"/>
      <c r="D314"/>
      <c r="E314"/>
      <c r="F314"/>
      <c r="G314"/>
      <c r="L314" s="28"/>
    </row>
    <row r="315" spans="1:12" ht="15.75" customHeight="1" x14ac:dyDescent="0.2">
      <c r="A315" s="60">
        <v>18</v>
      </c>
      <c r="B315"/>
      <c r="C315"/>
      <c r="D315"/>
      <c r="E315"/>
      <c r="F315"/>
      <c r="G315"/>
      <c r="L315" s="28"/>
    </row>
    <row r="316" spans="1:12" ht="15.75" customHeight="1" x14ac:dyDescent="0.2">
      <c r="A316" s="60">
        <v>32</v>
      </c>
      <c r="B316"/>
      <c r="C316"/>
      <c r="D316"/>
      <c r="E316"/>
      <c r="F316"/>
      <c r="G316"/>
      <c r="L316" s="28"/>
    </row>
    <row r="317" spans="1:12" ht="15.75" customHeight="1" x14ac:dyDescent="0.2">
      <c r="A317" s="60">
        <v>20</v>
      </c>
      <c r="B317"/>
      <c r="C317"/>
      <c r="D317"/>
      <c r="E317"/>
      <c r="F317"/>
      <c r="G317"/>
      <c r="L317" s="28"/>
    </row>
    <row r="318" spans="1:12" ht="15.75" customHeight="1" x14ac:dyDescent="0.2">
      <c r="A318" s="60">
        <v>35</v>
      </c>
      <c r="B318"/>
      <c r="C318"/>
      <c r="D318"/>
      <c r="E318"/>
      <c r="F318"/>
      <c r="G318"/>
      <c r="L318" s="28"/>
    </row>
    <row r="319" spans="1:12" ht="15.75" customHeight="1" x14ac:dyDescent="0.2">
      <c r="A319" s="60">
        <v>6</v>
      </c>
      <c r="B319"/>
      <c r="C319"/>
      <c r="D319"/>
      <c r="E319"/>
      <c r="F319"/>
      <c r="G319"/>
      <c r="L319" s="28"/>
    </row>
    <row r="320" spans="1:12" ht="15.75" customHeight="1" x14ac:dyDescent="0.2">
      <c r="A320" s="60">
        <v>37</v>
      </c>
      <c r="B320" s="3" t="s">
        <v>38</v>
      </c>
      <c r="C320" s="6">
        <f>_xlfn.PERCENTILE.INC(A312:A320, 0.15)</f>
        <v>10.8</v>
      </c>
      <c r="D320"/>
      <c r="E320"/>
      <c r="F320"/>
      <c r="G320"/>
      <c r="L320" s="28"/>
    </row>
    <row r="321" spans="1:12" ht="15.75" customHeight="1" x14ac:dyDescent="0.2">
      <c r="A321"/>
      <c r="B321" s="3" t="s">
        <v>39</v>
      </c>
      <c r="C321" s="6">
        <f>_xlfn.PERCENTILE.INC(A312:A320, 0.45)</f>
        <v>22.4</v>
      </c>
      <c r="D321"/>
      <c r="E321"/>
      <c r="F321"/>
      <c r="G321"/>
      <c r="L321" s="28"/>
    </row>
    <row r="322" spans="1:12" ht="15.75" customHeight="1" x14ac:dyDescent="0.2">
      <c r="A322"/>
      <c r="B322" s="3" t="s">
        <v>40</v>
      </c>
      <c r="C322" s="6">
        <f>_xlfn.PERCENTILE.EXC(A312:A320, 0.85)</f>
        <v>38.5</v>
      </c>
      <c r="D322"/>
      <c r="E322"/>
      <c r="F322"/>
      <c r="G322"/>
      <c r="L322" s="28"/>
    </row>
    <row r="323" spans="1:12" ht="15.75" customHeight="1" x14ac:dyDescent="0.2">
      <c r="A323"/>
      <c r="B323"/>
      <c r="C323"/>
      <c r="D323"/>
      <c r="E323"/>
      <c r="F323"/>
      <c r="G323"/>
      <c r="L323" s="28"/>
    </row>
    <row r="324" spans="1:12" ht="15.75" customHeight="1" x14ac:dyDescent="0.2">
      <c r="A324"/>
      <c r="B324"/>
      <c r="C324"/>
      <c r="D324"/>
      <c r="E324"/>
      <c r="F324"/>
      <c r="G324"/>
      <c r="L324" s="28"/>
    </row>
    <row r="325" spans="1:12" ht="15.75" customHeight="1" x14ac:dyDescent="0.2">
      <c r="A325"/>
      <c r="B325"/>
      <c r="C325"/>
      <c r="D325"/>
      <c r="E325"/>
      <c r="F325"/>
      <c r="G325"/>
      <c r="L325" s="28"/>
    </row>
    <row r="326" spans="1:12" ht="15.75" customHeight="1" x14ac:dyDescent="0.2">
      <c r="A326"/>
      <c r="B326"/>
      <c r="C326"/>
      <c r="D326"/>
      <c r="E326"/>
      <c r="F326"/>
      <c r="G326"/>
      <c r="L326" s="28"/>
    </row>
    <row r="327" spans="1:12" ht="15.75" customHeight="1" x14ac:dyDescent="0.2">
      <c r="A327"/>
      <c r="B327"/>
      <c r="C327"/>
      <c r="D327"/>
      <c r="E327"/>
      <c r="F327"/>
      <c r="G327"/>
      <c r="L327" s="28"/>
    </row>
    <row r="328" spans="1:12" ht="15.75" customHeight="1" x14ac:dyDescent="0.2">
      <c r="A328"/>
      <c r="B328"/>
      <c r="C328"/>
      <c r="D328"/>
      <c r="E328"/>
      <c r="F328"/>
      <c r="G328"/>
      <c r="L328" s="28"/>
    </row>
    <row r="329" spans="1:12" ht="15.75" customHeight="1" x14ac:dyDescent="0.2">
      <c r="A329"/>
      <c r="B329"/>
      <c r="C329"/>
      <c r="D329"/>
      <c r="E329"/>
      <c r="F329"/>
      <c r="G329"/>
      <c r="L329" s="28"/>
    </row>
    <row r="330" spans="1:12" ht="15.75" customHeight="1" x14ac:dyDescent="0.2">
      <c r="A330"/>
      <c r="B330"/>
      <c r="C330"/>
      <c r="D330"/>
      <c r="E330"/>
      <c r="F330"/>
      <c r="G330"/>
      <c r="L330" s="28"/>
    </row>
    <row r="331" spans="1:12" ht="15.75" customHeight="1" x14ac:dyDescent="0.2">
      <c r="A331"/>
      <c r="B331"/>
      <c r="C331"/>
      <c r="D331"/>
      <c r="E331" s="7">
        <f>_xlfn.PERCENTRANK.EXC(C337:C366, C360)*100</f>
        <v>3.2</v>
      </c>
      <c r="F331"/>
      <c r="G331"/>
      <c r="L331" s="28"/>
    </row>
    <row r="332" spans="1:12" ht="15.75" customHeight="1" x14ac:dyDescent="0.2">
      <c r="A332"/>
      <c r="B332"/>
      <c r="C332"/>
      <c r="D332"/>
      <c r="E332"/>
      <c r="F332"/>
      <c r="G332"/>
      <c r="L332" s="28"/>
    </row>
    <row r="333" spans="1:12" ht="15.75" customHeight="1" x14ac:dyDescent="0.2">
      <c r="A333"/>
      <c r="B333"/>
      <c r="C333"/>
      <c r="D333"/>
      <c r="E333" s="2">
        <f>_xlfn.PERCENTRANK.EXC(D337:D366, D359)*100</f>
        <v>77.400000000000006</v>
      </c>
      <c r="F333"/>
      <c r="G333"/>
      <c r="L333" s="28"/>
    </row>
    <row r="334" spans="1:12" ht="15.75" customHeight="1" x14ac:dyDescent="0.2">
      <c r="A334"/>
      <c r="B334"/>
      <c r="C334"/>
      <c r="D334"/>
      <c r="E334"/>
      <c r="F334"/>
      <c r="G334"/>
      <c r="L334" s="28"/>
    </row>
    <row r="335" spans="1:12" ht="15.75" customHeight="1" x14ac:dyDescent="0.2">
      <c r="A335"/>
      <c r="B335"/>
      <c r="C335"/>
      <c r="D335"/>
      <c r="E335"/>
      <c r="F335"/>
      <c r="G335"/>
      <c r="L335" s="28"/>
    </row>
    <row r="336" spans="1:12" ht="15.75" customHeight="1" x14ac:dyDescent="0.2">
      <c r="A336"/>
      <c r="B336" s="12" t="s">
        <v>41</v>
      </c>
      <c r="C336" s="12" t="s">
        <v>42</v>
      </c>
      <c r="D336" s="12" t="s">
        <v>43</v>
      </c>
      <c r="E336"/>
      <c r="F336"/>
      <c r="G336"/>
      <c r="L336" s="28"/>
    </row>
    <row r="337" spans="1:12" ht="15.75" customHeight="1" x14ac:dyDescent="0.2">
      <c r="A337"/>
      <c r="B337" s="12" t="s">
        <v>44</v>
      </c>
      <c r="C337" s="12">
        <v>93</v>
      </c>
      <c r="D337" s="12">
        <v>69</v>
      </c>
      <c r="E337"/>
      <c r="F337"/>
      <c r="G337"/>
      <c r="L337" s="28"/>
    </row>
    <row r="338" spans="1:12" ht="15.75" customHeight="1" x14ac:dyDescent="0.2">
      <c r="A338"/>
      <c r="B338" s="12" t="s">
        <v>45</v>
      </c>
      <c r="C338" s="12">
        <v>72</v>
      </c>
      <c r="D338" s="12">
        <v>90</v>
      </c>
      <c r="E338"/>
      <c r="F338"/>
      <c r="G338"/>
      <c r="L338" s="28"/>
    </row>
    <row r="339" spans="1:12" ht="15.75" customHeight="1" x14ac:dyDescent="0.2">
      <c r="A339"/>
      <c r="B339" s="12" t="s">
        <v>46</v>
      </c>
      <c r="C339" s="12">
        <v>75</v>
      </c>
      <c r="D339" s="12">
        <v>87</v>
      </c>
      <c r="E339"/>
      <c r="F339"/>
      <c r="G339"/>
      <c r="L339" s="28"/>
    </row>
    <row r="340" spans="1:12" ht="15.75" customHeight="1" x14ac:dyDescent="0.2">
      <c r="A340"/>
      <c r="B340" s="12" t="s">
        <v>47</v>
      </c>
      <c r="C340" s="12">
        <v>93</v>
      </c>
      <c r="D340" s="12">
        <v>69</v>
      </c>
      <c r="E340"/>
      <c r="F340"/>
      <c r="G340"/>
      <c r="L340" s="28"/>
    </row>
    <row r="341" spans="1:12" ht="15.75" customHeight="1" x14ac:dyDescent="0.2">
      <c r="A341"/>
      <c r="B341" s="12" t="s">
        <v>48</v>
      </c>
      <c r="C341" s="12">
        <v>92</v>
      </c>
      <c r="D341" s="12">
        <v>70</v>
      </c>
      <c r="E341"/>
      <c r="F341"/>
      <c r="G341"/>
      <c r="L341" s="28"/>
    </row>
    <row r="342" spans="1:12" ht="15.75" customHeight="1" x14ac:dyDescent="0.2">
      <c r="A342"/>
      <c r="B342" s="12" t="s">
        <v>49</v>
      </c>
      <c r="C342" s="12">
        <v>67</v>
      </c>
      <c r="D342" s="12">
        <v>95</v>
      </c>
      <c r="E342"/>
      <c r="F342"/>
      <c r="G342"/>
      <c r="L342" s="28"/>
    </row>
    <row r="343" spans="1:12" ht="15.75" customHeight="1" x14ac:dyDescent="0.2">
      <c r="A343"/>
      <c r="B343" s="12" t="s">
        <v>50</v>
      </c>
      <c r="C343" s="12">
        <v>68</v>
      </c>
      <c r="D343" s="12">
        <v>94</v>
      </c>
      <c r="E343"/>
      <c r="F343"/>
      <c r="G343"/>
      <c r="L343" s="28"/>
    </row>
    <row r="344" spans="1:12" ht="15.75" customHeight="1" x14ac:dyDescent="0.2">
      <c r="A344"/>
      <c r="B344" s="12" t="s">
        <v>51</v>
      </c>
      <c r="C344" s="12">
        <v>102</v>
      </c>
      <c r="D344" s="12">
        <v>60</v>
      </c>
      <c r="E344"/>
      <c r="F344"/>
      <c r="G344"/>
      <c r="L344" s="28"/>
    </row>
    <row r="345" spans="1:12" ht="15.75" customHeight="1" x14ac:dyDescent="0.2">
      <c r="A345"/>
      <c r="B345" s="12" t="s">
        <v>52</v>
      </c>
      <c r="C345" s="12">
        <v>87</v>
      </c>
      <c r="D345" s="12">
        <v>75</v>
      </c>
      <c r="E345"/>
      <c r="F345"/>
      <c r="G345"/>
      <c r="L345" s="28"/>
    </row>
    <row r="346" spans="1:12" ht="15.75" customHeight="1" x14ac:dyDescent="0.2">
      <c r="A346"/>
      <c r="B346" s="12" t="s">
        <v>53</v>
      </c>
      <c r="C346" s="12">
        <v>64</v>
      </c>
      <c r="D346" s="12">
        <v>98</v>
      </c>
      <c r="E346"/>
      <c r="F346"/>
      <c r="G346"/>
      <c r="L346" s="28"/>
    </row>
    <row r="347" spans="1:12" ht="15.75" customHeight="1" x14ac:dyDescent="0.2">
      <c r="A347"/>
      <c r="B347" s="12" t="s">
        <v>54</v>
      </c>
      <c r="C347" s="12">
        <v>101</v>
      </c>
      <c r="D347" s="12">
        <v>61</v>
      </c>
      <c r="E347"/>
      <c r="F347"/>
      <c r="G347"/>
      <c r="L347" s="28"/>
    </row>
    <row r="348" spans="1:12" ht="15.75" customHeight="1" x14ac:dyDescent="0.2">
      <c r="A348"/>
      <c r="B348" s="12" t="s">
        <v>55</v>
      </c>
      <c r="C348" s="12">
        <v>80</v>
      </c>
      <c r="D348" s="12">
        <v>82</v>
      </c>
      <c r="E348"/>
      <c r="F348"/>
      <c r="G348"/>
      <c r="L348" s="28"/>
    </row>
    <row r="349" spans="1:12" ht="15.75" customHeight="1" x14ac:dyDescent="0.2">
      <c r="A349"/>
      <c r="B349" s="12" t="s">
        <v>56</v>
      </c>
      <c r="C349" s="12">
        <v>80</v>
      </c>
      <c r="D349" s="12">
        <v>82</v>
      </c>
      <c r="E349"/>
      <c r="F349"/>
      <c r="G349"/>
      <c r="L349" s="28"/>
    </row>
    <row r="350" spans="1:12" ht="15.75" customHeight="1" x14ac:dyDescent="0.2">
      <c r="A350"/>
      <c r="B350" s="12" t="s">
        <v>57</v>
      </c>
      <c r="C350" s="12">
        <v>104</v>
      </c>
      <c r="D350" s="12">
        <v>58</v>
      </c>
      <c r="E350"/>
      <c r="F350"/>
      <c r="G350"/>
      <c r="L350" s="28"/>
    </row>
    <row r="351" spans="1:12" ht="15.75" customHeight="1" x14ac:dyDescent="0.2">
      <c r="A351"/>
      <c r="B351" s="12" t="s">
        <v>58</v>
      </c>
      <c r="C351" s="12">
        <v>77</v>
      </c>
      <c r="D351" s="12">
        <v>85</v>
      </c>
      <c r="E351"/>
      <c r="F351"/>
      <c r="G351"/>
      <c r="L351" s="28"/>
    </row>
    <row r="352" spans="1:12" ht="15.75" customHeight="1" x14ac:dyDescent="0.2">
      <c r="A352"/>
      <c r="B352" s="12" t="s">
        <v>59</v>
      </c>
      <c r="C352" s="12">
        <v>86</v>
      </c>
      <c r="D352" s="12">
        <v>76</v>
      </c>
      <c r="E352"/>
      <c r="F352"/>
      <c r="G352"/>
      <c r="L352" s="28"/>
    </row>
    <row r="353" spans="1:12" ht="15.75" customHeight="1" x14ac:dyDescent="0.2">
      <c r="A353"/>
      <c r="B353" s="12" t="s">
        <v>60</v>
      </c>
      <c r="C353" s="12">
        <v>85</v>
      </c>
      <c r="D353" s="12">
        <v>77</v>
      </c>
      <c r="E353"/>
      <c r="F353"/>
      <c r="G353"/>
      <c r="L353" s="28"/>
    </row>
    <row r="354" spans="1:12" ht="15.75" customHeight="1" x14ac:dyDescent="0.2">
      <c r="A354"/>
      <c r="B354" s="12" t="s">
        <v>61</v>
      </c>
      <c r="C354" s="12">
        <v>70</v>
      </c>
      <c r="D354" s="12">
        <v>92</v>
      </c>
      <c r="E354"/>
      <c r="F354"/>
      <c r="G354"/>
      <c r="L354" s="28"/>
    </row>
    <row r="355" spans="1:12" ht="15.75" customHeight="1" x14ac:dyDescent="0.2">
      <c r="A355"/>
      <c r="B355" s="12" t="s">
        <v>62</v>
      </c>
      <c r="C355" s="12">
        <v>91</v>
      </c>
      <c r="D355" s="12">
        <v>71</v>
      </c>
      <c r="E355"/>
      <c r="F355"/>
      <c r="G355" s="20"/>
      <c r="L355" s="28"/>
    </row>
    <row r="356" spans="1:12" ht="15.75" customHeight="1" x14ac:dyDescent="0.2">
      <c r="A356"/>
      <c r="B356" s="12" t="s">
        <v>63</v>
      </c>
      <c r="C356" s="12">
        <v>75</v>
      </c>
      <c r="D356" s="12">
        <v>87</v>
      </c>
      <c r="E356"/>
      <c r="F356"/>
      <c r="G356" s="20"/>
      <c r="L356" s="28"/>
    </row>
    <row r="357" spans="1:12" ht="15.75" customHeight="1" x14ac:dyDescent="0.2">
      <c r="A357"/>
      <c r="B357" s="12" t="s">
        <v>64</v>
      </c>
      <c r="C357" s="12">
        <v>66</v>
      </c>
      <c r="D357" s="12">
        <v>96</v>
      </c>
      <c r="E357"/>
      <c r="F357"/>
      <c r="G357" s="20"/>
      <c r="L357" s="28"/>
    </row>
    <row r="358" spans="1:12" ht="15.75" customHeight="1" x14ac:dyDescent="0.2">
      <c r="A358"/>
      <c r="B358" s="12" t="s">
        <v>65</v>
      </c>
      <c r="C358" s="12">
        <v>75</v>
      </c>
      <c r="D358" s="12">
        <v>87</v>
      </c>
      <c r="E358"/>
      <c r="F358"/>
      <c r="G358" s="20"/>
      <c r="L358" s="28"/>
    </row>
    <row r="359" spans="1:12" ht="15.75" customHeight="1" x14ac:dyDescent="0.2">
      <c r="A359"/>
      <c r="B359" s="12" t="s">
        <v>66</v>
      </c>
      <c r="C359" s="12">
        <v>71</v>
      </c>
      <c r="D359" s="12">
        <v>91</v>
      </c>
      <c r="E359"/>
      <c r="F359"/>
      <c r="G359" s="20"/>
      <c r="L359" s="28"/>
    </row>
    <row r="360" spans="1:12" ht="15.75" customHeight="1" x14ac:dyDescent="0.2">
      <c r="A360"/>
      <c r="B360" s="12" t="s">
        <v>67</v>
      </c>
      <c r="C360" s="12">
        <v>64</v>
      </c>
      <c r="D360" s="12">
        <v>98</v>
      </c>
      <c r="E360"/>
      <c r="F360"/>
      <c r="G360" s="20"/>
      <c r="L360" s="28"/>
    </row>
    <row r="361" spans="1:12" ht="15.75" customHeight="1" x14ac:dyDescent="0.2">
      <c r="A361"/>
      <c r="B361" s="12" t="s">
        <v>68</v>
      </c>
      <c r="C361" s="12">
        <v>78</v>
      </c>
      <c r="D361" s="12">
        <v>84</v>
      </c>
      <c r="E361"/>
      <c r="F361"/>
      <c r="G361" s="20"/>
      <c r="L361" s="28"/>
    </row>
    <row r="362" spans="1:12" ht="15.75" customHeight="1" x14ac:dyDescent="0.2">
      <c r="A362"/>
      <c r="B362" s="12" t="s">
        <v>69</v>
      </c>
      <c r="C362" s="12">
        <v>83</v>
      </c>
      <c r="D362" s="12">
        <v>79</v>
      </c>
      <c r="E362"/>
      <c r="F362"/>
      <c r="G362" s="20"/>
      <c r="L362" s="28"/>
    </row>
    <row r="363" spans="1:12" ht="15.75" customHeight="1" x14ac:dyDescent="0.2">
      <c r="A363"/>
      <c r="B363" s="12" t="s">
        <v>70</v>
      </c>
      <c r="C363" s="12">
        <v>80</v>
      </c>
      <c r="D363" s="12">
        <v>82</v>
      </c>
      <c r="E363"/>
      <c r="F363"/>
      <c r="G363" s="20"/>
      <c r="L363" s="28"/>
    </row>
    <row r="364" spans="1:12" ht="15.75" customHeight="1" x14ac:dyDescent="0.2">
      <c r="A364"/>
      <c r="B364" s="12" t="s">
        <v>71</v>
      </c>
      <c r="C364" s="12">
        <v>78</v>
      </c>
      <c r="D364" s="12">
        <v>84</v>
      </c>
      <c r="E364"/>
      <c r="F364"/>
      <c r="G364" s="20"/>
      <c r="L364" s="28"/>
    </row>
    <row r="365" spans="1:12" ht="15.75" customHeight="1" x14ac:dyDescent="0.2">
      <c r="A365"/>
      <c r="B365" s="12" t="s">
        <v>72</v>
      </c>
      <c r="C365" s="12">
        <v>76</v>
      </c>
      <c r="D365" s="12">
        <v>86</v>
      </c>
      <c r="E365"/>
      <c r="F365"/>
      <c r="G365" s="20"/>
      <c r="L365" s="28"/>
    </row>
    <row r="366" spans="1:12" ht="15.75" customHeight="1" x14ac:dyDescent="0.2">
      <c r="A366"/>
      <c r="B366" s="12" t="s">
        <v>73</v>
      </c>
      <c r="C366" s="12">
        <v>97</v>
      </c>
      <c r="D366" s="12">
        <v>65</v>
      </c>
      <c r="E366"/>
      <c r="F366"/>
      <c r="G366" s="20"/>
      <c r="L366" s="28"/>
    </row>
    <row r="367" spans="1:12" ht="15.75" customHeight="1" x14ac:dyDescent="0.2">
      <c r="A367"/>
      <c r="B367"/>
      <c r="C367"/>
      <c r="D367"/>
      <c r="E367"/>
      <c r="F367"/>
      <c r="G367" s="20"/>
      <c r="L367" s="28"/>
    </row>
    <row r="368" spans="1:12" ht="15.75" customHeight="1" x14ac:dyDescent="0.2">
      <c r="A368"/>
      <c r="B368"/>
      <c r="C368"/>
      <c r="D368"/>
      <c r="E368"/>
      <c r="F368"/>
      <c r="G368" s="20"/>
      <c r="L368" s="28"/>
    </row>
    <row r="369" spans="1:12" ht="15.75" customHeight="1" x14ac:dyDescent="0.2">
      <c r="A369"/>
      <c r="B369"/>
      <c r="C369"/>
      <c r="D369"/>
      <c r="E369"/>
      <c r="F369"/>
      <c r="G369"/>
      <c r="L369" s="28"/>
    </row>
    <row r="370" spans="1:12" ht="15.75" customHeight="1" x14ac:dyDescent="0.2">
      <c r="A370"/>
      <c r="B370"/>
      <c r="C370"/>
      <c r="D370"/>
      <c r="E370"/>
      <c r="F370"/>
      <c r="G370"/>
      <c r="L370" s="28"/>
    </row>
    <row r="371" spans="1:12" ht="15.75" customHeight="1" x14ac:dyDescent="0.2">
      <c r="A371" s="1" t="s">
        <v>27</v>
      </c>
      <c r="B371"/>
      <c r="C371"/>
      <c r="D371"/>
      <c r="E371"/>
      <c r="F371"/>
      <c r="G371"/>
      <c r="L371" s="28"/>
    </row>
    <row r="372" spans="1:12" ht="15.75" customHeight="1" x14ac:dyDescent="0.2">
      <c r="A372" s="57">
        <v>68</v>
      </c>
      <c r="B372"/>
      <c r="C372"/>
      <c r="D372"/>
      <c r="E372"/>
      <c r="F372"/>
      <c r="G372"/>
      <c r="L372" s="28"/>
    </row>
    <row r="373" spans="1:12" ht="15.75" customHeight="1" x14ac:dyDescent="0.2">
      <c r="A373" s="57">
        <v>50</v>
      </c>
      <c r="B373"/>
      <c r="C373"/>
      <c r="D373"/>
      <c r="E373"/>
      <c r="F373"/>
      <c r="G373"/>
      <c r="L373" s="28"/>
    </row>
    <row r="374" spans="1:12" ht="15.75" customHeight="1" x14ac:dyDescent="0.2">
      <c r="A374" s="57">
        <v>13</v>
      </c>
      <c r="B374"/>
      <c r="C374"/>
      <c r="D374"/>
      <c r="E374"/>
      <c r="F374"/>
      <c r="G374"/>
      <c r="L374" s="28"/>
    </row>
    <row r="375" spans="1:12" ht="15.75" customHeight="1" x14ac:dyDescent="0.2">
      <c r="A375" s="57">
        <v>61</v>
      </c>
      <c r="B375"/>
      <c r="C375"/>
      <c r="D375"/>
      <c r="E375"/>
      <c r="F375"/>
      <c r="G375"/>
      <c r="L375" s="28"/>
    </row>
    <row r="376" spans="1:12" ht="15.75" customHeight="1" x14ac:dyDescent="0.2">
      <c r="A376" s="57">
        <v>80</v>
      </c>
      <c r="B376"/>
      <c r="C376"/>
      <c r="D376"/>
      <c r="E376"/>
      <c r="F376"/>
      <c r="G376"/>
      <c r="L376" s="28"/>
    </row>
    <row r="377" spans="1:12" ht="15.75" customHeight="1" x14ac:dyDescent="0.2">
      <c r="A377" s="57">
        <v>39</v>
      </c>
      <c r="B377"/>
      <c r="C377"/>
      <c r="D377"/>
      <c r="E377"/>
      <c r="F377"/>
      <c r="G377"/>
      <c r="L377" s="28"/>
    </row>
    <row r="378" spans="1:12" ht="15.75" customHeight="1" x14ac:dyDescent="0.2">
      <c r="A378" s="57">
        <v>41</v>
      </c>
      <c r="B378"/>
      <c r="C378"/>
      <c r="D378"/>
      <c r="E378"/>
      <c r="F378"/>
      <c r="G378"/>
      <c r="L378" s="28"/>
    </row>
    <row r="379" spans="1:12" ht="15.75" customHeight="1" x14ac:dyDescent="0.2">
      <c r="A379" s="57">
        <v>30</v>
      </c>
      <c r="B379"/>
      <c r="C379"/>
      <c r="D379"/>
      <c r="E379"/>
      <c r="F379"/>
      <c r="G379"/>
      <c r="L379" s="28"/>
    </row>
    <row r="380" spans="1:12" ht="15.75" customHeight="1" x14ac:dyDescent="0.2">
      <c r="A380" s="57">
        <v>88</v>
      </c>
      <c r="B380"/>
      <c r="C380"/>
      <c r="D380"/>
      <c r="E380"/>
      <c r="F380"/>
      <c r="G380"/>
      <c r="L380" s="28"/>
    </row>
    <row r="381" spans="1:12" ht="15.75" customHeight="1" x14ac:dyDescent="0.2">
      <c r="A381" s="57">
        <v>88</v>
      </c>
      <c r="B381"/>
      <c r="C381"/>
      <c r="D381"/>
      <c r="E381"/>
      <c r="F381"/>
      <c r="G381"/>
      <c r="L381" s="28"/>
    </row>
    <row r="382" spans="1:12" ht="15.75" customHeight="1" x14ac:dyDescent="0.2">
      <c r="A382" s="57">
        <v>36</v>
      </c>
      <c r="B382"/>
      <c r="C382"/>
      <c r="D382"/>
      <c r="E382"/>
      <c r="F382"/>
      <c r="G382"/>
      <c r="L382" s="28"/>
    </row>
    <row r="383" spans="1:12" ht="15.75" customHeight="1" x14ac:dyDescent="0.2">
      <c r="A383" s="57">
        <v>15</v>
      </c>
      <c r="B383" s="2">
        <f>_xlfn.QUARTILE.EXC(A372:A391, 1)</f>
        <v>15</v>
      </c>
      <c r="C383" s="2">
        <f>_xlfn.QUARTILE.EXC(A372:A391, 2)</f>
        <v>36</v>
      </c>
      <c r="D383" s="8">
        <f>_xlfn.QUARTILE.EXC(A372:A391, 3)</f>
        <v>66.25</v>
      </c>
      <c r="E383"/>
      <c r="F383"/>
      <c r="G383"/>
      <c r="L383" s="28"/>
    </row>
    <row r="384" spans="1:12" ht="15.75" customHeight="1" x14ac:dyDescent="0.2">
      <c r="A384" s="57">
        <v>11</v>
      </c>
      <c r="B384"/>
      <c r="C384"/>
      <c r="D384"/>
      <c r="E384"/>
      <c r="F384"/>
      <c r="G384"/>
      <c r="L384" s="28"/>
    </row>
    <row r="385" spans="1:12" ht="15.75" customHeight="1" x14ac:dyDescent="0.2">
      <c r="A385" s="57">
        <v>14</v>
      </c>
      <c r="B385"/>
      <c r="C385" s="8">
        <f>D383-B383</f>
        <v>51.25</v>
      </c>
      <c r="D385"/>
      <c r="E385"/>
      <c r="F385"/>
      <c r="G385"/>
      <c r="L385" s="28"/>
    </row>
    <row r="386" spans="1:12" ht="15.75" customHeight="1" x14ac:dyDescent="0.2">
      <c r="A386" s="57">
        <v>36</v>
      </c>
      <c r="B386"/>
      <c r="C386"/>
      <c r="D386"/>
      <c r="E386"/>
      <c r="F386"/>
      <c r="G386"/>
      <c r="L386" s="28"/>
    </row>
    <row r="387" spans="1:12" ht="15.75" customHeight="1" x14ac:dyDescent="0.2">
      <c r="A387" s="57">
        <v>20</v>
      </c>
      <c r="B387"/>
      <c r="C387"/>
      <c r="D387"/>
      <c r="E387"/>
      <c r="F387"/>
      <c r="G387"/>
      <c r="L387" s="28"/>
    </row>
    <row r="388" spans="1:12" ht="15.75" customHeight="1" x14ac:dyDescent="0.2">
      <c r="A388" s="57">
        <v>8</v>
      </c>
      <c r="B388"/>
      <c r="C388"/>
      <c r="D388"/>
      <c r="E388"/>
      <c r="F388"/>
      <c r="G388"/>
      <c r="L388" s="28"/>
    </row>
    <row r="389" spans="1:12" ht="15.75" customHeight="1" x14ac:dyDescent="0.2">
      <c r="A389" s="57">
        <v>71</v>
      </c>
      <c r="B389"/>
      <c r="C389"/>
      <c r="D389"/>
      <c r="E389"/>
      <c r="F389"/>
      <c r="G389"/>
      <c r="L389" s="28"/>
    </row>
    <row r="390" spans="1:12" ht="15.75" customHeight="1" x14ac:dyDescent="0.2">
      <c r="A390" s="57">
        <v>15</v>
      </c>
      <c r="B390"/>
      <c r="C390"/>
      <c r="D390"/>
      <c r="E390"/>
      <c r="F390"/>
      <c r="G390"/>
      <c r="L390" s="28"/>
    </row>
    <row r="391" spans="1:12" ht="15.75" customHeight="1" x14ac:dyDescent="0.2">
      <c r="A391" s="57">
        <v>32</v>
      </c>
      <c r="B391"/>
      <c r="C391"/>
      <c r="D391"/>
      <c r="E391"/>
      <c r="F391"/>
      <c r="G391"/>
      <c r="L391" s="28"/>
    </row>
    <row r="392" spans="1:12" ht="15.75" customHeight="1" x14ac:dyDescent="0.2">
      <c r="A392"/>
      <c r="B392"/>
      <c r="C392"/>
      <c r="D392"/>
      <c r="E392"/>
      <c r="F392"/>
      <c r="G392"/>
      <c r="L392" s="28"/>
    </row>
    <row r="393" spans="1:12" ht="15.75" customHeight="1" x14ac:dyDescent="0.2">
      <c r="A393" s="1" t="s">
        <v>27</v>
      </c>
      <c r="B393"/>
      <c r="C393"/>
      <c r="D393"/>
      <c r="E393"/>
      <c r="F393"/>
      <c r="G393"/>
      <c r="L393" s="28"/>
    </row>
    <row r="394" spans="1:12" ht="15.75" customHeight="1" x14ac:dyDescent="0.2">
      <c r="A394" s="57">
        <v>267</v>
      </c>
      <c r="B394"/>
      <c r="C394"/>
      <c r="D394"/>
      <c r="E394"/>
      <c r="F394"/>
      <c r="G394"/>
      <c r="L394" s="28"/>
    </row>
    <row r="395" spans="1:12" ht="15.75" customHeight="1" x14ac:dyDescent="0.2">
      <c r="A395" s="57">
        <v>261</v>
      </c>
      <c r="B395"/>
      <c r="C395"/>
      <c r="D395"/>
      <c r="E395"/>
      <c r="F395"/>
      <c r="G395"/>
      <c r="L395" s="28"/>
    </row>
    <row r="396" spans="1:12" ht="15.75" customHeight="1" x14ac:dyDescent="0.2">
      <c r="A396" s="57">
        <v>255</v>
      </c>
      <c r="B396"/>
      <c r="C396"/>
      <c r="D396"/>
      <c r="E396"/>
      <c r="F396"/>
      <c r="G396"/>
      <c r="L396" s="28"/>
    </row>
    <row r="397" spans="1:12" ht="15.75" customHeight="1" x14ac:dyDescent="0.2">
      <c r="A397" s="57">
        <v>249</v>
      </c>
      <c r="B397"/>
      <c r="C397"/>
      <c r="D397"/>
      <c r="E397"/>
      <c r="F397"/>
      <c r="G397"/>
      <c r="L397" s="28"/>
    </row>
    <row r="398" spans="1:12" ht="15.75" customHeight="1" x14ac:dyDescent="0.2">
      <c r="A398" s="57">
        <v>241</v>
      </c>
      <c r="B398"/>
      <c r="C398"/>
      <c r="D398"/>
      <c r="E398"/>
      <c r="F398"/>
      <c r="G398"/>
      <c r="L398" s="28"/>
    </row>
    <row r="399" spans="1:12" ht="15.75" customHeight="1" x14ac:dyDescent="0.2">
      <c r="A399" s="57">
        <v>234</v>
      </c>
      <c r="B399"/>
      <c r="C399"/>
      <c r="D399"/>
      <c r="E399"/>
      <c r="F399"/>
      <c r="G399"/>
      <c r="L399" s="28"/>
    </row>
    <row r="400" spans="1:12" ht="15.75" customHeight="1" x14ac:dyDescent="0.2">
      <c r="A400" s="57">
        <v>228</v>
      </c>
      <c r="B400"/>
      <c r="C400"/>
      <c r="D400"/>
      <c r="E400"/>
      <c r="F400"/>
      <c r="G400"/>
      <c r="L400" s="28"/>
    </row>
    <row r="401" spans="1:12" ht="15.75" customHeight="1" x14ac:dyDescent="0.2">
      <c r="A401" s="57">
        <v>223</v>
      </c>
      <c r="B401"/>
      <c r="C401"/>
      <c r="D401"/>
      <c r="E401"/>
      <c r="F401"/>
      <c r="G401"/>
      <c r="L401" s="28"/>
    </row>
    <row r="402" spans="1:12" ht="15.75" customHeight="1" x14ac:dyDescent="0.2">
      <c r="A402" s="57">
        <v>215</v>
      </c>
      <c r="B402"/>
      <c r="C402"/>
      <c r="D402"/>
      <c r="E402"/>
      <c r="F402"/>
      <c r="G402"/>
      <c r="L402" s="28"/>
    </row>
    <row r="403" spans="1:12" ht="15.75" customHeight="1" x14ac:dyDescent="0.2">
      <c r="A403" s="57">
        <v>208</v>
      </c>
      <c r="B403"/>
      <c r="C403"/>
      <c r="D403"/>
      <c r="E403"/>
      <c r="F403"/>
      <c r="G403"/>
      <c r="L403" s="28"/>
    </row>
    <row r="404" spans="1:12" ht="15.75" customHeight="1" x14ac:dyDescent="0.2">
      <c r="A404" s="57">
        <v>202</v>
      </c>
      <c r="B404"/>
      <c r="C404"/>
      <c r="D404"/>
      <c r="E404"/>
      <c r="F404"/>
      <c r="G404"/>
      <c r="L404" s="28"/>
    </row>
    <row r="405" spans="1:12" ht="15.75" customHeight="1" x14ac:dyDescent="0.2">
      <c r="A405" s="57">
        <v>196</v>
      </c>
      <c r="B405"/>
      <c r="C405"/>
      <c r="D405"/>
      <c r="E405"/>
      <c r="F405"/>
      <c r="G405"/>
      <c r="L405" s="28"/>
    </row>
    <row r="406" spans="1:12" ht="15.75" customHeight="1" x14ac:dyDescent="0.2">
      <c r="A406" s="57">
        <v>191</v>
      </c>
      <c r="B406" s="142">
        <f>MIN(A394:A408)</f>
        <v>179</v>
      </c>
      <c r="C406" s="142">
        <f>_xlfn.QUARTILE.EXC(A394:A408, 1)</f>
        <v>196</v>
      </c>
      <c r="D406" s="142">
        <f>_xlfn.QUARTILE.EXC(A394:A408, 2)</f>
        <v>223</v>
      </c>
      <c r="E406" s="142">
        <f>_xlfn.QUARTILE.EXC(A394:A408, 3)</f>
        <v>249</v>
      </c>
      <c r="F406" s="142">
        <f>MAX(A394:A408)</f>
        <v>267</v>
      </c>
      <c r="G406"/>
      <c r="L406" s="28"/>
    </row>
    <row r="407" spans="1:12" ht="15.75" customHeight="1" x14ac:dyDescent="0.2">
      <c r="A407" s="57">
        <v>185</v>
      </c>
      <c r="B407"/>
      <c r="C407"/>
      <c r="D407" s="5"/>
      <c r="E407"/>
      <c r="F407"/>
      <c r="G407"/>
      <c r="L407" s="28"/>
    </row>
    <row r="408" spans="1:12" ht="15.75" customHeight="1" x14ac:dyDescent="0.2">
      <c r="A408" s="57">
        <v>179</v>
      </c>
      <c r="B408"/>
      <c r="C408"/>
      <c r="D408"/>
      <c r="E408"/>
      <c r="F408"/>
      <c r="G408"/>
      <c r="L408" s="28"/>
    </row>
    <row r="409" spans="1:12" ht="15.75" customHeight="1" x14ac:dyDescent="0.2">
      <c r="A409"/>
      <c r="B409"/>
      <c r="C409"/>
      <c r="D409"/>
      <c r="E409"/>
      <c r="F409"/>
      <c r="G409"/>
      <c r="L409" s="28"/>
    </row>
    <row r="410" spans="1:12" ht="15.75" customHeight="1" x14ac:dyDescent="0.2">
      <c r="A410"/>
      <c r="B410"/>
      <c r="C410"/>
      <c r="D410"/>
      <c r="E410"/>
      <c r="F410"/>
      <c r="G410"/>
      <c r="L410" s="28"/>
    </row>
    <row r="411" spans="1:12" ht="15.75" customHeight="1" x14ac:dyDescent="0.2">
      <c r="A411"/>
      <c r="B411"/>
      <c r="C411"/>
      <c r="D411"/>
      <c r="E411"/>
      <c r="F411"/>
      <c r="G411"/>
      <c r="L411" s="28"/>
    </row>
    <row r="412" spans="1:12" ht="15.75" customHeight="1" x14ac:dyDescent="0.2">
      <c r="A412"/>
      <c r="B412"/>
      <c r="C412"/>
      <c r="D412"/>
      <c r="E412"/>
      <c r="F412"/>
      <c r="G412"/>
      <c r="L412" s="28"/>
    </row>
    <row r="413" spans="1:12" ht="15.75" customHeight="1" x14ac:dyDescent="0.2">
      <c r="A413" s="55" t="s">
        <v>27</v>
      </c>
      <c r="B413" s="14" t="s">
        <v>79</v>
      </c>
      <c r="C413" s="13">
        <f>COUNT(A414:A430)</f>
        <v>17</v>
      </c>
      <c r="E413"/>
      <c r="F413"/>
      <c r="G413"/>
      <c r="L413" s="28"/>
    </row>
    <row r="414" spans="1:12" ht="15.75" customHeight="1" x14ac:dyDescent="0.2">
      <c r="A414" s="56">
        <v>87</v>
      </c>
      <c r="B414" s="14" t="s">
        <v>35</v>
      </c>
      <c r="C414" s="15">
        <f>AVERAGE(A414:A430)</f>
        <v>70.352941176470594</v>
      </c>
      <c r="E414"/>
      <c r="F414"/>
      <c r="G414"/>
      <c r="L414" s="28"/>
    </row>
    <row r="415" spans="1:12" ht="15.75" customHeight="1" x14ac:dyDescent="0.2">
      <c r="A415" s="56">
        <v>72</v>
      </c>
      <c r="B415" s="14" t="s">
        <v>91</v>
      </c>
      <c r="C415" s="13">
        <f>MEDIAN(A414:A430)</f>
        <v>72</v>
      </c>
      <c r="E415"/>
      <c r="F415"/>
      <c r="G415"/>
      <c r="L415" s="28"/>
    </row>
    <row r="416" spans="1:12" ht="15.75" customHeight="1" x14ac:dyDescent="0.2">
      <c r="A416" s="56">
        <v>67</v>
      </c>
      <c r="B416" s="14" t="s">
        <v>106</v>
      </c>
      <c r="C416" s="13">
        <f>_xlfn.MODE.SNGL(A414:A430)</f>
        <v>72</v>
      </c>
      <c r="E416"/>
      <c r="F416"/>
      <c r="G416"/>
      <c r="L416" s="28"/>
    </row>
    <row r="417" spans="1:12" ht="15.75" customHeight="1" x14ac:dyDescent="0.2">
      <c r="A417" s="56">
        <v>88</v>
      </c>
      <c r="B417" s="14" t="s">
        <v>34</v>
      </c>
      <c r="C417" s="15">
        <f>_xlfn.STDEV.P(A414:A430)</f>
        <v>30.056693834995517</v>
      </c>
      <c r="E417"/>
      <c r="F417"/>
      <c r="G417"/>
      <c r="L417" s="28"/>
    </row>
    <row r="418" spans="1:12" ht="15.75" customHeight="1" x14ac:dyDescent="0.2">
      <c r="A418" s="56">
        <v>56</v>
      </c>
      <c r="B418" s="14" t="s">
        <v>130</v>
      </c>
      <c r="C418" s="15">
        <f>_xlfn.VAR.P(A414:A430)</f>
        <v>903.40484429065748</v>
      </c>
      <c r="E418"/>
      <c r="F418"/>
      <c r="G418"/>
      <c r="L418" s="28"/>
    </row>
    <row r="419" spans="1:12" ht="15.75" customHeight="1" x14ac:dyDescent="0.2">
      <c r="A419" s="56">
        <v>51</v>
      </c>
      <c r="B419" s="14" t="s">
        <v>31</v>
      </c>
      <c r="C419" s="13">
        <f>MAX(A414:A430) - MIN(A414:A430)</f>
        <v>147</v>
      </c>
      <c r="E419"/>
      <c r="F419"/>
      <c r="G419"/>
      <c r="L419" s="28"/>
    </row>
    <row r="420" spans="1:12" ht="15.75" customHeight="1" x14ac:dyDescent="0.2">
      <c r="A420" s="56">
        <v>64</v>
      </c>
      <c r="E420"/>
      <c r="F420"/>
      <c r="G420"/>
      <c r="L420" s="28"/>
    </row>
    <row r="421" spans="1:12" ht="15.75" customHeight="1" x14ac:dyDescent="0.2">
      <c r="A421" s="56">
        <v>43</v>
      </c>
      <c r="E421"/>
      <c r="F421"/>
      <c r="G421"/>
      <c r="L421" s="28"/>
    </row>
    <row r="422" spans="1:12" ht="15.75" customHeight="1" x14ac:dyDescent="0.2">
      <c r="A422" s="56">
        <v>12</v>
      </c>
      <c r="B422" s="19"/>
      <c r="C422" s="19"/>
      <c r="D422" s="19"/>
      <c r="E422"/>
      <c r="F422"/>
      <c r="G422"/>
      <c r="L422" s="28"/>
    </row>
    <row r="423" spans="1:12" ht="15.75" customHeight="1" x14ac:dyDescent="0.2">
      <c r="A423" s="56">
        <v>72</v>
      </c>
      <c r="B423" s="19"/>
      <c r="C423" s="19"/>
      <c r="D423" s="19"/>
      <c r="E423"/>
      <c r="F423"/>
      <c r="G423"/>
      <c r="L423" s="28"/>
    </row>
    <row r="424" spans="1:12" ht="15.75" customHeight="1" x14ac:dyDescent="0.2">
      <c r="A424" s="56">
        <v>95</v>
      </c>
      <c r="B424" s="19"/>
      <c r="C424" s="19"/>
      <c r="D424" s="19"/>
      <c r="E424"/>
      <c r="F424"/>
      <c r="G424"/>
      <c r="L424" s="28"/>
    </row>
    <row r="425" spans="1:12" ht="15.75" customHeight="1" x14ac:dyDescent="0.2">
      <c r="A425" s="56">
        <v>82</v>
      </c>
      <c r="B425" s="19"/>
      <c r="C425" s="19"/>
      <c r="D425" s="19"/>
      <c r="E425"/>
      <c r="F425"/>
      <c r="G425" s="1"/>
      <c r="L425" s="28"/>
    </row>
    <row r="426" spans="1:12" ht="15.75" customHeight="1" x14ac:dyDescent="0.2">
      <c r="A426" s="56">
        <v>44</v>
      </c>
      <c r="B426" s="19"/>
      <c r="C426" s="19"/>
      <c r="D426" s="19"/>
      <c r="E426"/>
      <c r="F426"/>
      <c r="G426" s="2"/>
      <c r="L426" s="28"/>
    </row>
    <row r="427" spans="1:12" ht="15.75" customHeight="1" x14ac:dyDescent="0.2">
      <c r="A427" s="56">
        <v>159</v>
      </c>
      <c r="B427" s="19"/>
      <c r="C427" s="19"/>
      <c r="D427" s="19"/>
      <c r="E427"/>
      <c r="F427"/>
      <c r="G427" s="2"/>
      <c r="L427" s="28"/>
    </row>
    <row r="428" spans="1:12" ht="15.75" customHeight="1" x14ac:dyDescent="0.2">
      <c r="A428" s="56">
        <v>80</v>
      </c>
      <c r="B428" s="19"/>
      <c r="C428" s="19"/>
      <c r="D428" s="19"/>
      <c r="E428"/>
      <c r="F428"/>
      <c r="G428" s="2"/>
      <c r="L428" s="28"/>
    </row>
    <row r="429" spans="1:12" ht="15.75" customHeight="1" x14ac:dyDescent="0.2">
      <c r="A429" s="56">
        <v>47</v>
      </c>
      <c r="B429"/>
      <c r="C429"/>
      <c r="D429"/>
      <c r="E429"/>
      <c r="F429"/>
      <c r="G429" s="2"/>
      <c r="L429" s="28"/>
    </row>
    <row r="430" spans="1:12" ht="15.75" customHeight="1" x14ac:dyDescent="0.2">
      <c r="A430" s="56">
        <v>77</v>
      </c>
      <c r="B430"/>
      <c r="C430"/>
      <c r="D430"/>
      <c r="E430"/>
      <c r="F430"/>
      <c r="G430"/>
      <c r="L430" s="28"/>
    </row>
    <row r="431" spans="1:12" ht="15.75" customHeight="1" x14ac:dyDescent="0.2">
      <c r="A431"/>
      <c r="B431"/>
      <c r="C431"/>
      <c r="D431"/>
      <c r="E431"/>
      <c r="F431"/>
      <c r="G431"/>
      <c r="L431" s="28"/>
    </row>
    <row r="432" spans="1:12" ht="15.75" customHeight="1" x14ac:dyDescent="0.2">
      <c r="A432"/>
      <c r="B432"/>
      <c r="C432"/>
      <c r="D432"/>
      <c r="E432"/>
      <c r="F432"/>
      <c r="G432"/>
      <c r="L432" s="28"/>
    </row>
    <row r="433" spans="1:12" ht="15.75" customHeight="1" x14ac:dyDescent="0.2">
      <c r="A433"/>
      <c r="B433"/>
      <c r="C433"/>
      <c r="D433"/>
      <c r="E433"/>
      <c r="F433"/>
      <c r="G433"/>
      <c r="L433" s="28"/>
    </row>
    <row r="434" spans="1:12" ht="15.75" customHeight="1" x14ac:dyDescent="0.2">
      <c r="A434"/>
      <c r="B434"/>
      <c r="C434"/>
      <c r="D434"/>
      <c r="E434"/>
      <c r="F434"/>
      <c r="G434"/>
      <c r="L434" s="28"/>
    </row>
    <row r="435" spans="1:12" ht="15.75" customHeight="1" x14ac:dyDescent="0.2">
      <c r="L435" s="28"/>
    </row>
    <row r="436" spans="1:12" ht="15.75" customHeight="1" x14ac:dyDescent="0.2">
      <c r="L436" s="28"/>
    </row>
    <row r="437" spans="1:12" ht="15.75" customHeight="1" x14ac:dyDescent="0.2">
      <c r="L437" s="28"/>
    </row>
    <row r="438" spans="1:12" ht="15.75" customHeight="1" x14ac:dyDescent="0.2">
      <c r="L438" s="28"/>
    </row>
    <row r="439" spans="1:12" ht="15.75" customHeight="1" x14ac:dyDescent="0.2">
      <c r="L439" s="28"/>
    </row>
    <row r="440" spans="1:12" ht="15.75" customHeight="1" x14ac:dyDescent="0.2">
      <c r="L440" s="28"/>
    </row>
    <row r="441" spans="1:12" ht="15.75" customHeight="1" x14ac:dyDescent="0.2">
      <c r="L441" s="28"/>
    </row>
    <row r="442" spans="1:12" ht="15.75" customHeight="1" x14ac:dyDescent="0.2">
      <c r="L442" s="28"/>
    </row>
    <row r="443" spans="1:12" ht="15.75" customHeight="1" x14ac:dyDescent="0.2">
      <c r="L443" s="28"/>
    </row>
    <row r="444" spans="1:12" ht="15.75" customHeight="1" x14ac:dyDescent="0.2">
      <c r="L444" s="28"/>
    </row>
    <row r="445" spans="1:12" ht="15.75" customHeight="1" x14ac:dyDescent="0.2">
      <c r="L445" s="28"/>
    </row>
    <row r="446" spans="1:12" ht="15.75" customHeight="1" x14ac:dyDescent="0.2">
      <c r="L446" s="28"/>
    </row>
    <row r="447" spans="1:12" ht="15.75" customHeight="1" x14ac:dyDescent="0.2">
      <c r="L447" s="28"/>
    </row>
    <row r="448" spans="1:12" ht="15.75" customHeight="1" x14ac:dyDescent="0.2">
      <c r="L448" s="28"/>
    </row>
    <row r="449" spans="12:12" ht="15.75" customHeight="1" x14ac:dyDescent="0.2">
      <c r="L449" s="28"/>
    </row>
    <row r="450" spans="12:12" ht="15.75" customHeight="1" x14ac:dyDescent="0.2">
      <c r="L450" s="28"/>
    </row>
    <row r="451" spans="12:12" ht="15.75" customHeight="1" x14ac:dyDescent="0.2">
      <c r="L451" s="28"/>
    </row>
    <row r="452" spans="12:12" ht="15.75" customHeight="1" x14ac:dyDescent="0.2">
      <c r="L452" s="28"/>
    </row>
    <row r="453" spans="12:12" ht="15.75" customHeight="1" x14ac:dyDescent="0.2">
      <c r="L453" s="28"/>
    </row>
    <row r="454" spans="12:12" ht="15.75" customHeight="1" x14ac:dyDescent="0.2">
      <c r="L454" s="28"/>
    </row>
    <row r="455" spans="12:12" ht="15.75" customHeight="1" x14ac:dyDescent="0.2">
      <c r="L455" s="28"/>
    </row>
    <row r="456" spans="12:12" ht="15.75" customHeight="1" x14ac:dyDescent="0.2">
      <c r="L456" s="28"/>
    </row>
    <row r="457" spans="12:12" ht="15.75" customHeight="1" x14ac:dyDescent="0.2">
      <c r="L457" s="28"/>
    </row>
    <row r="458" spans="12:12" ht="15.75" customHeight="1" x14ac:dyDescent="0.2">
      <c r="L458" s="28"/>
    </row>
    <row r="459" spans="12:12" ht="15.75" customHeight="1" x14ac:dyDescent="0.2">
      <c r="L459" s="28"/>
    </row>
    <row r="460" spans="12:12" ht="15.75" customHeight="1" x14ac:dyDescent="0.2">
      <c r="L460" s="28"/>
    </row>
    <row r="461" spans="12:12" ht="15.75" customHeight="1" x14ac:dyDescent="0.2">
      <c r="L461" s="28"/>
    </row>
    <row r="462" spans="12:12" ht="15.75" customHeight="1" x14ac:dyDescent="0.2">
      <c r="L462" s="28"/>
    </row>
    <row r="463" spans="12:12" ht="15.75" customHeight="1" x14ac:dyDescent="0.2">
      <c r="L463" s="28"/>
    </row>
    <row r="464" spans="12:12" ht="15.75" customHeight="1" x14ac:dyDescent="0.2">
      <c r="L464" s="28"/>
    </row>
    <row r="465" spans="12:12" ht="15.75" customHeight="1" x14ac:dyDescent="0.2">
      <c r="L465" s="28"/>
    </row>
    <row r="466" spans="12:12" ht="15.75" customHeight="1" x14ac:dyDescent="0.2">
      <c r="L466" s="28"/>
    </row>
    <row r="467" spans="12:12" ht="15.75" customHeight="1" x14ac:dyDescent="0.2">
      <c r="L467" s="28"/>
    </row>
    <row r="468" spans="12:12" ht="15.75" customHeight="1" x14ac:dyDescent="0.2">
      <c r="L468" s="28"/>
    </row>
    <row r="469" spans="12:12" ht="15.75" customHeight="1" x14ac:dyDescent="0.2">
      <c r="L469" s="28"/>
    </row>
    <row r="470" spans="12:12" ht="15.75" customHeight="1" x14ac:dyDescent="0.2">
      <c r="L470" s="28"/>
    </row>
    <row r="471" spans="12:12" ht="15.75" customHeight="1" x14ac:dyDescent="0.2">
      <c r="L471" s="28"/>
    </row>
    <row r="472" spans="12:12" ht="15.75" customHeight="1" x14ac:dyDescent="0.2">
      <c r="L472" s="28"/>
    </row>
    <row r="473" spans="12:12" ht="15.75" customHeight="1" x14ac:dyDescent="0.2">
      <c r="L473" s="28"/>
    </row>
    <row r="474" spans="12:12" ht="15.75" customHeight="1" x14ac:dyDescent="0.2">
      <c r="L474" s="28"/>
    </row>
    <row r="475" spans="12:12" ht="15.75" customHeight="1" x14ac:dyDescent="0.2">
      <c r="L475" s="28"/>
    </row>
    <row r="476" spans="12:12" ht="15.75" customHeight="1" x14ac:dyDescent="0.2">
      <c r="L476" s="28"/>
    </row>
    <row r="477" spans="12:12" ht="15.75" customHeight="1" x14ac:dyDescent="0.2">
      <c r="L477" s="28"/>
    </row>
    <row r="478" spans="12:12" ht="15.75" customHeight="1" x14ac:dyDescent="0.2">
      <c r="L478" s="28"/>
    </row>
    <row r="479" spans="12:12" ht="15.75" customHeight="1" x14ac:dyDescent="0.2">
      <c r="L479" s="28"/>
    </row>
    <row r="480" spans="12:12" ht="15.75" customHeight="1" x14ac:dyDescent="0.2">
      <c r="L480" s="28"/>
    </row>
    <row r="481" spans="12:12" ht="15.75" customHeight="1" x14ac:dyDescent="0.2">
      <c r="L481" s="28"/>
    </row>
    <row r="482" spans="12:12" ht="15.75" customHeight="1" x14ac:dyDescent="0.2">
      <c r="L482" s="28"/>
    </row>
    <row r="483" spans="12:12" ht="15.75" customHeight="1" x14ac:dyDescent="0.2">
      <c r="L483" s="28"/>
    </row>
    <row r="484" spans="12:12" ht="15.75" customHeight="1" x14ac:dyDescent="0.2">
      <c r="L484" s="28"/>
    </row>
    <row r="485" spans="12:12" ht="15.75" customHeight="1" x14ac:dyDescent="0.2">
      <c r="L485" s="28"/>
    </row>
    <row r="486" spans="12:12" ht="15.75" customHeight="1" x14ac:dyDescent="0.2">
      <c r="L486" s="28"/>
    </row>
    <row r="487" spans="12:12" ht="15.75" customHeight="1" x14ac:dyDescent="0.2">
      <c r="L487" s="28"/>
    </row>
    <row r="488" spans="12:12" ht="15.75" customHeight="1" x14ac:dyDescent="0.2">
      <c r="L488" s="28"/>
    </row>
    <row r="489" spans="12:12" ht="15.75" customHeight="1" x14ac:dyDescent="0.2">
      <c r="L489" s="28"/>
    </row>
    <row r="490" spans="12:12" ht="15.75" customHeight="1" x14ac:dyDescent="0.2">
      <c r="L490" s="28"/>
    </row>
    <row r="491" spans="12:12" ht="15.75" customHeight="1" x14ac:dyDescent="0.2">
      <c r="L491" s="28"/>
    </row>
    <row r="492" spans="12:12" ht="15.75" customHeight="1" x14ac:dyDescent="0.2">
      <c r="L492" s="28"/>
    </row>
    <row r="493" spans="12:12" ht="15.75" customHeight="1" x14ac:dyDescent="0.2">
      <c r="L493" s="28"/>
    </row>
    <row r="494" spans="12:12" ht="15.75" customHeight="1" x14ac:dyDescent="0.2">
      <c r="L494" s="28"/>
    </row>
    <row r="495" spans="12:12" ht="15.75" customHeight="1" x14ac:dyDescent="0.2">
      <c r="L495" s="28"/>
    </row>
    <row r="496" spans="12:12" ht="15.75" customHeight="1" x14ac:dyDescent="0.2">
      <c r="L496" s="28"/>
    </row>
    <row r="497" spans="12:12" ht="15.75" customHeight="1" x14ac:dyDescent="0.2">
      <c r="L497" s="28"/>
    </row>
    <row r="498" spans="12:12" ht="15.75" customHeight="1" x14ac:dyDescent="0.2">
      <c r="L498" s="28"/>
    </row>
    <row r="499" spans="12:12" ht="15.75" customHeight="1" x14ac:dyDescent="0.2">
      <c r="L499" s="28"/>
    </row>
    <row r="500" spans="12:12" ht="15.75" customHeight="1" x14ac:dyDescent="0.2">
      <c r="L500" s="28"/>
    </row>
    <row r="501" spans="12:12" ht="15.75" customHeight="1" x14ac:dyDescent="0.2">
      <c r="L501" s="28"/>
    </row>
    <row r="502" spans="12:12" ht="15.75" customHeight="1" x14ac:dyDescent="0.2">
      <c r="L502" s="28"/>
    </row>
    <row r="503" spans="12:12" ht="15.75" customHeight="1" x14ac:dyDescent="0.2">
      <c r="L503" s="28"/>
    </row>
    <row r="504" spans="12:12" ht="15.75" customHeight="1" x14ac:dyDescent="0.2">
      <c r="L504" s="28"/>
    </row>
    <row r="505" spans="12:12" ht="15.75" customHeight="1" x14ac:dyDescent="0.2">
      <c r="L505" s="28"/>
    </row>
    <row r="506" spans="12:12" ht="15.75" customHeight="1" x14ac:dyDescent="0.2">
      <c r="L506" s="28"/>
    </row>
    <row r="507" spans="12:12" ht="15.75" customHeight="1" x14ac:dyDescent="0.2">
      <c r="L507" s="28"/>
    </row>
    <row r="508" spans="12:12" ht="15.75" customHeight="1" x14ac:dyDescent="0.2">
      <c r="L508" s="28"/>
    </row>
    <row r="509" spans="12:12" ht="15.75" customHeight="1" x14ac:dyDescent="0.2">
      <c r="L509" s="28"/>
    </row>
    <row r="510" spans="12:12" ht="15.75" customHeight="1" x14ac:dyDescent="0.2">
      <c r="L510" s="28"/>
    </row>
    <row r="511" spans="12:12" ht="15.75" customHeight="1" x14ac:dyDescent="0.2">
      <c r="L511" s="28"/>
    </row>
    <row r="512" spans="12:12" ht="15.75" customHeight="1" x14ac:dyDescent="0.2">
      <c r="L512" s="28"/>
    </row>
    <row r="513" spans="12:12" ht="15.75" customHeight="1" x14ac:dyDescent="0.2">
      <c r="L513" s="28"/>
    </row>
    <row r="514" spans="12:12" ht="15.75" customHeight="1" x14ac:dyDescent="0.2">
      <c r="L514" s="28"/>
    </row>
    <row r="515" spans="12:12" ht="15.75" customHeight="1" x14ac:dyDescent="0.2">
      <c r="L515" s="28"/>
    </row>
    <row r="516" spans="12:12" ht="15.75" customHeight="1" x14ac:dyDescent="0.2">
      <c r="L516" s="28"/>
    </row>
    <row r="517" spans="12:12" ht="15.75" customHeight="1" x14ac:dyDescent="0.2">
      <c r="L517" s="28"/>
    </row>
    <row r="518" spans="12:12" ht="15.75" customHeight="1" x14ac:dyDescent="0.2">
      <c r="L518" s="28"/>
    </row>
    <row r="519" spans="12:12" ht="15.75" customHeight="1" x14ac:dyDescent="0.2">
      <c r="L519" s="28"/>
    </row>
    <row r="520" spans="12:12" ht="15.75" customHeight="1" x14ac:dyDescent="0.2">
      <c r="L520" s="28"/>
    </row>
    <row r="521" spans="12:12" ht="15.75" customHeight="1" x14ac:dyDescent="0.2">
      <c r="L521" s="28"/>
    </row>
    <row r="522" spans="12:12" ht="15.75" customHeight="1" x14ac:dyDescent="0.2">
      <c r="L522" s="28"/>
    </row>
    <row r="523" spans="12:12" ht="15.75" customHeight="1" x14ac:dyDescent="0.2">
      <c r="L523" s="28"/>
    </row>
    <row r="524" spans="12:12" ht="15.75" customHeight="1" x14ac:dyDescent="0.2">
      <c r="L524" s="28"/>
    </row>
    <row r="525" spans="12:12" ht="15.75" customHeight="1" x14ac:dyDescent="0.2">
      <c r="L525" s="28"/>
    </row>
    <row r="526" spans="12:12" ht="15.75" customHeight="1" x14ac:dyDescent="0.2">
      <c r="L526" s="28"/>
    </row>
    <row r="527" spans="12:12" ht="15.75" customHeight="1" x14ac:dyDescent="0.2">
      <c r="L527" s="28"/>
    </row>
    <row r="528" spans="12:12" ht="15.75" customHeight="1" x14ac:dyDescent="0.2">
      <c r="L528" s="28"/>
    </row>
    <row r="529" spans="12:12" ht="15.75" customHeight="1" x14ac:dyDescent="0.2">
      <c r="L529" s="28"/>
    </row>
    <row r="530" spans="12:12" ht="15.75" customHeight="1" x14ac:dyDescent="0.2">
      <c r="L530" s="28"/>
    </row>
    <row r="531" spans="12:12" ht="15.75" customHeight="1" x14ac:dyDescent="0.2">
      <c r="L531" s="28"/>
    </row>
    <row r="532" spans="12:12" ht="15.75" customHeight="1" x14ac:dyDescent="0.2">
      <c r="L532" s="28"/>
    </row>
    <row r="533" spans="12:12" ht="15.75" customHeight="1" x14ac:dyDescent="0.2">
      <c r="L533" s="28"/>
    </row>
    <row r="534" spans="12:12" ht="15.75" customHeight="1" x14ac:dyDescent="0.2">
      <c r="L534" s="28"/>
    </row>
    <row r="535" spans="12:12" ht="15.75" customHeight="1" x14ac:dyDescent="0.2">
      <c r="L535" s="28"/>
    </row>
    <row r="536" spans="12:12" ht="15.75" customHeight="1" x14ac:dyDescent="0.2">
      <c r="L536" s="28"/>
    </row>
    <row r="537" spans="12:12" ht="15.75" customHeight="1" x14ac:dyDescent="0.2">
      <c r="L537" s="28"/>
    </row>
    <row r="538" spans="12:12" ht="15.75" customHeight="1" x14ac:dyDescent="0.2">
      <c r="L538" s="28"/>
    </row>
    <row r="539" spans="12:12" ht="15.75" customHeight="1" x14ac:dyDescent="0.2">
      <c r="L539" s="28"/>
    </row>
    <row r="540" spans="12:12" ht="15.75" customHeight="1" x14ac:dyDescent="0.2">
      <c r="L540" s="28"/>
    </row>
    <row r="541" spans="12:12" ht="15.75" customHeight="1" x14ac:dyDescent="0.2">
      <c r="L541" s="28"/>
    </row>
    <row r="542" spans="12:12" ht="15.75" customHeight="1" x14ac:dyDescent="0.2">
      <c r="L542" s="28"/>
    </row>
    <row r="543" spans="12:12" ht="15.75" customHeight="1" x14ac:dyDescent="0.2">
      <c r="L543" s="28"/>
    </row>
    <row r="544" spans="12:12" ht="15.75" customHeight="1" x14ac:dyDescent="0.2">
      <c r="L544" s="28"/>
    </row>
    <row r="545" spans="12:12" ht="15.75" customHeight="1" x14ac:dyDescent="0.2">
      <c r="L545" s="28"/>
    </row>
    <row r="546" spans="12:12" ht="15.75" customHeight="1" x14ac:dyDescent="0.2">
      <c r="L546" s="28"/>
    </row>
    <row r="547" spans="12:12" ht="15.75" customHeight="1" x14ac:dyDescent="0.2">
      <c r="L547" s="28"/>
    </row>
    <row r="548" spans="12:12" ht="15.75" customHeight="1" x14ac:dyDescent="0.2">
      <c r="L548" s="28"/>
    </row>
    <row r="549" spans="12:12" ht="15.75" customHeight="1" x14ac:dyDescent="0.2">
      <c r="L549" s="28"/>
    </row>
    <row r="550" spans="12:12" ht="15.75" customHeight="1" x14ac:dyDescent="0.2">
      <c r="L550" s="28"/>
    </row>
    <row r="551" spans="12:12" ht="15.75" customHeight="1" x14ac:dyDescent="0.2">
      <c r="L551" s="28"/>
    </row>
    <row r="552" spans="12:12" ht="15.75" customHeight="1" x14ac:dyDescent="0.2">
      <c r="L552" s="28"/>
    </row>
    <row r="553" spans="12:12" ht="15.75" customHeight="1" x14ac:dyDescent="0.2">
      <c r="L553" s="28"/>
    </row>
    <row r="554" spans="12:12" ht="15.75" customHeight="1" x14ac:dyDescent="0.2">
      <c r="L554" s="28"/>
    </row>
    <row r="555" spans="12:12" ht="15.75" customHeight="1" x14ac:dyDescent="0.2">
      <c r="L555" s="28"/>
    </row>
    <row r="556" spans="12:12" ht="15.75" customHeight="1" x14ac:dyDescent="0.2">
      <c r="L556" s="28"/>
    </row>
    <row r="557" spans="12:12" ht="15.75" customHeight="1" x14ac:dyDescent="0.2">
      <c r="L557" s="28"/>
    </row>
    <row r="558" spans="12:12" ht="15.75" customHeight="1" x14ac:dyDescent="0.2">
      <c r="L558" s="28"/>
    </row>
    <row r="559" spans="12:12" ht="15.75" customHeight="1" x14ac:dyDescent="0.2">
      <c r="L559" s="28"/>
    </row>
    <row r="560" spans="12:12" ht="15.75" customHeight="1" x14ac:dyDescent="0.2">
      <c r="L560" s="28"/>
    </row>
    <row r="561" spans="12:12" ht="15.75" customHeight="1" x14ac:dyDescent="0.2">
      <c r="L561" s="28"/>
    </row>
    <row r="562" spans="12:12" ht="15.75" customHeight="1" x14ac:dyDescent="0.2">
      <c r="L562" s="28"/>
    </row>
    <row r="563" spans="12:12" ht="15.75" customHeight="1" x14ac:dyDescent="0.2">
      <c r="L563" s="28"/>
    </row>
    <row r="564" spans="12:12" ht="15.75" customHeight="1" x14ac:dyDescent="0.2">
      <c r="L564" s="28"/>
    </row>
    <row r="565" spans="12:12" ht="15.75" customHeight="1" x14ac:dyDescent="0.2">
      <c r="L565" s="28"/>
    </row>
    <row r="566" spans="12:12" ht="15.75" customHeight="1" x14ac:dyDescent="0.2">
      <c r="L566" s="28"/>
    </row>
    <row r="567" spans="12:12" ht="15.75" customHeight="1" x14ac:dyDescent="0.2">
      <c r="L567" s="28"/>
    </row>
    <row r="568" spans="12:12" ht="15.75" customHeight="1" x14ac:dyDescent="0.2">
      <c r="L568" s="28"/>
    </row>
    <row r="569" spans="12:12" ht="15.75" customHeight="1" x14ac:dyDescent="0.2">
      <c r="L569" s="28"/>
    </row>
    <row r="570" spans="12:12" ht="15.75" customHeight="1" x14ac:dyDescent="0.2">
      <c r="L570" s="28"/>
    </row>
    <row r="571" spans="12:12" ht="15.75" customHeight="1" x14ac:dyDescent="0.2">
      <c r="L571" s="28"/>
    </row>
    <row r="572" spans="12:12" ht="15.75" customHeight="1" x14ac:dyDescent="0.2">
      <c r="L572" s="28"/>
    </row>
    <row r="573" spans="12:12" ht="15.75" customHeight="1" x14ac:dyDescent="0.2">
      <c r="L573" s="28"/>
    </row>
    <row r="574" spans="12:12" ht="15.75" customHeight="1" x14ac:dyDescent="0.2">
      <c r="L574" s="28"/>
    </row>
    <row r="575" spans="12:12" ht="15.75" customHeight="1" x14ac:dyDescent="0.2">
      <c r="L575" s="28"/>
    </row>
    <row r="576" spans="12:12" ht="15.75" customHeight="1" x14ac:dyDescent="0.2">
      <c r="L576" s="28"/>
    </row>
    <row r="577" spans="12:12" ht="15.75" customHeight="1" x14ac:dyDescent="0.2">
      <c r="L577" s="28"/>
    </row>
    <row r="578" spans="12:12" ht="15.75" customHeight="1" x14ac:dyDescent="0.2">
      <c r="L578" s="28"/>
    </row>
    <row r="579" spans="12:12" ht="15.75" customHeight="1" x14ac:dyDescent="0.2">
      <c r="L579" s="28"/>
    </row>
    <row r="580" spans="12:12" ht="15.75" customHeight="1" x14ac:dyDescent="0.2">
      <c r="L580" s="28"/>
    </row>
    <row r="581" spans="12:12" ht="15.75" customHeight="1" x14ac:dyDescent="0.2">
      <c r="L581" s="28"/>
    </row>
    <row r="582" spans="12:12" ht="15.75" customHeight="1" x14ac:dyDescent="0.2">
      <c r="L582" s="28"/>
    </row>
    <row r="583" spans="12:12" ht="15.75" customHeight="1" x14ac:dyDescent="0.2">
      <c r="L583" s="28"/>
    </row>
    <row r="584" spans="12:12" ht="15.75" customHeight="1" x14ac:dyDescent="0.2">
      <c r="L584" s="28"/>
    </row>
    <row r="585" spans="12:12" ht="15.75" customHeight="1" x14ac:dyDescent="0.2">
      <c r="L585" s="28"/>
    </row>
    <row r="586" spans="12:12" ht="15.75" customHeight="1" x14ac:dyDescent="0.2">
      <c r="L586" s="28"/>
    </row>
    <row r="587" spans="12:12" ht="15.75" customHeight="1" x14ac:dyDescent="0.2">
      <c r="L587" s="28"/>
    </row>
    <row r="588" spans="12:12" ht="15.75" customHeight="1" x14ac:dyDescent="0.2">
      <c r="L588" s="28"/>
    </row>
    <row r="589" spans="12:12" ht="15.75" customHeight="1" x14ac:dyDescent="0.2">
      <c r="L589" s="28"/>
    </row>
    <row r="590" spans="12:12" ht="15.75" customHeight="1" x14ac:dyDescent="0.2">
      <c r="L590" s="28"/>
    </row>
    <row r="591" spans="12:12" ht="15.75" customHeight="1" x14ac:dyDescent="0.2">
      <c r="L591" s="28"/>
    </row>
    <row r="592" spans="12:12" ht="15.75" customHeight="1" x14ac:dyDescent="0.2">
      <c r="L592" s="28"/>
    </row>
    <row r="593" spans="12:12" ht="15.75" customHeight="1" x14ac:dyDescent="0.2">
      <c r="L593" s="28"/>
    </row>
    <row r="594" spans="12:12" ht="15.75" customHeight="1" x14ac:dyDescent="0.2">
      <c r="L594" s="28"/>
    </row>
    <row r="595" spans="12:12" ht="15.75" customHeight="1" x14ac:dyDescent="0.2">
      <c r="L595" s="28"/>
    </row>
    <row r="596" spans="12:12" ht="15.75" customHeight="1" x14ac:dyDescent="0.2">
      <c r="L596" s="28"/>
    </row>
    <row r="597" spans="12:12" ht="15.75" customHeight="1" x14ac:dyDescent="0.2">
      <c r="L597" s="28"/>
    </row>
    <row r="598" spans="12:12" ht="15.75" customHeight="1" x14ac:dyDescent="0.2">
      <c r="L598" s="28"/>
    </row>
    <row r="599" spans="12:12" ht="15.75" customHeight="1" x14ac:dyDescent="0.2">
      <c r="L599" s="28"/>
    </row>
    <row r="600" spans="12:12" ht="15.75" customHeight="1" x14ac:dyDescent="0.2">
      <c r="L600" s="28"/>
    </row>
    <row r="601" spans="12:12" ht="15.75" customHeight="1" x14ac:dyDescent="0.2">
      <c r="L601" s="28"/>
    </row>
    <row r="602" spans="12:12" ht="15.75" customHeight="1" x14ac:dyDescent="0.2">
      <c r="L602" s="28"/>
    </row>
    <row r="603" spans="12:12" ht="15.75" customHeight="1" x14ac:dyDescent="0.2">
      <c r="L603" s="28"/>
    </row>
    <row r="604" spans="12:12" ht="15.75" customHeight="1" x14ac:dyDescent="0.2">
      <c r="L604" s="28"/>
    </row>
    <row r="605" spans="12:12" ht="15.75" customHeight="1" x14ac:dyDescent="0.2">
      <c r="L605" s="28"/>
    </row>
    <row r="606" spans="12:12" ht="15.75" customHeight="1" x14ac:dyDescent="0.2">
      <c r="L606" s="28"/>
    </row>
    <row r="607" spans="12:12" ht="15.75" customHeight="1" x14ac:dyDescent="0.2">
      <c r="L607" s="28"/>
    </row>
    <row r="608" spans="12:12" ht="15.75" customHeight="1" x14ac:dyDescent="0.2">
      <c r="L608" s="28"/>
    </row>
    <row r="609" spans="12:12" ht="15.75" customHeight="1" x14ac:dyDescent="0.2">
      <c r="L609" s="28"/>
    </row>
    <row r="610" spans="12:12" ht="15.75" customHeight="1" x14ac:dyDescent="0.2">
      <c r="L610" s="28"/>
    </row>
    <row r="611" spans="12:12" ht="15.75" customHeight="1" x14ac:dyDescent="0.2">
      <c r="L611" s="28"/>
    </row>
    <row r="612" spans="12:12" ht="15.75" customHeight="1" x14ac:dyDescent="0.2">
      <c r="L612" s="28"/>
    </row>
    <row r="613" spans="12:12" ht="15.75" customHeight="1" x14ac:dyDescent="0.2">
      <c r="L613" s="28"/>
    </row>
    <row r="614" spans="12:12" ht="15.75" customHeight="1" x14ac:dyDescent="0.2">
      <c r="L614" s="28"/>
    </row>
    <row r="615" spans="12:12" ht="15.75" customHeight="1" x14ac:dyDescent="0.2">
      <c r="L615" s="28"/>
    </row>
    <row r="616" spans="12:12" ht="15.75" customHeight="1" x14ac:dyDescent="0.2">
      <c r="L616" s="28"/>
    </row>
    <row r="617" spans="12:12" ht="15.75" customHeight="1" x14ac:dyDescent="0.2">
      <c r="L617" s="28"/>
    </row>
    <row r="618" spans="12:12" ht="15.75" customHeight="1" x14ac:dyDescent="0.2">
      <c r="L618" s="28"/>
    </row>
    <row r="619" spans="12:12" ht="15.75" customHeight="1" x14ac:dyDescent="0.2">
      <c r="L619" s="28"/>
    </row>
    <row r="620" spans="12:12" ht="15.75" customHeight="1" x14ac:dyDescent="0.2">
      <c r="L620" s="28"/>
    </row>
    <row r="621" spans="12:12" ht="15.75" customHeight="1" x14ac:dyDescent="0.2">
      <c r="L621" s="28"/>
    </row>
    <row r="622" spans="12:12" ht="15.75" customHeight="1" x14ac:dyDescent="0.2">
      <c r="L622" s="28"/>
    </row>
    <row r="623" spans="12:12" ht="15.75" customHeight="1" x14ac:dyDescent="0.2">
      <c r="L623" s="28"/>
    </row>
    <row r="624" spans="12:12" ht="15.75" customHeight="1" x14ac:dyDescent="0.2">
      <c r="L624" s="28"/>
    </row>
    <row r="625" spans="12:12" ht="15.75" customHeight="1" x14ac:dyDescent="0.2">
      <c r="L625" s="28"/>
    </row>
    <row r="626" spans="12:12" ht="15.75" customHeight="1" x14ac:dyDescent="0.2">
      <c r="L626" s="28"/>
    </row>
    <row r="627" spans="12:12" ht="15.75" customHeight="1" x14ac:dyDescent="0.2">
      <c r="L627" s="28"/>
    </row>
    <row r="628" spans="12:12" ht="15.75" customHeight="1" x14ac:dyDescent="0.2">
      <c r="L628" s="28"/>
    </row>
    <row r="629" spans="12:12" ht="15.75" customHeight="1" x14ac:dyDescent="0.2">
      <c r="L629" s="28"/>
    </row>
    <row r="630" spans="12:12" ht="15.75" customHeight="1" x14ac:dyDescent="0.2">
      <c r="L630" s="28"/>
    </row>
    <row r="631" spans="12:12" ht="15.75" customHeight="1" x14ac:dyDescent="0.2">
      <c r="L631" s="28"/>
    </row>
    <row r="632" spans="12:12" ht="15.75" customHeight="1" x14ac:dyDescent="0.2">
      <c r="L632" s="28"/>
    </row>
    <row r="633" spans="12:12" ht="15.75" customHeight="1" x14ac:dyDescent="0.2">
      <c r="L633" s="28"/>
    </row>
    <row r="634" spans="12:12" ht="15.75" customHeight="1" x14ac:dyDescent="0.2">
      <c r="L634" s="28"/>
    </row>
    <row r="635" spans="12:12" ht="15.75" customHeight="1" x14ac:dyDescent="0.2">
      <c r="L635" s="28"/>
    </row>
    <row r="636" spans="12:12" ht="15.75" customHeight="1" x14ac:dyDescent="0.2">
      <c r="L636" s="28"/>
    </row>
    <row r="637" spans="12:12" ht="15.75" customHeight="1" x14ac:dyDescent="0.2">
      <c r="L637" s="28"/>
    </row>
    <row r="638" spans="12:12" ht="15.75" customHeight="1" x14ac:dyDescent="0.2">
      <c r="L638" s="28"/>
    </row>
    <row r="639" spans="12:12" ht="15.75" customHeight="1" x14ac:dyDescent="0.2">
      <c r="L639" s="28"/>
    </row>
    <row r="640" spans="12:12" ht="15.75" customHeight="1" x14ac:dyDescent="0.2">
      <c r="L640" s="28"/>
    </row>
    <row r="641" spans="12:12" ht="15.75" customHeight="1" x14ac:dyDescent="0.2">
      <c r="L641" s="28"/>
    </row>
    <row r="642" spans="12:12" ht="15.75" customHeight="1" x14ac:dyDescent="0.2">
      <c r="L642" s="28"/>
    </row>
    <row r="643" spans="12:12" ht="15.75" customHeight="1" x14ac:dyDescent="0.2">
      <c r="L643" s="28"/>
    </row>
    <row r="644" spans="12:12" ht="15.75" customHeight="1" x14ac:dyDescent="0.2">
      <c r="L644" s="28"/>
    </row>
    <row r="645" spans="12:12" ht="15.75" customHeight="1" x14ac:dyDescent="0.2">
      <c r="L645" s="28"/>
    </row>
    <row r="646" spans="12:12" ht="15.75" customHeight="1" x14ac:dyDescent="0.2">
      <c r="L646" s="28"/>
    </row>
    <row r="647" spans="12:12" ht="15.75" customHeight="1" x14ac:dyDescent="0.2">
      <c r="L647" s="28"/>
    </row>
    <row r="648" spans="12:12" ht="15.75" customHeight="1" x14ac:dyDescent="0.2">
      <c r="L648" s="28"/>
    </row>
    <row r="649" spans="12:12" ht="15.75" customHeight="1" x14ac:dyDescent="0.2">
      <c r="L649" s="28"/>
    </row>
    <row r="650" spans="12:12" ht="15.75" customHeight="1" x14ac:dyDescent="0.2">
      <c r="L650" s="28"/>
    </row>
    <row r="651" spans="12:12" ht="15.75" customHeight="1" x14ac:dyDescent="0.2">
      <c r="L651" s="28"/>
    </row>
    <row r="652" spans="12:12" ht="15.75" customHeight="1" x14ac:dyDescent="0.2">
      <c r="L652" s="28"/>
    </row>
    <row r="653" spans="12:12" ht="15.75" customHeight="1" x14ac:dyDescent="0.2">
      <c r="L653" s="28"/>
    </row>
    <row r="654" spans="12:12" ht="15.75" customHeight="1" x14ac:dyDescent="0.2">
      <c r="L654" s="28"/>
    </row>
    <row r="655" spans="12:12" ht="15.75" customHeight="1" x14ac:dyDescent="0.2">
      <c r="L655" s="28"/>
    </row>
    <row r="656" spans="12:12" ht="15.75" customHeight="1" x14ac:dyDescent="0.2">
      <c r="L656" s="28"/>
    </row>
    <row r="657" spans="12:12" ht="15.75" customHeight="1" x14ac:dyDescent="0.2">
      <c r="L657" s="28"/>
    </row>
    <row r="658" spans="12:12" ht="15.75" customHeight="1" x14ac:dyDescent="0.2">
      <c r="L658" s="28"/>
    </row>
    <row r="659" spans="12:12" ht="15.75" customHeight="1" x14ac:dyDescent="0.2">
      <c r="L659" s="28"/>
    </row>
    <row r="660" spans="12:12" ht="15.75" customHeight="1" x14ac:dyDescent="0.2">
      <c r="L660" s="28"/>
    </row>
    <row r="661" spans="12:12" ht="15.75" customHeight="1" x14ac:dyDescent="0.2">
      <c r="L661" s="28"/>
    </row>
    <row r="662" spans="12:12" ht="15.75" customHeight="1" x14ac:dyDescent="0.2">
      <c r="L662" s="28"/>
    </row>
    <row r="663" spans="12:12" ht="15.75" customHeight="1" x14ac:dyDescent="0.2">
      <c r="L663" s="28"/>
    </row>
    <row r="664" spans="12:12" ht="15.75" customHeight="1" x14ac:dyDescent="0.2">
      <c r="L664" s="28"/>
    </row>
    <row r="665" spans="12:12" ht="15.75" customHeight="1" x14ac:dyDescent="0.2">
      <c r="L665" s="28"/>
    </row>
    <row r="666" spans="12:12" ht="15.75" customHeight="1" x14ac:dyDescent="0.2">
      <c r="L666" s="28"/>
    </row>
    <row r="667" spans="12:12" ht="15.75" customHeight="1" x14ac:dyDescent="0.2">
      <c r="L667" s="28"/>
    </row>
    <row r="668" spans="12:12" ht="15.75" customHeight="1" x14ac:dyDescent="0.2">
      <c r="L668" s="28"/>
    </row>
    <row r="669" spans="12:12" ht="15.75" customHeight="1" x14ac:dyDescent="0.2">
      <c r="L669" s="28"/>
    </row>
    <row r="670" spans="12:12" ht="15.75" customHeight="1" x14ac:dyDescent="0.2">
      <c r="L670" s="28"/>
    </row>
    <row r="671" spans="12:12" ht="15.75" customHeight="1" x14ac:dyDescent="0.2">
      <c r="L671" s="28"/>
    </row>
    <row r="672" spans="12:12" ht="15.75" customHeight="1" x14ac:dyDescent="0.2">
      <c r="L672" s="28"/>
    </row>
    <row r="673" spans="12:12" ht="15.75" customHeight="1" x14ac:dyDescent="0.2">
      <c r="L673" s="28"/>
    </row>
    <row r="674" spans="12:12" ht="15.75" customHeight="1" x14ac:dyDescent="0.2">
      <c r="L674" s="28"/>
    </row>
    <row r="675" spans="12:12" ht="15.75" customHeight="1" x14ac:dyDescent="0.2">
      <c r="L675" s="28"/>
    </row>
    <row r="676" spans="12:12" ht="15.75" customHeight="1" x14ac:dyDescent="0.2">
      <c r="L676" s="28"/>
    </row>
    <row r="677" spans="12:12" ht="15.75" customHeight="1" x14ac:dyDescent="0.2">
      <c r="L677" s="28"/>
    </row>
    <row r="678" spans="12:12" ht="15.75" customHeight="1" x14ac:dyDescent="0.2">
      <c r="L678" s="28"/>
    </row>
    <row r="679" spans="12:12" ht="15.75" customHeight="1" x14ac:dyDescent="0.2">
      <c r="L679" s="28"/>
    </row>
    <row r="680" spans="12:12" ht="15.75" customHeight="1" x14ac:dyDescent="0.2">
      <c r="L680" s="28"/>
    </row>
    <row r="681" spans="12:12" ht="15.75" customHeight="1" x14ac:dyDescent="0.2">
      <c r="L681" s="28"/>
    </row>
    <row r="682" spans="12:12" ht="15.75" customHeight="1" x14ac:dyDescent="0.2">
      <c r="L682" s="28"/>
    </row>
    <row r="683" spans="12:12" ht="15.75" customHeight="1" x14ac:dyDescent="0.2">
      <c r="L683" s="28"/>
    </row>
    <row r="684" spans="12:12" ht="15.75" customHeight="1" x14ac:dyDescent="0.2">
      <c r="L684" s="28"/>
    </row>
    <row r="685" spans="12:12" ht="15.75" customHeight="1" x14ac:dyDescent="0.2">
      <c r="L685" s="28"/>
    </row>
    <row r="686" spans="12:12" ht="15.75" customHeight="1" x14ac:dyDescent="0.2">
      <c r="L686" s="28"/>
    </row>
    <row r="687" spans="12:12" ht="15.75" customHeight="1" x14ac:dyDescent="0.2">
      <c r="L687" s="28"/>
    </row>
    <row r="688" spans="12:12" ht="15.75" customHeight="1" x14ac:dyDescent="0.2">
      <c r="L688" s="28"/>
    </row>
    <row r="689" spans="12:12" ht="15.75" customHeight="1" x14ac:dyDescent="0.2">
      <c r="L689" s="28"/>
    </row>
    <row r="690" spans="12:12" ht="15.75" customHeight="1" x14ac:dyDescent="0.2">
      <c r="L690" s="28"/>
    </row>
    <row r="691" spans="12:12" ht="15.75" customHeight="1" x14ac:dyDescent="0.2">
      <c r="L691" s="28"/>
    </row>
    <row r="692" spans="12:12" ht="15.75" customHeight="1" x14ac:dyDescent="0.2">
      <c r="L692" s="28"/>
    </row>
    <row r="693" spans="12:12" ht="15.75" customHeight="1" x14ac:dyDescent="0.2">
      <c r="L693" s="28"/>
    </row>
    <row r="694" spans="12:12" ht="15.75" customHeight="1" x14ac:dyDescent="0.2">
      <c r="L694" s="28"/>
    </row>
    <row r="695" spans="12:12" ht="15.75" customHeight="1" x14ac:dyDescent="0.2">
      <c r="L695" s="28"/>
    </row>
    <row r="696" spans="12:12" ht="15.75" customHeight="1" x14ac:dyDescent="0.2">
      <c r="L696" s="28"/>
    </row>
    <row r="697" spans="12:12" ht="15.75" customHeight="1" x14ac:dyDescent="0.2">
      <c r="L697" s="28"/>
    </row>
    <row r="698" spans="12:12" ht="15.75" customHeight="1" x14ac:dyDescent="0.2">
      <c r="L698" s="28"/>
    </row>
    <row r="699" spans="12:12" ht="15.75" customHeight="1" x14ac:dyDescent="0.2">
      <c r="L699" s="28"/>
    </row>
    <row r="700" spans="12:12" ht="15.75" customHeight="1" x14ac:dyDescent="0.2">
      <c r="L700" s="28"/>
    </row>
    <row r="701" spans="12:12" ht="15.75" customHeight="1" x14ac:dyDescent="0.2">
      <c r="L701" s="28"/>
    </row>
    <row r="702" spans="12:12" ht="15.75" customHeight="1" x14ac:dyDescent="0.2">
      <c r="L702" s="28"/>
    </row>
    <row r="703" spans="12:12" ht="15.75" customHeight="1" x14ac:dyDescent="0.2">
      <c r="L703" s="28"/>
    </row>
    <row r="704" spans="12:12" ht="15.75" customHeight="1" x14ac:dyDescent="0.2">
      <c r="L704" s="28"/>
    </row>
    <row r="705" spans="12:12" ht="15.75" customHeight="1" x14ac:dyDescent="0.2">
      <c r="L705" s="28"/>
    </row>
    <row r="706" spans="12:12" ht="15.75" customHeight="1" x14ac:dyDescent="0.2">
      <c r="L706" s="28"/>
    </row>
    <row r="707" spans="12:12" ht="15.75" customHeight="1" x14ac:dyDescent="0.2">
      <c r="L707" s="28"/>
    </row>
    <row r="708" spans="12:12" ht="15.75" customHeight="1" x14ac:dyDescent="0.2">
      <c r="L708" s="28"/>
    </row>
    <row r="709" spans="12:12" ht="15.75" customHeight="1" x14ac:dyDescent="0.2">
      <c r="L709" s="28"/>
    </row>
    <row r="710" spans="12:12" ht="15.75" customHeight="1" x14ac:dyDescent="0.2">
      <c r="L710" s="28"/>
    </row>
    <row r="711" spans="12:12" ht="15.75" customHeight="1" x14ac:dyDescent="0.2">
      <c r="L711" s="28"/>
    </row>
    <row r="712" spans="12:12" ht="15.75" customHeight="1" x14ac:dyDescent="0.2">
      <c r="L712" s="28"/>
    </row>
    <row r="713" spans="12:12" ht="15.75" customHeight="1" x14ac:dyDescent="0.2">
      <c r="L713" s="28"/>
    </row>
    <row r="714" spans="12:12" ht="15.75" customHeight="1" x14ac:dyDescent="0.2">
      <c r="L714" s="28"/>
    </row>
    <row r="715" spans="12:12" ht="15.75" customHeight="1" x14ac:dyDescent="0.2">
      <c r="L715" s="28"/>
    </row>
    <row r="716" spans="12:12" ht="15.75" customHeight="1" x14ac:dyDescent="0.2">
      <c r="L716" s="28"/>
    </row>
    <row r="717" spans="12:12" ht="15.75" customHeight="1" x14ac:dyDescent="0.2">
      <c r="L717" s="28"/>
    </row>
    <row r="718" spans="12:12" ht="15.75" customHeight="1" x14ac:dyDescent="0.2">
      <c r="L718" s="28"/>
    </row>
    <row r="719" spans="12:12" ht="15.75" customHeight="1" x14ac:dyDescent="0.2">
      <c r="L719" s="28"/>
    </row>
    <row r="720" spans="12:12" ht="15.75" customHeight="1" x14ac:dyDescent="0.2">
      <c r="L720" s="28"/>
    </row>
    <row r="721" spans="12:12" ht="15.75" customHeight="1" x14ac:dyDescent="0.2">
      <c r="L721" s="28"/>
    </row>
    <row r="722" spans="12:12" ht="15.75" customHeight="1" x14ac:dyDescent="0.2">
      <c r="L722" s="28"/>
    </row>
    <row r="723" spans="12:12" ht="15.75" customHeight="1" x14ac:dyDescent="0.2">
      <c r="L723" s="28"/>
    </row>
    <row r="724" spans="12:12" ht="15.75" customHeight="1" x14ac:dyDescent="0.2">
      <c r="L724" s="28"/>
    </row>
    <row r="725" spans="12:12" ht="15.75" customHeight="1" x14ac:dyDescent="0.2">
      <c r="L725" s="28"/>
    </row>
    <row r="726" spans="12:12" ht="15.75" customHeight="1" x14ac:dyDescent="0.2">
      <c r="L726" s="28"/>
    </row>
    <row r="727" spans="12:12" ht="15.75" customHeight="1" x14ac:dyDescent="0.2">
      <c r="L727" s="28"/>
    </row>
    <row r="728" spans="12:12" ht="15.75" customHeight="1" x14ac:dyDescent="0.2">
      <c r="L728" s="28"/>
    </row>
    <row r="729" spans="12:12" ht="15.75" customHeight="1" x14ac:dyDescent="0.2">
      <c r="L729" s="28"/>
    </row>
    <row r="730" spans="12:12" ht="15.75" customHeight="1" x14ac:dyDescent="0.2">
      <c r="L730" s="28"/>
    </row>
    <row r="731" spans="12:12" ht="15.75" customHeight="1" x14ac:dyDescent="0.2">
      <c r="L731" s="28"/>
    </row>
    <row r="732" spans="12:12" ht="15.75" customHeight="1" x14ac:dyDescent="0.2">
      <c r="L732" s="28"/>
    </row>
    <row r="733" spans="12:12" ht="15.75" customHeight="1" x14ac:dyDescent="0.2">
      <c r="L733" s="28"/>
    </row>
    <row r="734" spans="12:12" ht="15.75" customHeight="1" x14ac:dyDescent="0.2">
      <c r="L734" s="28"/>
    </row>
    <row r="735" spans="12:12" ht="15.75" customHeight="1" x14ac:dyDescent="0.2">
      <c r="L735" s="28"/>
    </row>
    <row r="736" spans="12:12" ht="15.75" customHeight="1" x14ac:dyDescent="0.2">
      <c r="L736" s="28"/>
    </row>
    <row r="737" spans="12:12" ht="15.75" customHeight="1" x14ac:dyDescent="0.2">
      <c r="L737" s="28"/>
    </row>
    <row r="738" spans="12:12" ht="15.75" customHeight="1" x14ac:dyDescent="0.2">
      <c r="L738" s="28"/>
    </row>
    <row r="739" spans="12:12" ht="15.75" customHeight="1" x14ac:dyDescent="0.2">
      <c r="L739" s="28"/>
    </row>
    <row r="740" spans="12:12" ht="15.75" customHeight="1" x14ac:dyDescent="0.2">
      <c r="L740" s="28"/>
    </row>
    <row r="741" spans="12:12" ht="15.75" customHeight="1" x14ac:dyDescent="0.2">
      <c r="L741" s="28"/>
    </row>
    <row r="742" spans="12:12" ht="15.75" customHeight="1" x14ac:dyDescent="0.2">
      <c r="L742" s="28"/>
    </row>
    <row r="743" spans="12:12" ht="15.75" customHeight="1" x14ac:dyDescent="0.2">
      <c r="L743" s="28"/>
    </row>
    <row r="744" spans="12:12" ht="15.75" customHeight="1" x14ac:dyDescent="0.2">
      <c r="L744" s="28"/>
    </row>
    <row r="745" spans="12:12" ht="15.75" customHeight="1" x14ac:dyDescent="0.2">
      <c r="L745" s="28"/>
    </row>
    <row r="746" spans="12:12" ht="15.75" customHeight="1" x14ac:dyDescent="0.2">
      <c r="L746" s="28"/>
    </row>
    <row r="747" spans="12:12" ht="15.75" customHeight="1" x14ac:dyDescent="0.2">
      <c r="L747" s="28"/>
    </row>
    <row r="748" spans="12:12" ht="15.75" customHeight="1" x14ac:dyDescent="0.2">
      <c r="L748" s="28"/>
    </row>
    <row r="749" spans="12:12" ht="15.75" customHeight="1" x14ac:dyDescent="0.2">
      <c r="L749" s="28"/>
    </row>
    <row r="750" spans="12:12" ht="15.75" customHeight="1" x14ac:dyDescent="0.2">
      <c r="L750" s="28"/>
    </row>
    <row r="751" spans="12:12" ht="15.75" customHeight="1" x14ac:dyDescent="0.2">
      <c r="L751" s="28"/>
    </row>
    <row r="752" spans="12:12" ht="15.75" customHeight="1" x14ac:dyDescent="0.2">
      <c r="L752" s="28"/>
    </row>
    <row r="753" spans="12:12" ht="15.75" customHeight="1" x14ac:dyDescent="0.2">
      <c r="L753" s="28"/>
    </row>
    <row r="754" spans="12:12" ht="15.75" customHeight="1" x14ac:dyDescent="0.2">
      <c r="L754" s="28"/>
    </row>
    <row r="755" spans="12:12" ht="15.75" customHeight="1" x14ac:dyDescent="0.2">
      <c r="L755" s="28"/>
    </row>
    <row r="756" spans="12:12" ht="15.75" customHeight="1" x14ac:dyDescent="0.2">
      <c r="L756" s="28"/>
    </row>
    <row r="757" spans="12:12" ht="15.75" customHeight="1" x14ac:dyDescent="0.2">
      <c r="L757" s="28"/>
    </row>
    <row r="758" spans="12:12" ht="15.75" customHeight="1" x14ac:dyDescent="0.2">
      <c r="L758" s="28"/>
    </row>
    <row r="759" spans="12:12" ht="15.75" customHeight="1" x14ac:dyDescent="0.2">
      <c r="L759" s="28"/>
    </row>
    <row r="760" spans="12:12" ht="15.75" customHeight="1" x14ac:dyDescent="0.2">
      <c r="L760" s="28"/>
    </row>
    <row r="761" spans="12:12" ht="15.75" customHeight="1" x14ac:dyDescent="0.2">
      <c r="L761" s="28"/>
    </row>
    <row r="762" spans="12:12" ht="15.75" customHeight="1" x14ac:dyDescent="0.2">
      <c r="L762" s="28"/>
    </row>
    <row r="763" spans="12:12" ht="15.75" customHeight="1" x14ac:dyDescent="0.2">
      <c r="L763" s="28"/>
    </row>
    <row r="764" spans="12:12" ht="15.75" customHeight="1" x14ac:dyDescent="0.2">
      <c r="L764" s="28"/>
    </row>
    <row r="765" spans="12:12" ht="15.75" customHeight="1" x14ac:dyDescent="0.2">
      <c r="L765" s="28"/>
    </row>
    <row r="766" spans="12:12" ht="15.75" customHeight="1" x14ac:dyDescent="0.2">
      <c r="L766" s="28"/>
    </row>
    <row r="767" spans="12:12" ht="15.75" customHeight="1" x14ac:dyDescent="0.2">
      <c r="L767" s="28"/>
    </row>
    <row r="768" spans="12:12" ht="15.75" customHeight="1" x14ac:dyDescent="0.2">
      <c r="L768" s="28"/>
    </row>
    <row r="769" spans="12:12" ht="15.75" customHeight="1" x14ac:dyDescent="0.2">
      <c r="L769" s="28"/>
    </row>
    <row r="770" spans="12:12" ht="15.75" customHeight="1" x14ac:dyDescent="0.2">
      <c r="L770" s="28"/>
    </row>
    <row r="771" spans="12:12" ht="15.75" customHeight="1" x14ac:dyDescent="0.2">
      <c r="L771" s="28"/>
    </row>
    <row r="772" spans="12:12" ht="15.75" customHeight="1" x14ac:dyDescent="0.2">
      <c r="L772" s="28"/>
    </row>
    <row r="773" spans="12:12" ht="15.75" customHeight="1" x14ac:dyDescent="0.2">
      <c r="L773" s="28"/>
    </row>
    <row r="774" spans="12:12" ht="15.75" customHeight="1" x14ac:dyDescent="0.2">
      <c r="L774" s="28"/>
    </row>
    <row r="775" spans="12:12" ht="15.75" customHeight="1" x14ac:dyDescent="0.2">
      <c r="L775" s="28"/>
    </row>
    <row r="776" spans="12:12" ht="15.75" customHeight="1" x14ac:dyDescent="0.2">
      <c r="L776" s="28"/>
    </row>
    <row r="777" spans="12:12" ht="15.75" customHeight="1" x14ac:dyDescent="0.2">
      <c r="L777" s="28"/>
    </row>
    <row r="778" spans="12:12" ht="15.75" customHeight="1" x14ac:dyDescent="0.2">
      <c r="L778" s="28"/>
    </row>
    <row r="779" spans="12:12" ht="15.75" customHeight="1" x14ac:dyDescent="0.2">
      <c r="L779" s="28"/>
    </row>
    <row r="780" spans="12:12" ht="15.75" customHeight="1" x14ac:dyDescent="0.2">
      <c r="L780" s="28"/>
    </row>
    <row r="781" spans="12:12" ht="15.75" customHeight="1" x14ac:dyDescent="0.2">
      <c r="L781" s="28"/>
    </row>
    <row r="782" spans="12:12" ht="15.75" customHeight="1" x14ac:dyDescent="0.2">
      <c r="L782" s="28"/>
    </row>
    <row r="783" spans="12:12" ht="15.75" customHeight="1" x14ac:dyDescent="0.2">
      <c r="L783" s="28"/>
    </row>
    <row r="784" spans="12:12" ht="15.75" customHeight="1" x14ac:dyDescent="0.2">
      <c r="L784" s="28"/>
    </row>
    <row r="785" spans="12:12" ht="15.75" customHeight="1" x14ac:dyDescent="0.2">
      <c r="L785" s="28"/>
    </row>
    <row r="786" spans="12:12" ht="15.75" customHeight="1" x14ac:dyDescent="0.2">
      <c r="L786" s="28"/>
    </row>
    <row r="787" spans="12:12" ht="15.75" customHeight="1" x14ac:dyDescent="0.2">
      <c r="L787" s="28"/>
    </row>
    <row r="788" spans="12:12" ht="15.75" customHeight="1" x14ac:dyDescent="0.2">
      <c r="L788" s="28"/>
    </row>
    <row r="789" spans="12:12" ht="15.75" customHeight="1" x14ac:dyDescent="0.2">
      <c r="L789" s="28"/>
    </row>
    <row r="790" spans="12:12" ht="15.75" customHeight="1" x14ac:dyDescent="0.2">
      <c r="L790" s="28"/>
    </row>
    <row r="791" spans="12:12" ht="15.75" customHeight="1" x14ac:dyDescent="0.2">
      <c r="L791" s="28"/>
    </row>
    <row r="792" spans="12:12" ht="15.75" customHeight="1" x14ac:dyDescent="0.2">
      <c r="L792" s="28"/>
    </row>
    <row r="793" spans="12:12" ht="15.75" customHeight="1" x14ac:dyDescent="0.2">
      <c r="L793" s="28"/>
    </row>
    <row r="794" spans="12:12" ht="15.75" customHeight="1" x14ac:dyDescent="0.2">
      <c r="L794" s="28"/>
    </row>
    <row r="795" spans="12:12" ht="15.75" customHeight="1" x14ac:dyDescent="0.2">
      <c r="L795" s="28"/>
    </row>
    <row r="796" spans="12:12" ht="15.75" customHeight="1" x14ac:dyDescent="0.2">
      <c r="L796" s="28"/>
    </row>
    <row r="797" spans="12:12" ht="15.75" customHeight="1" x14ac:dyDescent="0.2">
      <c r="L797" s="28"/>
    </row>
    <row r="798" spans="12:12" ht="15.75" customHeight="1" x14ac:dyDescent="0.2">
      <c r="L798" s="28"/>
    </row>
    <row r="799" spans="12:12" ht="15.75" customHeight="1" x14ac:dyDescent="0.2">
      <c r="L799" s="28"/>
    </row>
    <row r="800" spans="12:12" ht="15.75" customHeight="1" x14ac:dyDescent="0.2">
      <c r="L800" s="28"/>
    </row>
    <row r="801" spans="12:12" ht="15.75" customHeight="1" x14ac:dyDescent="0.2">
      <c r="L801" s="28"/>
    </row>
    <row r="802" spans="12:12" ht="15.75" customHeight="1" x14ac:dyDescent="0.2">
      <c r="L802" s="28"/>
    </row>
    <row r="803" spans="12:12" ht="15.75" customHeight="1" x14ac:dyDescent="0.2">
      <c r="L803" s="28"/>
    </row>
    <row r="804" spans="12:12" ht="15.75" customHeight="1" x14ac:dyDescent="0.2">
      <c r="L804" s="28"/>
    </row>
    <row r="805" spans="12:12" ht="15.75" customHeight="1" x14ac:dyDescent="0.2">
      <c r="L805" s="28"/>
    </row>
    <row r="806" spans="12:12" ht="15.75" customHeight="1" x14ac:dyDescent="0.2">
      <c r="L806" s="28"/>
    </row>
    <row r="807" spans="12:12" ht="15.75" customHeight="1" x14ac:dyDescent="0.2">
      <c r="L807" s="28"/>
    </row>
    <row r="808" spans="12:12" ht="15.75" customHeight="1" x14ac:dyDescent="0.2">
      <c r="L808" s="28"/>
    </row>
    <row r="809" spans="12:12" ht="15.75" customHeight="1" x14ac:dyDescent="0.2">
      <c r="L809" s="28"/>
    </row>
    <row r="810" spans="12:12" ht="15.75" customHeight="1" x14ac:dyDescent="0.2">
      <c r="L810" s="28"/>
    </row>
    <row r="811" spans="12:12" ht="15.75" customHeight="1" x14ac:dyDescent="0.2">
      <c r="L811" s="28"/>
    </row>
    <row r="812" spans="12:12" ht="15.75" customHeight="1" x14ac:dyDescent="0.2">
      <c r="L812" s="28"/>
    </row>
    <row r="813" spans="12:12" ht="15.75" customHeight="1" x14ac:dyDescent="0.2">
      <c r="L813" s="28"/>
    </row>
    <row r="814" spans="12:12" ht="15.75" customHeight="1" x14ac:dyDescent="0.2">
      <c r="L814" s="28"/>
    </row>
    <row r="815" spans="12:12" ht="15.75" customHeight="1" x14ac:dyDescent="0.2">
      <c r="L815" s="28"/>
    </row>
    <row r="816" spans="12:12" ht="15.75" customHeight="1" x14ac:dyDescent="0.2">
      <c r="L816" s="28"/>
    </row>
    <row r="817" spans="12:12" ht="15.75" customHeight="1" x14ac:dyDescent="0.2">
      <c r="L817" s="28"/>
    </row>
    <row r="818" spans="12:12" ht="15.75" customHeight="1" x14ac:dyDescent="0.2">
      <c r="L818" s="28"/>
    </row>
    <row r="819" spans="12:12" ht="15.75" customHeight="1" x14ac:dyDescent="0.2">
      <c r="L819" s="28"/>
    </row>
    <row r="820" spans="12:12" ht="15.75" customHeight="1" x14ac:dyDescent="0.2">
      <c r="L820" s="28"/>
    </row>
    <row r="821" spans="12:12" ht="15.75" customHeight="1" x14ac:dyDescent="0.2">
      <c r="L821" s="28"/>
    </row>
    <row r="822" spans="12:12" ht="15.75" customHeight="1" x14ac:dyDescent="0.2">
      <c r="L822" s="28"/>
    </row>
    <row r="823" spans="12:12" ht="15.75" customHeight="1" x14ac:dyDescent="0.2">
      <c r="L823" s="28"/>
    </row>
    <row r="824" spans="12:12" ht="15.75" customHeight="1" x14ac:dyDescent="0.2">
      <c r="L824" s="28"/>
    </row>
    <row r="825" spans="12:12" ht="15.75" customHeight="1" x14ac:dyDescent="0.2">
      <c r="L825" s="28"/>
    </row>
    <row r="826" spans="12:12" ht="15.75" customHeight="1" x14ac:dyDescent="0.2">
      <c r="L826" s="28"/>
    </row>
    <row r="827" spans="12:12" ht="15.75" customHeight="1" x14ac:dyDescent="0.2">
      <c r="L827" s="28"/>
    </row>
    <row r="828" spans="12:12" ht="15.75" customHeight="1" x14ac:dyDescent="0.2">
      <c r="L828" s="28"/>
    </row>
    <row r="829" spans="12:12" ht="15.75" customHeight="1" x14ac:dyDescent="0.2">
      <c r="L829" s="28"/>
    </row>
    <row r="830" spans="12:12" ht="15.75" customHeight="1" x14ac:dyDescent="0.2">
      <c r="L830" s="28"/>
    </row>
    <row r="831" spans="12:12" ht="15.75" customHeight="1" x14ac:dyDescent="0.2">
      <c r="L831" s="28"/>
    </row>
    <row r="832" spans="12:12" ht="15.75" customHeight="1" x14ac:dyDescent="0.2">
      <c r="L832" s="28"/>
    </row>
    <row r="833" spans="12:12" ht="15.75" customHeight="1" x14ac:dyDescent="0.2">
      <c r="L833" s="28"/>
    </row>
    <row r="834" spans="12:12" ht="15.75" customHeight="1" x14ac:dyDescent="0.2">
      <c r="L834" s="28"/>
    </row>
    <row r="835" spans="12:12" ht="15.75" customHeight="1" x14ac:dyDescent="0.2">
      <c r="L835" s="28"/>
    </row>
    <row r="836" spans="12:12" ht="15.75" customHeight="1" x14ac:dyDescent="0.2">
      <c r="L836" s="28"/>
    </row>
    <row r="837" spans="12:12" ht="15.75" customHeight="1" x14ac:dyDescent="0.2">
      <c r="L837" s="28"/>
    </row>
    <row r="838" spans="12:12" ht="15.75" customHeight="1" x14ac:dyDescent="0.2">
      <c r="L838" s="28"/>
    </row>
    <row r="839" spans="12:12" ht="15.75" customHeight="1" x14ac:dyDescent="0.2">
      <c r="L839" s="28"/>
    </row>
    <row r="840" spans="12:12" ht="15.75" customHeight="1" x14ac:dyDescent="0.2">
      <c r="L840" s="28"/>
    </row>
    <row r="841" spans="12:12" ht="15.75" customHeight="1" x14ac:dyDescent="0.2">
      <c r="L841" s="28"/>
    </row>
    <row r="842" spans="12:12" ht="15.75" customHeight="1" x14ac:dyDescent="0.2">
      <c r="L842" s="28"/>
    </row>
    <row r="843" spans="12:12" ht="15.75" customHeight="1" x14ac:dyDescent="0.2">
      <c r="L843" s="28"/>
    </row>
    <row r="844" spans="12:12" ht="15.75" customHeight="1" x14ac:dyDescent="0.2">
      <c r="L844" s="28"/>
    </row>
    <row r="845" spans="12:12" ht="15.75" customHeight="1" x14ac:dyDescent="0.2">
      <c r="L845" s="28"/>
    </row>
    <row r="846" spans="12:12" ht="15.75" customHeight="1" x14ac:dyDescent="0.2">
      <c r="L846" s="28"/>
    </row>
    <row r="847" spans="12:12" ht="15.75" customHeight="1" x14ac:dyDescent="0.2">
      <c r="L847" s="28"/>
    </row>
    <row r="848" spans="12:12" ht="15.75" customHeight="1" x14ac:dyDescent="0.2">
      <c r="L848" s="28"/>
    </row>
    <row r="849" spans="12:12" ht="15.75" customHeight="1" x14ac:dyDescent="0.2">
      <c r="L849" s="28"/>
    </row>
    <row r="850" spans="12:12" ht="15.75" customHeight="1" x14ac:dyDescent="0.2">
      <c r="L850" s="28"/>
    </row>
    <row r="851" spans="12:12" ht="15.75" customHeight="1" x14ac:dyDescent="0.2">
      <c r="L851" s="28"/>
    </row>
    <row r="852" spans="12:12" ht="15.75" customHeight="1" x14ac:dyDescent="0.2">
      <c r="L852" s="28"/>
    </row>
    <row r="853" spans="12:12" ht="15.75" customHeight="1" x14ac:dyDescent="0.2">
      <c r="L853" s="28"/>
    </row>
    <row r="854" spans="12:12" ht="15.75" customHeight="1" x14ac:dyDescent="0.2">
      <c r="L854" s="28"/>
    </row>
    <row r="855" spans="12:12" ht="15.75" customHeight="1" x14ac:dyDescent="0.2">
      <c r="L855" s="28"/>
    </row>
    <row r="856" spans="12:12" ht="15.75" customHeight="1" x14ac:dyDescent="0.2">
      <c r="L856" s="28"/>
    </row>
    <row r="857" spans="12:12" ht="15.75" customHeight="1" x14ac:dyDescent="0.2">
      <c r="L857" s="28"/>
    </row>
    <row r="858" spans="12:12" ht="15.75" customHeight="1" x14ac:dyDescent="0.2">
      <c r="L858" s="28"/>
    </row>
    <row r="859" spans="12:12" ht="15.75" customHeight="1" x14ac:dyDescent="0.2">
      <c r="L859" s="28"/>
    </row>
    <row r="860" spans="12:12" ht="15.75" customHeight="1" x14ac:dyDescent="0.2">
      <c r="L860" s="28"/>
    </row>
    <row r="861" spans="12:12" ht="15.75" customHeight="1" x14ac:dyDescent="0.2">
      <c r="L861" s="28"/>
    </row>
    <row r="862" spans="12:12" ht="15.75" customHeight="1" x14ac:dyDescent="0.2">
      <c r="L862" s="28"/>
    </row>
    <row r="863" spans="12:12" ht="15.75" customHeight="1" x14ac:dyDescent="0.2">
      <c r="L863" s="28"/>
    </row>
    <row r="864" spans="12:12" ht="15.75" customHeight="1" x14ac:dyDescent="0.2">
      <c r="L864" s="28"/>
    </row>
    <row r="865" spans="12:12" ht="15.75" customHeight="1" x14ac:dyDescent="0.2">
      <c r="L865" s="28"/>
    </row>
    <row r="866" spans="12:12" ht="15.75" customHeight="1" x14ac:dyDescent="0.2">
      <c r="L866" s="28"/>
    </row>
    <row r="867" spans="12:12" ht="15.75" customHeight="1" x14ac:dyDescent="0.2">
      <c r="L867" s="28"/>
    </row>
    <row r="868" spans="12:12" ht="15.75" customHeight="1" x14ac:dyDescent="0.2">
      <c r="L868" s="28"/>
    </row>
    <row r="869" spans="12:12" ht="15.75" customHeight="1" x14ac:dyDescent="0.2">
      <c r="L869" s="28"/>
    </row>
    <row r="870" spans="12:12" ht="15.75" customHeight="1" x14ac:dyDescent="0.2">
      <c r="L870" s="28"/>
    </row>
    <row r="871" spans="12:12" ht="15.75" customHeight="1" x14ac:dyDescent="0.2">
      <c r="L871" s="28"/>
    </row>
    <row r="872" spans="12:12" ht="15.75" customHeight="1" x14ac:dyDescent="0.2">
      <c r="L872" s="28"/>
    </row>
    <row r="873" spans="12:12" ht="15.75" customHeight="1" x14ac:dyDescent="0.2">
      <c r="L873" s="28"/>
    </row>
    <row r="874" spans="12:12" ht="15.75" customHeight="1" x14ac:dyDescent="0.2">
      <c r="L874" s="28"/>
    </row>
    <row r="875" spans="12:12" ht="15.75" customHeight="1" x14ac:dyDescent="0.2">
      <c r="L875" s="28"/>
    </row>
    <row r="876" spans="12:12" ht="15.75" customHeight="1" x14ac:dyDescent="0.2">
      <c r="L876" s="28"/>
    </row>
    <row r="877" spans="12:12" ht="15.75" customHeight="1" x14ac:dyDescent="0.2">
      <c r="L877" s="28"/>
    </row>
    <row r="878" spans="12:12" ht="15.75" customHeight="1" x14ac:dyDescent="0.2">
      <c r="L878" s="28"/>
    </row>
    <row r="879" spans="12:12" ht="15.75" customHeight="1" x14ac:dyDescent="0.2">
      <c r="L879" s="28"/>
    </row>
    <row r="880" spans="12:12" ht="15.75" customHeight="1" x14ac:dyDescent="0.2">
      <c r="L880" s="28"/>
    </row>
    <row r="881" spans="12:12" ht="15.75" customHeight="1" x14ac:dyDescent="0.2">
      <c r="L881" s="28"/>
    </row>
    <row r="882" spans="12:12" ht="15.75" customHeight="1" x14ac:dyDescent="0.2">
      <c r="L882" s="28"/>
    </row>
    <row r="883" spans="12:12" ht="15.75" customHeight="1" x14ac:dyDescent="0.2">
      <c r="L883" s="28"/>
    </row>
    <row r="884" spans="12:12" ht="15.75" customHeight="1" x14ac:dyDescent="0.2">
      <c r="L884" s="28"/>
    </row>
    <row r="885" spans="12:12" ht="15.75" customHeight="1" x14ac:dyDescent="0.2">
      <c r="L885" s="28"/>
    </row>
    <row r="886" spans="12:12" ht="15.75" customHeight="1" x14ac:dyDescent="0.2">
      <c r="L886" s="28"/>
    </row>
    <row r="887" spans="12:12" ht="15.75" customHeight="1" x14ac:dyDescent="0.2">
      <c r="L887" s="28"/>
    </row>
    <row r="888" spans="12:12" ht="15.75" customHeight="1" x14ac:dyDescent="0.2">
      <c r="L888" s="28"/>
    </row>
    <row r="889" spans="12:12" ht="15.75" customHeight="1" x14ac:dyDescent="0.2">
      <c r="L889" s="28"/>
    </row>
    <row r="890" spans="12:12" ht="15.75" customHeight="1" x14ac:dyDescent="0.2">
      <c r="L890" s="28"/>
    </row>
    <row r="891" spans="12:12" ht="15.75" customHeight="1" x14ac:dyDescent="0.2">
      <c r="L891" s="28"/>
    </row>
    <row r="892" spans="12:12" ht="15.75" customHeight="1" x14ac:dyDescent="0.2">
      <c r="L892" s="28"/>
    </row>
    <row r="893" spans="12:12" ht="15.75" customHeight="1" x14ac:dyDescent="0.2">
      <c r="L893" s="28"/>
    </row>
    <row r="894" spans="12:12" ht="15.75" customHeight="1" x14ac:dyDescent="0.2">
      <c r="L894" s="28"/>
    </row>
    <row r="895" spans="12:12" ht="15.75" customHeight="1" x14ac:dyDescent="0.2">
      <c r="L895" s="28"/>
    </row>
    <row r="896" spans="12:12" ht="15.75" customHeight="1" x14ac:dyDescent="0.2">
      <c r="L896" s="28"/>
    </row>
    <row r="897" spans="12:12" ht="15.75" customHeight="1" x14ac:dyDescent="0.2">
      <c r="L897" s="28"/>
    </row>
    <row r="898" spans="12:12" ht="15.75" customHeight="1" x14ac:dyDescent="0.2">
      <c r="L898" s="28"/>
    </row>
    <row r="899" spans="12:12" ht="15.75" customHeight="1" x14ac:dyDescent="0.2">
      <c r="L899" s="28"/>
    </row>
    <row r="900" spans="12:12" ht="15.75" customHeight="1" x14ac:dyDescent="0.2">
      <c r="L900" s="28"/>
    </row>
    <row r="901" spans="12:12" ht="15.75" customHeight="1" x14ac:dyDescent="0.2">
      <c r="L901" s="28"/>
    </row>
    <row r="902" spans="12:12" ht="15.75" customHeight="1" x14ac:dyDescent="0.2">
      <c r="L902" s="28"/>
    </row>
    <row r="903" spans="12:12" ht="15.75" customHeight="1" x14ac:dyDescent="0.2">
      <c r="L903" s="28"/>
    </row>
    <row r="904" spans="12:12" ht="15.75" customHeight="1" x14ac:dyDescent="0.2">
      <c r="L904" s="28"/>
    </row>
    <row r="905" spans="12:12" ht="15.75" customHeight="1" x14ac:dyDescent="0.2">
      <c r="L905" s="28"/>
    </row>
    <row r="906" spans="12:12" ht="15.75" customHeight="1" x14ac:dyDescent="0.2">
      <c r="L906" s="28"/>
    </row>
    <row r="907" spans="12:12" ht="15.75" customHeight="1" x14ac:dyDescent="0.2">
      <c r="L907" s="28"/>
    </row>
    <row r="908" spans="12:12" ht="15.75" customHeight="1" x14ac:dyDescent="0.2">
      <c r="L908" s="28"/>
    </row>
    <row r="909" spans="12:12" ht="15.75" customHeight="1" x14ac:dyDescent="0.2">
      <c r="L909" s="28"/>
    </row>
    <row r="910" spans="12:12" ht="15.75" customHeight="1" x14ac:dyDescent="0.2">
      <c r="L910" s="28"/>
    </row>
    <row r="911" spans="12:12" ht="15.75" customHeight="1" x14ac:dyDescent="0.2">
      <c r="L911" s="28"/>
    </row>
    <row r="912" spans="12:12" ht="15.75" customHeight="1" x14ac:dyDescent="0.2">
      <c r="L912" s="28"/>
    </row>
    <row r="913" spans="12:12" ht="15.75" customHeight="1" x14ac:dyDescent="0.2">
      <c r="L913" s="28"/>
    </row>
    <row r="914" spans="12:12" ht="15.75" customHeight="1" x14ac:dyDescent="0.2">
      <c r="L914" s="28"/>
    </row>
    <row r="915" spans="12:12" ht="15.75" customHeight="1" x14ac:dyDescent="0.2">
      <c r="L915" s="28"/>
    </row>
    <row r="916" spans="12:12" ht="15.75" customHeight="1" x14ac:dyDescent="0.2">
      <c r="L916" s="28"/>
    </row>
    <row r="917" spans="12:12" ht="15.75" customHeight="1" x14ac:dyDescent="0.2">
      <c r="L917" s="28"/>
    </row>
    <row r="918" spans="12:12" ht="15.75" customHeight="1" x14ac:dyDescent="0.2">
      <c r="L918" s="28"/>
    </row>
    <row r="919" spans="12:12" ht="15.75" customHeight="1" x14ac:dyDescent="0.2">
      <c r="L919" s="28"/>
    </row>
    <row r="920" spans="12:12" ht="15.75" customHeight="1" x14ac:dyDescent="0.2">
      <c r="L920" s="28"/>
    </row>
    <row r="921" spans="12:12" ht="15.75" customHeight="1" x14ac:dyDescent="0.2">
      <c r="L921" s="28"/>
    </row>
    <row r="922" spans="12:12" ht="15.75" customHeight="1" x14ac:dyDescent="0.2">
      <c r="L922" s="28"/>
    </row>
    <row r="923" spans="12:12" ht="15.75" customHeight="1" x14ac:dyDescent="0.2">
      <c r="L923" s="28"/>
    </row>
    <row r="924" spans="12:12" ht="15.75" customHeight="1" x14ac:dyDescent="0.2">
      <c r="L924" s="28"/>
    </row>
    <row r="925" spans="12:12" ht="15.75" customHeight="1" x14ac:dyDescent="0.2">
      <c r="L925" s="28"/>
    </row>
    <row r="926" spans="12:12" ht="15.75" customHeight="1" x14ac:dyDescent="0.2">
      <c r="L926" s="28"/>
    </row>
    <row r="927" spans="12:12" ht="15.75" customHeight="1" x14ac:dyDescent="0.2">
      <c r="L927" s="28"/>
    </row>
    <row r="928" spans="12:12" ht="15.75" customHeight="1" x14ac:dyDescent="0.2">
      <c r="L928" s="28"/>
    </row>
    <row r="929" spans="12:12" ht="15.75" customHeight="1" x14ac:dyDescent="0.2">
      <c r="L929" s="28"/>
    </row>
    <row r="930" spans="12:12" ht="15.75" customHeight="1" x14ac:dyDescent="0.2">
      <c r="L930" s="28"/>
    </row>
    <row r="931" spans="12:12" ht="15.75" customHeight="1" x14ac:dyDescent="0.2">
      <c r="L931" s="28"/>
    </row>
    <row r="932" spans="12:12" ht="15.75" customHeight="1" x14ac:dyDescent="0.2">
      <c r="L932" s="28"/>
    </row>
    <row r="933" spans="12:12" ht="15.75" customHeight="1" x14ac:dyDescent="0.2">
      <c r="L933" s="28"/>
    </row>
    <row r="934" spans="12:12" ht="15.75" customHeight="1" x14ac:dyDescent="0.2">
      <c r="L934" s="28"/>
    </row>
    <row r="935" spans="12:12" ht="15.75" customHeight="1" x14ac:dyDescent="0.2">
      <c r="L935" s="28"/>
    </row>
    <row r="936" spans="12:12" ht="15.75" customHeight="1" x14ac:dyDescent="0.2">
      <c r="L936" s="28"/>
    </row>
    <row r="937" spans="12:12" ht="15.75" customHeight="1" x14ac:dyDescent="0.2">
      <c r="L937" s="28"/>
    </row>
    <row r="938" spans="12:12" ht="15.75" customHeight="1" x14ac:dyDescent="0.2">
      <c r="L938" s="28"/>
    </row>
    <row r="939" spans="12:12" ht="15.75" customHeight="1" x14ac:dyDescent="0.2">
      <c r="L939" s="28"/>
    </row>
    <row r="940" spans="12:12" ht="15.75" customHeight="1" x14ac:dyDescent="0.2">
      <c r="L940" s="28"/>
    </row>
    <row r="941" spans="12:12" ht="15.75" customHeight="1" x14ac:dyDescent="0.2">
      <c r="L941" s="28"/>
    </row>
    <row r="942" spans="12:12" ht="15.75" customHeight="1" x14ac:dyDescent="0.2">
      <c r="L942" s="28"/>
    </row>
    <row r="943" spans="12:12" ht="15.75" customHeight="1" x14ac:dyDescent="0.2">
      <c r="L943" s="28"/>
    </row>
    <row r="944" spans="12:12" ht="15.75" customHeight="1" x14ac:dyDescent="0.2">
      <c r="L944" s="28"/>
    </row>
    <row r="945" spans="12:12" ht="15.75" customHeight="1" x14ac:dyDescent="0.2">
      <c r="L945" s="28"/>
    </row>
    <row r="946" spans="12:12" ht="15.75" customHeight="1" x14ac:dyDescent="0.2">
      <c r="L946" s="28"/>
    </row>
    <row r="947" spans="12:12" ht="15.75" customHeight="1" x14ac:dyDescent="0.2">
      <c r="L947" s="28"/>
    </row>
    <row r="948" spans="12:12" ht="15.75" customHeight="1" x14ac:dyDescent="0.2">
      <c r="L948" s="28"/>
    </row>
    <row r="949" spans="12:12" ht="15.75" customHeight="1" x14ac:dyDescent="0.2">
      <c r="L949" s="28"/>
    </row>
    <row r="950" spans="12:12" ht="15.75" customHeight="1" x14ac:dyDescent="0.2">
      <c r="L950" s="28"/>
    </row>
    <row r="951" spans="12:12" ht="15.75" customHeight="1" x14ac:dyDescent="0.2">
      <c r="L951" s="28"/>
    </row>
    <row r="952" spans="12:12" ht="15.75" customHeight="1" x14ac:dyDescent="0.2">
      <c r="L952" s="28"/>
    </row>
    <row r="953" spans="12:12" ht="15.75" customHeight="1" x14ac:dyDescent="0.2">
      <c r="L953" s="28"/>
    </row>
    <row r="954" spans="12:12" ht="15.75" customHeight="1" x14ac:dyDescent="0.2">
      <c r="L954" s="28"/>
    </row>
    <row r="955" spans="12:12" ht="15.75" customHeight="1" x14ac:dyDescent="0.2">
      <c r="L955" s="28"/>
    </row>
    <row r="956" spans="12:12" ht="15.75" customHeight="1" x14ac:dyDescent="0.2">
      <c r="L956" s="28"/>
    </row>
    <row r="957" spans="12:12" ht="15.75" customHeight="1" x14ac:dyDescent="0.2">
      <c r="L957" s="28"/>
    </row>
    <row r="958" spans="12:12" ht="15.75" customHeight="1" x14ac:dyDescent="0.2">
      <c r="L958" s="28"/>
    </row>
    <row r="959" spans="12:12" ht="15.75" customHeight="1" x14ac:dyDescent="0.2">
      <c r="L959" s="28"/>
    </row>
    <row r="960" spans="12:12" ht="15.75" customHeight="1" x14ac:dyDescent="0.2">
      <c r="L960" s="28"/>
    </row>
    <row r="961" spans="12:12" ht="15.75" customHeight="1" x14ac:dyDescent="0.2">
      <c r="L961" s="28"/>
    </row>
    <row r="962" spans="12:12" ht="15.75" customHeight="1" x14ac:dyDescent="0.2">
      <c r="L962" s="28"/>
    </row>
    <row r="963" spans="12:12" ht="15.75" customHeight="1" x14ac:dyDescent="0.2">
      <c r="L963" s="28"/>
    </row>
    <row r="964" spans="12:12" ht="15.75" customHeight="1" x14ac:dyDescent="0.2">
      <c r="L964" s="28"/>
    </row>
    <row r="965" spans="12:12" ht="15.75" customHeight="1" x14ac:dyDescent="0.2">
      <c r="L965" s="28"/>
    </row>
    <row r="966" spans="12:12" ht="15.75" customHeight="1" x14ac:dyDescent="0.2">
      <c r="L966" s="28"/>
    </row>
    <row r="967" spans="12:12" ht="15.75" customHeight="1" x14ac:dyDescent="0.2">
      <c r="L967" s="28"/>
    </row>
    <row r="968" spans="12:12" ht="15.75" customHeight="1" x14ac:dyDescent="0.2">
      <c r="L968" s="28"/>
    </row>
    <row r="969" spans="12:12" ht="15.75" customHeight="1" x14ac:dyDescent="0.2">
      <c r="L969" s="28"/>
    </row>
    <row r="970" spans="12:12" ht="15.75" customHeight="1" x14ac:dyDescent="0.2">
      <c r="L970" s="28"/>
    </row>
    <row r="971" spans="12:12" ht="15.75" customHeight="1" x14ac:dyDescent="0.2">
      <c r="L971" s="28"/>
    </row>
    <row r="972" spans="12:12" ht="15.75" customHeight="1" x14ac:dyDescent="0.2">
      <c r="L972" s="28"/>
    </row>
    <row r="973" spans="12:12" ht="15.75" customHeight="1" x14ac:dyDescent="0.2">
      <c r="L973" s="28"/>
    </row>
    <row r="974" spans="12:12" ht="15.75" customHeight="1" x14ac:dyDescent="0.2">
      <c r="L974" s="28"/>
    </row>
    <row r="975" spans="12:12" ht="15.75" customHeight="1" x14ac:dyDescent="0.2">
      <c r="L975" s="28"/>
    </row>
    <row r="976" spans="12:12" ht="15.75" customHeight="1" x14ac:dyDescent="0.2">
      <c r="L976" s="28"/>
    </row>
    <row r="977" spans="12:12" ht="15.75" customHeight="1" x14ac:dyDescent="0.2">
      <c r="L977" s="28"/>
    </row>
    <row r="978" spans="12:12" ht="15.75" customHeight="1" x14ac:dyDescent="0.2">
      <c r="L978" s="28"/>
    </row>
    <row r="979" spans="12:12" ht="15.75" customHeight="1" x14ac:dyDescent="0.2">
      <c r="L979" s="28"/>
    </row>
    <row r="980" spans="12:12" ht="15.75" customHeight="1" x14ac:dyDescent="0.2">
      <c r="L980" s="28"/>
    </row>
    <row r="981" spans="12:12" ht="15.75" customHeight="1" x14ac:dyDescent="0.2">
      <c r="L981" s="28"/>
    </row>
    <row r="982" spans="12:12" ht="15.75" customHeight="1" x14ac:dyDescent="0.2">
      <c r="L982" s="28"/>
    </row>
    <row r="983" spans="12:12" ht="15.75" customHeight="1" x14ac:dyDescent="0.2">
      <c r="L983" s="28"/>
    </row>
    <row r="984" spans="12:12" ht="15.75" customHeight="1" x14ac:dyDescent="0.2">
      <c r="L984" s="28"/>
    </row>
    <row r="985" spans="12:12" ht="15.75" customHeight="1" x14ac:dyDescent="0.2">
      <c r="L985" s="28"/>
    </row>
    <row r="986" spans="12:12" ht="15.75" customHeight="1" x14ac:dyDescent="0.2">
      <c r="L986" s="28"/>
    </row>
  </sheetData>
  <mergeCells count="2">
    <mergeCell ref="C271:D271"/>
    <mergeCell ref="C272:D272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836"/>
  <sheetViews>
    <sheetView workbookViewId="0">
      <selection activeCell="J90" sqref="I86:J90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9.1640625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1:13" ht="15.75" customHeight="1" x14ac:dyDescent="0.2">
      <c r="A1" s="19"/>
      <c r="B1" s="19"/>
      <c r="C1" s="19"/>
      <c r="D1" s="19"/>
      <c r="E1" s="19"/>
      <c r="F1" s="19"/>
      <c r="G1" s="19"/>
      <c r="H1" s="19"/>
      <c r="I1" s="19"/>
    </row>
    <row r="2" spans="1:13" ht="15.75" customHeight="1" x14ac:dyDescent="0.2">
      <c r="A2" s="26"/>
      <c r="B2" s="26"/>
      <c r="C2" s="26"/>
      <c r="D2" s="26"/>
      <c r="E2" s="26"/>
      <c r="F2" s="19"/>
      <c r="G2" s="19"/>
      <c r="H2" s="19"/>
      <c r="I2" s="19"/>
    </row>
    <row r="3" spans="1:13" ht="15.75" customHeight="1" x14ac:dyDescent="0.2">
      <c r="A3" s="26"/>
      <c r="B3" s="43"/>
      <c r="C3" s="43"/>
      <c r="D3" s="20"/>
      <c r="E3" s="20"/>
      <c r="F3" s="19"/>
      <c r="G3" s="19"/>
      <c r="H3" s="19"/>
      <c r="I3" s="19"/>
    </row>
    <row r="4" spans="1:13" ht="15.75" customHeight="1" x14ac:dyDescent="0.2">
      <c r="A4" s="26"/>
      <c r="B4" s="43"/>
      <c r="C4" s="43"/>
      <c r="D4" s="20"/>
      <c r="E4" s="20"/>
      <c r="F4" s="19"/>
      <c r="G4" s="19"/>
      <c r="H4" s="19"/>
      <c r="I4" s="19"/>
    </row>
    <row r="5" spans="1:13" ht="15.75" customHeight="1" x14ac:dyDescent="0.2">
      <c r="A5" s="26"/>
      <c r="B5" s="43"/>
      <c r="C5" s="43"/>
      <c r="D5" s="20"/>
      <c r="E5" s="20"/>
      <c r="F5" s="19"/>
      <c r="G5" s="19"/>
      <c r="H5" s="19"/>
      <c r="I5" s="19"/>
    </row>
    <row r="6" spans="1:13" ht="15.75" customHeight="1" x14ac:dyDescent="0.2">
      <c r="A6" s="26"/>
      <c r="B6" s="43"/>
      <c r="C6" s="43"/>
      <c r="D6" s="20"/>
      <c r="E6" s="20"/>
      <c r="F6" s="19"/>
      <c r="G6" s="19"/>
      <c r="H6" s="19"/>
      <c r="I6" s="19"/>
    </row>
    <row r="7" spans="1:13" ht="15.75" customHeight="1" x14ac:dyDescent="0.2">
      <c r="A7" s="26"/>
      <c r="B7" s="43"/>
      <c r="C7" s="43"/>
      <c r="D7" s="20"/>
      <c r="E7" s="20"/>
      <c r="F7" s="19"/>
      <c r="G7" s="19"/>
      <c r="H7" s="19"/>
      <c r="I7" s="19"/>
      <c r="L7" s="23"/>
      <c r="M7" s="23"/>
    </row>
    <row r="8" spans="1:13" ht="15.75" customHeight="1" x14ac:dyDescent="0.2">
      <c r="A8" s="26"/>
      <c r="B8" s="43"/>
      <c r="C8" s="19"/>
      <c r="D8" s="20"/>
      <c r="E8" s="20"/>
      <c r="F8" s="19"/>
      <c r="G8" s="19"/>
      <c r="H8" s="19"/>
      <c r="I8" s="19"/>
      <c r="L8" s="23"/>
      <c r="M8" s="23"/>
    </row>
    <row r="9" spans="1:13" ht="15.75" customHeight="1" x14ac:dyDescent="0.2">
      <c r="A9" s="45" t="s">
        <v>108</v>
      </c>
      <c r="B9" s="45" t="s">
        <v>109</v>
      </c>
      <c r="C9" s="45" t="s">
        <v>110</v>
      </c>
      <c r="D9" s="45" t="s">
        <v>76</v>
      </c>
      <c r="E9" s="20"/>
      <c r="F9" s="19"/>
      <c r="G9" s="19"/>
      <c r="H9" s="19"/>
      <c r="I9" s="19"/>
      <c r="L9" s="23"/>
      <c r="M9" s="23"/>
    </row>
    <row r="10" spans="1:13" ht="15.75" customHeight="1" x14ac:dyDescent="0.2">
      <c r="A10" s="45" t="s">
        <v>127</v>
      </c>
      <c r="B10" s="12">
        <v>7</v>
      </c>
      <c r="C10" s="12">
        <v>7</v>
      </c>
      <c r="D10" s="12">
        <v>14</v>
      </c>
      <c r="E10" s="20"/>
      <c r="F10" s="19"/>
      <c r="G10" s="19"/>
      <c r="H10" s="19"/>
      <c r="I10" s="19"/>
      <c r="L10" s="23"/>
      <c r="M10" s="23"/>
    </row>
    <row r="11" spans="1:13" ht="15.75" customHeight="1" x14ac:dyDescent="0.2">
      <c r="A11" s="45" t="s">
        <v>128</v>
      </c>
      <c r="B11" s="12">
        <v>15</v>
      </c>
      <c r="C11" s="12">
        <v>1</v>
      </c>
      <c r="D11" s="12">
        <v>16</v>
      </c>
      <c r="E11" s="20"/>
      <c r="F11" s="19"/>
      <c r="G11" s="19"/>
      <c r="H11" s="19"/>
      <c r="I11" s="19"/>
      <c r="L11" s="23"/>
      <c r="M11" s="23"/>
    </row>
    <row r="12" spans="1:13" ht="15.75" customHeight="1" x14ac:dyDescent="0.2">
      <c r="A12" s="45" t="s">
        <v>129</v>
      </c>
      <c r="B12" s="12">
        <v>7</v>
      </c>
      <c r="C12" s="12">
        <v>2</v>
      </c>
      <c r="D12" s="12">
        <v>9</v>
      </c>
      <c r="E12" s="20"/>
      <c r="F12" s="19"/>
      <c r="G12" s="19"/>
      <c r="H12" s="19"/>
      <c r="I12" s="19"/>
      <c r="L12" s="23"/>
    </row>
    <row r="13" spans="1:13" ht="15.75" customHeight="1" x14ac:dyDescent="0.2">
      <c r="A13" s="14" t="s">
        <v>76</v>
      </c>
      <c r="B13" s="13">
        <v>29</v>
      </c>
      <c r="C13" s="13">
        <v>10</v>
      </c>
      <c r="D13" s="13">
        <v>39</v>
      </c>
      <c r="E13" s="19"/>
      <c r="F13" s="19"/>
      <c r="G13" s="19"/>
      <c r="H13" s="19"/>
      <c r="I13" s="19"/>
    </row>
    <row r="14" spans="1:13" ht="15.75" customHeight="1" x14ac:dyDescent="0.2">
      <c r="A14" s="19"/>
      <c r="B14" s="19"/>
      <c r="C14" s="19"/>
      <c r="D14" s="19"/>
      <c r="E14" s="19"/>
      <c r="F14" s="19"/>
      <c r="G14" s="19"/>
      <c r="H14" s="19"/>
      <c r="I14" s="19"/>
    </row>
    <row r="15" spans="1:13" ht="15.75" customHeight="1" x14ac:dyDescent="0.2">
      <c r="A15" s="19"/>
      <c r="B15" s="19"/>
      <c r="C15" s="19"/>
      <c r="D15" s="19"/>
      <c r="E15" s="19"/>
      <c r="F15" s="19"/>
      <c r="G15" s="19"/>
      <c r="H15" s="46"/>
      <c r="I15" s="19"/>
    </row>
    <row r="16" spans="1:13" ht="15.75" customHeight="1" x14ac:dyDescent="0.2">
      <c r="A16" s="19"/>
      <c r="B16" s="19"/>
      <c r="C16" s="19"/>
      <c r="D16" s="19"/>
      <c r="E16" s="19"/>
      <c r="F16" s="19"/>
      <c r="G16" s="19"/>
      <c r="H16" s="46"/>
      <c r="I16" s="19"/>
      <c r="J16" s="19"/>
      <c r="K16" s="19"/>
      <c r="L16" s="19"/>
    </row>
    <row r="17" spans="1:12" ht="15.75" customHeight="1" x14ac:dyDescent="0.2">
      <c r="A17" s="19"/>
      <c r="B17" s="19"/>
      <c r="C17" s="19"/>
      <c r="D17" s="19"/>
      <c r="E17" s="19"/>
      <c r="F17" s="19"/>
      <c r="G17" s="19"/>
      <c r="H17" s="19"/>
      <c r="I17" s="19"/>
      <c r="J17" s="48"/>
      <c r="K17" s="48"/>
      <c r="L17" s="19"/>
    </row>
    <row r="18" spans="1:12" ht="15.75" customHeight="1" x14ac:dyDescent="0.2">
      <c r="A18" s="19"/>
      <c r="B18" s="19"/>
      <c r="C18" s="19"/>
      <c r="D18" s="19"/>
      <c r="E18" s="19"/>
      <c r="F18" s="19"/>
      <c r="G18" s="19"/>
      <c r="H18" s="46"/>
      <c r="I18" s="48"/>
      <c r="J18" s="48"/>
      <c r="K18" s="48"/>
      <c r="L18" s="19"/>
    </row>
    <row r="19" spans="1:12" ht="15.75" customHeight="1" x14ac:dyDescent="0.2">
      <c r="A19" s="19"/>
      <c r="B19" s="19"/>
      <c r="C19" s="19"/>
      <c r="D19" s="19"/>
      <c r="E19" s="19"/>
      <c r="F19" s="19"/>
      <c r="G19" s="19"/>
      <c r="J19" s="48"/>
      <c r="K19" s="48"/>
      <c r="L19" s="19"/>
    </row>
    <row r="20" spans="1:12" ht="15.75" customHeight="1" x14ac:dyDescent="0.2">
      <c r="A20" s="19"/>
      <c r="B20" s="19"/>
      <c r="C20" s="19"/>
      <c r="D20" s="19"/>
      <c r="E20" s="19"/>
      <c r="F20" s="19"/>
      <c r="G20" s="19"/>
      <c r="J20" s="48"/>
      <c r="K20" s="48"/>
      <c r="L20" s="19"/>
    </row>
    <row r="21" spans="1:12" ht="15.75" customHeight="1" x14ac:dyDescent="0.2">
      <c r="A21" s="19"/>
      <c r="B21" s="19"/>
      <c r="C21" s="19"/>
      <c r="D21" s="19"/>
      <c r="E21" s="19"/>
      <c r="F21" s="19"/>
      <c r="G21" s="19"/>
      <c r="L21" s="19"/>
    </row>
    <row r="22" spans="1:12" ht="15.75" customHeight="1" x14ac:dyDescent="0.2">
      <c r="A22" s="19"/>
      <c r="B22" s="19"/>
      <c r="C22" s="19"/>
      <c r="D22" s="19"/>
      <c r="E22" s="19"/>
      <c r="F22" s="19"/>
      <c r="G22" s="19"/>
      <c r="H22" s="21" t="s">
        <v>111</v>
      </c>
      <c r="I22" s="27">
        <f>D12/D13</f>
        <v>0.23076923076923078</v>
      </c>
      <c r="J22" s="48"/>
      <c r="K22" s="48"/>
      <c r="L22" s="19"/>
    </row>
    <row r="23" spans="1:12" ht="15.75" customHeight="1" x14ac:dyDescent="0.2">
      <c r="A23" s="19"/>
      <c r="B23" s="19"/>
      <c r="C23" s="19"/>
      <c r="D23" s="19"/>
      <c r="E23" s="19"/>
      <c r="F23" s="19"/>
      <c r="G23" s="19"/>
      <c r="H23" s="21" t="s">
        <v>112</v>
      </c>
      <c r="I23" s="50">
        <f>10/D13</f>
        <v>0.25641025641025639</v>
      </c>
      <c r="J23" s="48"/>
      <c r="K23" s="48"/>
      <c r="L23" s="19"/>
    </row>
    <row r="24" spans="1:12" ht="15.75" customHeight="1" x14ac:dyDescent="0.2">
      <c r="A24" s="19"/>
      <c r="B24" s="19"/>
      <c r="C24" s="19"/>
      <c r="D24" s="19"/>
      <c r="E24" s="19"/>
      <c r="F24" s="19"/>
      <c r="G24" s="19"/>
      <c r="H24" s="21" t="s">
        <v>113</v>
      </c>
      <c r="I24" s="50">
        <f>K24+J24</f>
        <v>0.76923076923076927</v>
      </c>
      <c r="J24" s="48">
        <f>B11/D13</f>
        <v>0.38461538461538464</v>
      </c>
      <c r="K24" s="48">
        <f>B11/D13</f>
        <v>0.38461538461538464</v>
      </c>
      <c r="L24" s="19"/>
    </row>
    <row r="25" spans="1:12" ht="15.75" customHeight="1" x14ac:dyDescent="0.2">
      <c r="A25" s="19"/>
      <c r="B25" s="19"/>
      <c r="C25" s="19"/>
      <c r="D25" s="19"/>
      <c r="E25" s="19"/>
      <c r="F25" s="19"/>
      <c r="G25" s="19"/>
      <c r="H25" s="21" t="s">
        <v>114</v>
      </c>
      <c r="I25" s="50">
        <f>C10/D13</f>
        <v>0.17948717948717949</v>
      </c>
      <c r="J25" s="48"/>
      <c r="K25" s="48"/>
      <c r="L25" s="19"/>
    </row>
    <row r="26" spans="1:12" ht="15.75" customHeight="1" x14ac:dyDescent="0.2">
      <c r="A26" s="19"/>
      <c r="B26" s="19"/>
      <c r="C26" s="19"/>
      <c r="D26" s="19"/>
      <c r="E26" s="19"/>
      <c r="F26" s="19"/>
      <c r="G26" s="19"/>
      <c r="H26" s="21" t="s">
        <v>115</v>
      </c>
      <c r="I26" s="50">
        <f>B12/B13</f>
        <v>0.2413793103448276</v>
      </c>
      <c r="J26" s="19"/>
      <c r="K26" s="19"/>
      <c r="L26" s="19"/>
    </row>
    <row r="27" spans="1:12" ht="15.75" customHeight="1" x14ac:dyDescent="0.2">
      <c r="A27" s="19"/>
      <c r="B27" s="19"/>
      <c r="C27" s="19"/>
      <c r="D27" s="19"/>
      <c r="E27" s="19"/>
      <c r="F27" s="19"/>
      <c r="G27" s="19"/>
      <c r="H27" s="21" t="s">
        <v>116</v>
      </c>
      <c r="I27" s="50">
        <f>C11/D11</f>
        <v>6.25E-2</v>
      </c>
      <c r="J27" s="48"/>
      <c r="K27" s="48"/>
      <c r="L27" s="19"/>
    </row>
    <row r="28" spans="1:12" ht="15.75" customHeight="1" x14ac:dyDescent="0.2">
      <c r="A28" s="19"/>
      <c r="B28" s="19"/>
      <c r="C28" s="19"/>
      <c r="D28" s="19"/>
      <c r="E28" s="19"/>
      <c r="F28" s="19"/>
      <c r="G28" s="19"/>
      <c r="L28" s="19"/>
    </row>
    <row r="29" spans="1:12" ht="15.75" customHeight="1" x14ac:dyDescent="0.2">
      <c r="A29" s="26"/>
      <c r="B29" s="26"/>
      <c r="C29" s="26"/>
      <c r="D29" s="26"/>
      <c r="E29" s="26"/>
      <c r="F29" s="19"/>
      <c r="G29" s="19"/>
      <c r="L29" s="19"/>
    </row>
    <row r="30" spans="1:12" ht="15.75" customHeight="1" x14ac:dyDescent="0.2">
      <c r="A30" s="26"/>
      <c r="B30" s="43"/>
      <c r="C30" s="43"/>
      <c r="D30" s="44"/>
      <c r="E30" s="20"/>
      <c r="F30" s="19"/>
      <c r="G30" s="19"/>
      <c r="L30" s="19"/>
    </row>
    <row r="31" spans="1:12" ht="15.75" customHeight="1" x14ac:dyDescent="0.2">
      <c r="A31" s="26"/>
      <c r="B31" s="43"/>
      <c r="C31" s="43"/>
      <c r="D31" s="44"/>
      <c r="E31" s="20"/>
      <c r="F31" s="19"/>
      <c r="G31" s="19"/>
      <c r="H31" s="46"/>
      <c r="I31" s="48"/>
      <c r="J31" s="48"/>
      <c r="K31" s="48"/>
      <c r="L31" s="19"/>
    </row>
    <row r="32" spans="1:12" ht="15.75" customHeight="1" x14ac:dyDescent="0.2">
      <c r="A32" s="26"/>
      <c r="B32" s="43"/>
      <c r="C32" s="43"/>
      <c r="D32" s="44"/>
      <c r="E32" s="20"/>
      <c r="F32" s="19"/>
      <c r="G32" s="19"/>
      <c r="H32" s="46"/>
      <c r="I32" s="48"/>
      <c r="J32" s="48"/>
      <c r="K32" s="48"/>
      <c r="L32" s="19"/>
    </row>
    <row r="33" spans="1:12" ht="15.75" customHeight="1" x14ac:dyDescent="0.2">
      <c r="A33" s="26"/>
      <c r="B33" s="43"/>
      <c r="C33" s="43"/>
      <c r="D33" s="44"/>
      <c r="E33" s="20"/>
      <c r="F33" s="19"/>
      <c r="G33" s="19"/>
      <c r="H33" s="19"/>
      <c r="I33" s="19"/>
      <c r="J33" s="19"/>
      <c r="K33" s="19"/>
      <c r="L33" s="19"/>
    </row>
    <row r="34" spans="1:12" ht="15.75" customHeight="1" x14ac:dyDescent="0.2">
      <c r="A34" s="26"/>
      <c r="B34" s="43"/>
      <c r="C34" s="43"/>
      <c r="D34" s="44"/>
      <c r="E34" s="20"/>
      <c r="F34" s="19"/>
      <c r="G34" s="19"/>
      <c r="H34" s="46"/>
      <c r="I34" s="48"/>
      <c r="J34" s="48"/>
      <c r="K34" s="48"/>
      <c r="L34" s="19"/>
    </row>
    <row r="35" spans="1:12" ht="15.75" customHeight="1" x14ac:dyDescent="0.2">
      <c r="A35" s="26"/>
      <c r="B35" s="43"/>
      <c r="C35" s="19"/>
      <c r="D35" s="44"/>
      <c r="E35" s="20"/>
      <c r="F35" s="19"/>
      <c r="G35" s="19"/>
      <c r="H35" s="46"/>
      <c r="I35" s="48"/>
      <c r="J35" s="48"/>
      <c r="K35" s="48"/>
      <c r="L35" s="19"/>
    </row>
    <row r="36" spans="1:12" ht="15.75" customHeight="1" x14ac:dyDescent="0.2">
      <c r="A36" s="19"/>
      <c r="B36" s="19"/>
      <c r="C36" s="19"/>
      <c r="D36" s="19"/>
      <c r="E36" s="19"/>
      <c r="F36" s="19"/>
      <c r="G36" s="19"/>
      <c r="H36" s="46"/>
      <c r="I36" s="48"/>
      <c r="J36" s="48"/>
      <c r="K36" s="48"/>
      <c r="L36" s="19"/>
    </row>
    <row r="37" spans="1:12" ht="15.75" customHeight="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</row>
    <row r="38" spans="1:12" ht="15.75" customHeight="1" x14ac:dyDescent="0.2">
      <c r="A38" s="19"/>
      <c r="B38" s="19"/>
      <c r="C38" s="19"/>
      <c r="D38" s="19"/>
      <c r="E38" s="19"/>
      <c r="F38" s="19"/>
      <c r="G38" s="19"/>
      <c r="H38" s="46"/>
      <c r="I38" s="48"/>
      <c r="J38" s="48"/>
      <c r="K38" s="48"/>
      <c r="L38" s="19"/>
    </row>
    <row r="39" spans="1:12" ht="15.75" customHeight="1" x14ac:dyDescent="0.2">
      <c r="H39" s="46"/>
      <c r="I39" s="48"/>
      <c r="J39" s="48"/>
      <c r="K39" s="48"/>
      <c r="L39" s="19"/>
    </row>
    <row r="40" spans="1:12" ht="15.75" customHeight="1" x14ac:dyDescent="0.2">
      <c r="H40" s="47"/>
      <c r="I40" s="49"/>
      <c r="J40" s="49"/>
      <c r="K40" s="49"/>
    </row>
    <row r="41" spans="1:12" ht="15.75" customHeight="1" x14ac:dyDescent="0.2">
      <c r="H41" s="47"/>
      <c r="I41" s="49"/>
      <c r="J41" s="49"/>
      <c r="K41" s="49"/>
    </row>
    <row r="42" spans="1:12" ht="15.75" customHeight="1" x14ac:dyDescent="0.2"/>
    <row r="43" spans="1:12" ht="15.75" customHeight="1" x14ac:dyDescent="0.2"/>
    <row r="44" spans="1:12" ht="15.75" customHeight="1" x14ac:dyDescent="0.2"/>
    <row r="45" spans="1:12" ht="15.75" customHeight="1" x14ac:dyDescent="0.2"/>
    <row r="46" spans="1:12" ht="15.75" customHeight="1" x14ac:dyDescent="0.2"/>
    <row r="47" spans="1:12" ht="15.75" customHeight="1" x14ac:dyDescent="0.2">
      <c r="F47" s="51" t="s">
        <v>117</v>
      </c>
      <c r="G47" s="51" t="s">
        <v>118</v>
      </c>
    </row>
    <row r="48" spans="1:12" ht="15.75" customHeight="1" x14ac:dyDescent="0.2">
      <c r="F48" s="52">
        <f>C13/D13</f>
        <v>0.25641025641025639</v>
      </c>
      <c r="G48" s="52">
        <f>B13/D13</f>
        <v>0.74358974358974361</v>
      </c>
    </row>
    <row r="49" spans="6:8" ht="15.75" customHeight="1" x14ac:dyDescent="0.2">
      <c r="F49" s="52">
        <f>C10/D13</f>
        <v>0.17948717948717949</v>
      </c>
      <c r="G49" s="52">
        <f>B10/D13</f>
        <v>0.17948717948717949</v>
      </c>
    </row>
    <row r="50" spans="6:8" ht="15.75" customHeight="1" x14ac:dyDescent="0.2">
      <c r="F50" s="52">
        <f>C11/D13</f>
        <v>2.564102564102564E-2</v>
      </c>
      <c r="G50" s="52">
        <f>B11/D13</f>
        <v>0.38461538461538464</v>
      </c>
    </row>
    <row r="51" spans="6:8" ht="15.75" customHeight="1" x14ac:dyDescent="0.2">
      <c r="F51" s="52">
        <f>C12/D13</f>
        <v>5.128205128205128E-2</v>
      </c>
      <c r="G51" s="52">
        <f>B12/D13</f>
        <v>0.17948717948717949</v>
      </c>
    </row>
    <row r="52" spans="6:8" ht="15.75" customHeight="1" x14ac:dyDescent="0.2"/>
    <row r="53" spans="6:8" ht="15.75" customHeight="1" x14ac:dyDescent="0.2"/>
    <row r="54" spans="6:8" ht="15.75" customHeight="1" x14ac:dyDescent="0.2"/>
    <row r="55" spans="6:8" ht="15.75" customHeight="1" x14ac:dyDescent="0.2"/>
    <row r="56" spans="6:8" ht="15.75" customHeight="1" x14ac:dyDescent="0.2"/>
    <row r="57" spans="6:8" ht="15.75" customHeight="1" x14ac:dyDescent="0.2">
      <c r="H57" s="49"/>
    </row>
    <row r="58" spans="6:8" ht="15.75" customHeight="1" x14ac:dyDescent="0.2">
      <c r="H58" s="49"/>
    </row>
    <row r="59" spans="6:8" ht="15.75" customHeight="1" x14ac:dyDescent="0.2">
      <c r="H59" s="49"/>
    </row>
    <row r="60" spans="6:8" ht="15.75" customHeight="1" x14ac:dyDescent="0.2"/>
    <row r="61" spans="6:8" ht="15.75" customHeight="1" x14ac:dyDescent="0.2"/>
    <row r="62" spans="6:8" ht="15.75" customHeight="1" x14ac:dyDescent="0.2"/>
    <row r="63" spans="6:8" ht="15.75" customHeight="1" x14ac:dyDescent="0.2"/>
    <row r="64" spans="6:8" ht="15.75" customHeight="1" x14ac:dyDescent="0.2"/>
    <row r="65" spans="1:4" ht="15.75" customHeight="1" x14ac:dyDescent="0.2"/>
    <row r="66" spans="1:4" ht="15.75" customHeight="1" x14ac:dyDescent="0.2"/>
    <row r="67" spans="1:4" ht="15.75" customHeight="1" x14ac:dyDescent="0.2"/>
    <row r="68" spans="1:4" ht="15.75" customHeight="1" x14ac:dyDescent="0.2"/>
    <row r="69" spans="1:4" ht="15.75" customHeight="1" x14ac:dyDescent="0.2"/>
    <row r="70" spans="1:4" ht="15.75" customHeight="1" x14ac:dyDescent="0.2">
      <c r="A70" s="13" t="s">
        <v>75</v>
      </c>
      <c r="B70" s="13" t="s">
        <v>119</v>
      </c>
      <c r="C70" s="13" t="s">
        <v>120</v>
      </c>
      <c r="D70" s="13" t="s">
        <v>76</v>
      </c>
    </row>
    <row r="71" spans="1:4" ht="15.75" customHeight="1" x14ac:dyDescent="0.2">
      <c r="A71" s="13" t="s">
        <v>121</v>
      </c>
      <c r="B71" s="42">
        <v>67289</v>
      </c>
      <c r="C71" s="42">
        <v>7106</v>
      </c>
      <c r="D71" s="42">
        <f>SUM(B71:C71)</f>
        <v>74395</v>
      </c>
    </row>
    <row r="72" spans="1:4" ht="15.75" customHeight="1" x14ac:dyDescent="0.2">
      <c r="A72" s="13" t="s">
        <v>122</v>
      </c>
      <c r="B72" s="42">
        <v>21816</v>
      </c>
      <c r="C72" s="42">
        <v>8717</v>
      </c>
      <c r="D72" s="42">
        <f t="shared" ref="D72:D76" si="0">SUM(B72:C72)</f>
        <v>30533</v>
      </c>
    </row>
    <row r="73" spans="1:4" ht="15.75" customHeight="1" x14ac:dyDescent="0.2">
      <c r="A73" s="13" t="s">
        <v>123</v>
      </c>
      <c r="B73" s="42">
        <v>29890</v>
      </c>
      <c r="C73" s="42">
        <v>11193</v>
      </c>
      <c r="D73" s="42">
        <f t="shared" si="0"/>
        <v>41083</v>
      </c>
    </row>
    <row r="74" spans="1:4" ht="15.75" customHeight="1" x14ac:dyDescent="0.2">
      <c r="A74" s="13" t="s">
        <v>124</v>
      </c>
      <c r="B74" s="42">
        <v>31362</v>
      </c>
      <c r="C74" s="42">
        <v>8543</v>
      </c>
      <c r="D74" s="42">
        <f t="shared" si="0"/>
        <v>39905</v>
      </c>
    </row>
    <row r="75" spans="1:4" ht="15.75" customHeight="1" x14ac:dyDescent="0.2">
      <c r="A75" s="13" t="s">
        <v>125</v>
      </c>
      <c r="B75" s="42">
        <v>67855</v>
      </c>
      <c r="C75" s="42">
        <v>13982</v>
      </c>
      <c r="D75" s="42">
        <f t="shared" si="0"/>
        <v>81837</v>
      </c>
    </row>
    <row r="76" spans="1:4" ht="15.75" customHeight="1" x14ac:dyDescent="0.2">
      <c r="A76" s="13" t="s">
        <v>126</v>
      </c>
      <c r="B76" s="42">
        <v>38036</v>
      </c>
      <c r="C76" s="13">
        <v>759</v>
      </c>
      <c r="D76" s="42">
        <f t="shared" si="0"/>
        <v>38795</v>
      </c>
    </row>
    <row r="77" spans="1:4" ht="15.75" customHeight="1" x14ac:dyDescent="0.2">
      <c r="A77" s="13" t="s">
        <v>76</v>
      </c>
      <c r="B77" s="53">
        <f>SUM(B71:B76)</f>
        <v>256248</v>
      </c>
      <c r="C77" s="53">
        <f>SUM(C71:C76)</f>
        <v>50300</v>
      </c>
      <c r="D77" s="53">
        <f>SUM(D71:D76)</f>
        <v>306548</v>
      </c>
    </row>
    <row r="78" spans="1:4" ht="15.75" customHeight="1" x14ac:dyDescent="0.2"/>
    <row r="79" spans="1:4" ht="15.75" customHeight="1" x14ac:dyDescent="0.2"/>
    <row r="80" spans="1:4" ht="15.75" customHeight="1" x14ac:dyDescent="0.2"/>
    <row r="81" spans="8:13" ht="15.75" customHeight="1" x14ac:dyDescent="0.2">
      <c r="H81" s="14" t="s">
        <v>111</v>
      </c>
      <c r="I81" s="54">
        <f>C72/D77</f>
        <v>2.8436003497005362E-2</v>
      </c>
    </row>
    <row r="82" spans="8:13" ht="15.75" customHeight="1" x14ac:dyDescent="0.2">
      <c r="H82" s="14" t="s">
        <v>112</v>
      </c>
      <c r="I82" s="54">
        <f>J82+K82</f>
        <v>0.17053120555345327</v>
      </c>
      <c r="J82">
        <f>C73/D77</f>
        <v>3.6513042003209935E-2</v>
      </c>
      <c r="K82">
        <f>D73/D77</f>
        <v>0.13401816355024335</v>
      </c>
      <c r="L82">
        <f>C77/D77</f>
        <v>0.16408523298145805</v>
      </c>
      <c r="M82">
        <f>D73/C77</f>
        <v>0.8167594433399602</v>
      </c>
    </row>
    <row r="83" spans="8:13" ht="15.75" customHeight="1" x14ac:dyDescent="0.2">
      <c r="H83" s="14" t="s">
        <v>113</v>
      </c>
      <c r="I83" s="54">
        <f>B76/D76</f>
        <v>0.98043562314731281</v>
      </c>
    </row>
    <row r="84" spans="8:13" ht="15.75" customHeight="1" x14ac:dyDescent="0.2"/>
    <row r="85" spans="8:13" ht="15.75" customHeight="1" x14ac:dyDescent="0.2"/>
    <row r="86" spans="8:13" ht="15.75" customHeight="1" x14ac:dyDescent="0.2"/>
    <row r="87" spans="8:13" ht="15.75" customHeight="1" x14ac:dyDescent="0.2">
      <c r="J87" s="9"/>
    </row>
    <row r="88" spans="8:13" ht="15.75" customHeight="1" x14ac:dyDescent="0.2"/>
    <row r="89" spans="8:13" ht="15.75" customHeight="1" x14ac:dyDescent="0.2"/>
    <row r="90" spans="8:13" ht="15.75" customHeight="1" x14ac:dyDescent="0.2"/>
    <row r="91" spans="8:13" ht="15.75" customHeight="1" x14ac:dyDescent="0.2"/>
    <row r="92" spans="8:13" ht="15.75" customHeight="1" x14ac:dyDescent="0.2"/>
    <row r="93" spans="8:13" ht="15.75" customHeight="1" x14ac:dyDescent="0.2"/>
    <row r="94" spans="8:13" ht="15.75" customHeight="1" x14ac:dyDescent="0.2"/>
    <row r="95" spans="8:13" ht="15.75" customHeight="1" x14ac:dyDescent="0.2"/>
    <row r="96" spans="8:13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</sheetData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21"/>
  <sheetViews>
    <sheetView topLeftCell="A2" workbookViewId="0">
      <selection activeCell="D54" sqref="D54"/>
    </sheetView>
  </sheetViews>
  <sheetFormatPr baseColWidth="10" defaultRowHeight="16" x14ac:dyDescent="0.2"/>
  <cols>
    <col min="1" max="3" width="25.1640625" style="62" customWidth="1"/>
    <col min="4" max="5" width="25.1640625" style="63" customWidth="1"/>
    <col min="6" max="7" width="25.1640625" style="62" customWidth="1"/>
    <col min="8" max="16384" width="10.83203125" style="62"/>
  </cols>
  <sheetData>
    <row r="1" spans="1:8" ht="25" x14ac:dyDescent="0.25">
      <c r="A1" s="150" t="s">
        <v>156</v>
      </c>
      <c r="B1" s="150"/>
      <c r="C1" s="150"/>
      <c r="D1" s="150"/>
      <c r="E1" s="150"/>
      <c r="F1" s="150"/>
      <c r="G1" s="150"/>
      <c r="H1" s="66"/>
    </row>
    <row r="2" spans="1:8" x14ac:dyDescent="0.2">
      <c r="H2" s="66"/>
    </row>
    <row r="3" spans="1:8" x14ac:dyDescent="0.2">
      <c r="A3" s="89" t="s">
        <v>220</v>
      </c>
      <c r="B3" s="89" t="s">
        <v>5</v>
      </c>
      <c r="C3" s="89" t="s">
        <v>77</v>
      </c>
      <c r="D3" s="88" t="s">
        <v>35</v>
      </c>
      <c r="E3" s="88" t="s">
        <v>133</v>
      </c>
      <c r="F3" s="66"/>
      <c r="G3" s="67"/>
      <c r="H3" s="66"/>
    </row>
    <row r="4" spans="1:8" x14ac:dyDescent="0.2">
      <c r="A4" s="68">
        <v>0</v>
      </c>
      <c r="B4" s="68">
        <v>61</v>
      </c>
      <c r="C4" s="94">
        <f>B4/$B$9</f>
        <v>0.48799999999999999</v>
      </c>
      <c r="D4" s="104">
        <f>A4*C4</f>
        <v>0</v>
      </c>
      <c r="E4" s="104">
        <f>((A4-$D$9)^2)*C4</f>
        <v>0.44227635200000004</v>
      </c>
      <c r="F4" s="66"/>
      <c r="G4" s="67"/>
      <c r="H4" s="66"/>
    </row>
    <row r="5" spans="1:8" x14ac:dyDescent="0.2">
      <c r="A5" s="68">
        <v>1</v>
      </c>
      <c r="B5" s="68">
        <v>35</v>
      </c>
      <c r="C5" s="94">
        <f t="shared" ref="C5:C8" si="0">B5/$B$9</f>
        <v>0.28000000000000003</v>
      </c>
      <c r="D5" s="104">
        <f t="shared" ref="D5:D8" si="1">A5*C5</f>
        <v>0.28000000000000003</v>
      </c>
      <c r="E5" s="104">
        <f t="shared" ref="E5:E8" si="2">((A5-$D$9)^2)*C5</f>
        <v>6.4511999999999827E-4</v>
      </c>
      <c r="F5" s="66"/>
      <c r="G5" s="66"/>
      <c r="H5" s="66"/>
    </row>
    <row r="6" spans="1:8" x14ac:dyDescent="0.2">
      <c r="A6" s="68">
        <v>2</v>
      </c>
      <c r="B6" s="68">
        <v>10</v>
      </c>
      <c r="C6" s="94">
        <f t="shared" si="0"/>
        <v>0.08</v>
      </c>
      <c r="D6" s="104">
        <f t="shared" si="1"/>
        <v>0.16</v>
      </c>
      <c r="E6" s="104">
        <f t="shared" si="2"/>
        <v>8.786432000000001E-2</v>
      </c>
      <c r="F6" s="66"/>
      <c r="G6" s="66"/>
      <c r="H6" s="66"/>
    </row>
    <row r="7" spans="1:8" x14ac:dyDescent="0.2">
      <c r="A7" s="68">
        <v>3</v>
      </c>
      <c r="B7" s="68">
        <v>12</v>
      </c>
      <c r="C7" s="94">
        <f t="shared" si="0"/>
        <v>9.6000000000000002E-2</v>
      </c>
      <c r="D7" s="104">
        <f t="shared" si="1"/>
        <v>0.28800000000000003</v>
      </c>
      <c r="E7" s="104">
        <f t="shared" si="2"/>
        <v>0.402653184</v>
      </c>
      <c r="F7" s="66"/>
      <c r="G7" s="69"/>
      <c r="H7" s="66"/>
    </row>
    <row r="8" spans="1:8" x14ac:dyDescent="0.2">
      <c r="A8" s="68">
        <v>4</v>
      </c>
      <c r="B8" s="68">
        <v>7</v>
      </c>
      <c r="C8" s="94">
        <f t="shared" si="0"/>
        <v>5.6000000000000001E-2</v>
      </c>
      <c r="D8" s="104">
        <f t="shared" si="1"/>
        <v>0.224</v>
      </c>
      <c r="E8" s="104">
        <f t="shared" si="2"/>
        <v>0.52025702400000007</v>
      </c>
      <c r="F8" s="66"/>
      <c r="G8" s="69"/>
      <c r="H8" s="66"/>
    </row>
    <row r="9" spans="1:8" x14ac:dyDescent="0.2">
      <c r="A9" s="66"/>
      <c r="B9" s="103">
        <f>SUM(B4:B8)</f>
        <v>125</v>
      </c>
      <c r="C9" s="103">
        <f t="shared" ref="C9" si="3">SUM(C4:C8)</f>
        <v>1</v>
      </c>
      <c r="D9" s="104">
        <f>SUM(D4:D8)</f>
        <v>0.95200000000000007</v>
      </c>
      <c r="E9" s="104">
        <f>SQRT(SUM(E4:E8))</f>
        <v>1.2056931616294422</v>
      </c>
      <c r="F9" s="66"/>
      <c r="G9" s="69"/>
      <c r="H9" s="66"/>
    </row>
    <row r="10" spans="1:8" x14ac:dyDescent="0.2">
      <c r="B10" s="76"/>
      <c r="C10" s="76"/>
      <c r="D10" s="77"/>
      <c r="E10" s="77"/>
      <c r="F10" s="66"/>
      <c r="G10" s="69"/>
      <c r="H10" s="66"/>
    </row>
    <row r="11" spans="1:8" x14ac:dyDescent="0.2">
      <c r="B11" s="76"/>
      <c r="C11" s="76"/>
      <c r="D11" s="77"/>
      <c r="E11" s="77"/>
      <c r="F11" s="66"/>
      <c r="G11" s="69"/>
      <c r="H11" s="66"/>
    </row>
    <row r="12" spans="1:8" x14ac:dyDescent="0.2">
      <c r="B12" s="76"/>
      <c r="C12" s="76"/>
      <c r="D12" s="77"/>
      <c r="E12" s="77"/>
      <c r="F12" s="66"/>
      <c r="G12" s="69"/>
      <c r="H12" s="66"/>
    </row>
    <row r="13" spans="1:8" x14ac:dyDescent="0.2">
      <c r="B13" s="76"/>
      <c r="C13" s="76"/>
      <c r="D13" s="77"/>
      <c r="E13" s="77"/>
      <c r="F13" s="66"/>
      <c r="G13" s="69"/>
      <c r="H13" s="66"/>
    </row>
    <row r="14" spans="1:8" ht="25" x14ac:dyDescent="0.25">
      <c r="A14" s="150" t="s">
        <v>155</v>
      </c>
      <c r="B14" s="150"/>
      <c r="C14" s="150"/>
      <c r="D14" s="150"/>
      <c r="E14" s="150"/>
      <c r="F14" s="150"/>
      <c r="G14" s="150"/>
      <c r="H14" s="66"/>
    </row>
    <row r="15" spans="1:8" x14ac:dyDescent="0.2">
      <c r="B15" s="76"/>
      <c r="C15" s="76"/>
      <c r="D15" s="77"/>
      <c r="E15" s="77"/>
      <c r="F15" s="66"/>
      <c r="G15" s="69"/>
      <c r="H15" s="66"/>
    </row>
    <row r="16" spans="1:8" x14ac:dyDescent="0.2">
      <c r="A16" s="92" t="s">
        <v>152</v>
      </c>
      <c r="B16" s="70">
        <v>20</v>
      </c>
      <c r="C16" s="76"/>
      <c r="D16" s="77"/>
      <c r="E16" s="77"/>
      <c r="F16" s="66"/>
      <c r="G16" s="69"/>
      <c r="H16" s="66"/>
    </row>
    <row r="17" spans="1:8" x14ac:dyDescent="0.2">
      <c r="A17" s="92" t="s">
        <v>153</v>
      </c>
      <c r="B17" s="78">
        <v>42</v>
      </c>
      <c r="C17" s="76"/>
      <c r="D17" s="77"/>
      <c r="E17" s="77"/>
      <c r="F17" s="66"/>
      <c r="G17" s="69"/>
      <c r="H17" s="66"/>
    </row>
    <row r="18" spans="1:8" x14ac:dyDescent="0.2">
      <c r="A18" s="92" t="s">
        <v>163</v>
      </c>
      <c r="B18" s="104">
        <f>1/(B17-B16)</f>
        <v>4.5454545454545456E-2</v>
      </c>
      <c r="C18" s="76"/>
      <c r="D18" s="77"/>
      <c r="E18" s="77"/>
      <c r="F18" s="66"/>
      <c r="G18" s="69"/>
      <c r="H18" s="66"/>
    </row>
    <row r="19" spans="1:8" x14ac:dyDescent="0.2">
      <c r="A19" s="92" t="s">
        <v>74</v>
      </c>
      <c r="B19" s="133">
        <f>(B17+B16)/2</f>
        <v>31</v>
      </c>
      <c r="C19" s="76"/>
      <c r="D19" s="77"/>
      <c r="E19" s="77"/>
      <c r="F19" s="66"/>
      <c r="G19" s="69"/>
      <c r="H19" s="66"/>
    </row>
    <row r="20" spans="1:8" x14ac:dyDescent="0.2">
      <c r="A20" s="92" t="s">
        <v>135</v>
      </c>
      <c r="B20" s="133">
        <f>(B17-B16)/SQRT(12)</f>
        <v>6.3508529610858835</v>
      </c>
      <c r="C20" s="76"/>
      <c r="D20" s="77"/>
      <c r="E20" s="77"/>
      <c r="F20" s="66"/>
      <c r="G20" s="69"/>
      <c r="H20" s="66"/>
    </row>
    <row r="21" spans="1:8" x14ac:dyDescent="0.2">
      <c r="B21" s="76"/>
      <c r="C21" s="77"/>
      <c r="D21" s="77"/>
      <c r="E21" s="77"/>
      <c r="F21" s="66"/>
      <c r="G21" s="69"/>
      <c r="H21" s="66"/>
    </row>
    <row r="22" spans="1:8" x14ac:dyDescent="0.2">
      <c r="A22" s="89" t="s">
        <v>148</v>
      </c>
      <c r="B22" s="89" t="s">
        <v>146</v>
      </c>
      <c r="C22" s="89" t="s">
        <v>150</v>
      </c>
      <c r="D22" s="77"/>
      <c r="E22" s="89" t="s">
        <v>161</v>
      </c>
      <c r="F22" s="89" t="s">
        <v>164</v>
      </c>
      <c r="G22" s="69"/>
      <c r="H22" s="66"/>
    </row>
    <row r="23" spans="1:8" x14ac:dyDescent="0.2">
      <c r="A23" s="92" t="s">
        <v>222</v>
      </c>
      <c r="B23" s="70">
        <v>24</v>
      </c>
      <c r="C23" s="95">
        <f>$B$18*0</f>
        <v>0</v>
      </c>
      <c r="D23" s="77"/>
      <c r="E23" s="68">
        <v>70</v>
      </c>
      <c r="F23" s="93">
        <f>((E23/100)/B18) + B16</f>
        <v>35.4</v>
      </c>
      <c r="G23" s="69"/>
      <c r="H23" s="66"/>
    </row>
    <row r="24" spans="1:8" x14ac:dyDescent="0.2">
      <c r="A24" s="96" t="s">
        <v>225</v>
      </c>
      <c r="B24" s="70">
        <v>31</v>
      </c>
      <c r="C24" s="95">
        <f>$B$18*(B24-B16)</f>
        <v>0.5</v>
      </c>
      <c r="F24" s="66"/>
      <c r="G24" s="69"/>
      <c r="H24" s="66"/>
    </row>
    <row r="25" spans="1:8" x14ac:dyDescent="0.2">
      <c r="A25" s="92" t="s">
        <v>221</v>
      </c>
      <c r="B25" s="70">
        <v>28</v>
      </c>
      <c r="C25" s="95">
        <f>$B$18*($B$17-B25)</f>
        <v>0.63636363636363635</v>
      </c>
      <c r="F25" s="66"/>
      <c r="G25" s="69"/>
      <c r="H25" s="66"/>
    </row>
    <row r="26" spans="1:8" x14ac:dyDescent="0.2">
      <c r="A26" s="146" t="s">
        <v>162</v>
      </c>
      <c r="B26" s="70">
        <v>29</v>
      </c>
      <c r="C26" s="148">
        <f>$B$18*($B$17-B26) - $B$18*($B$17-B27)</f>
        <v>0.36363636363636365</v>
      </c>
      <c r="F26" s="66"/>
      <c r="G26" s="69"/>
      <c r="H26" s="66"/>
    </row>
    <row r="27" spans="1:8" x14ac:dyDescent="0.2">
      <c r="A27" s="147"/>
      <c r="B27" s="68">
        <v>37</v>
      </c>
      <c r="C27" s="149"/>
      <c r="F27" s="66"/>
      <c r="G27" s="69"/>
      <c r="H27" s="66"/>
    </row>
    <row r="28" spans="1:8" x14ac:dyDescent="0.2">
      <c r="F28" s="66"/>
      <c r="G28" s="69"/>
      <c r="H28" s="66"/>
    </row>
    <row r="29" spans="1:8" x14ac:dyDescent="0.2">
      <c r="F29" s="66"/>
      <c r="G29" s="69"/>
      <c r="H29" s="66"/>
    </row>
    <row r="30" spans="1:8" ht="25" x14ac:dyDescent="0.25">
      <c r="A30" s="145" t="s">
        <v>158</v>
      </c>
      <c r="B30" s="145"/>
      <c r="C30" s="145"/>
      <c r="D30" s="145"/>
      <c r="E30" s="145"/>
      <c r="F30" s="145"/>
      <c r="G30" s="145"/>
      <c r="H30" s="66"/>
    </row>
    <row r="31" spans="1:8" x14ac:dyDescent="0.2">
      <c r="F31" s="66"/>
      <c r="G31" s="69"/>
      <c r="H31" s="66"/>
    </row>
    <row r="32" spans="1:8" x14ac:dyDescent="0.2">
      <c r="A32" s="92" t="s">
        <v>74</v>
      </c>
      <c r="B32" s="71">
        <v>92.1</v>
      </c>
      <c r="F32" s="66"/>
      <c r="G32" s="69"/>
      <c r="H32" s="66"/>
    </row>
    <row r="33" spans="1:8" x14ac:dyDescent="0.2">
      <c r="A33" s="92" t="s">
        <v>135</v>
      </c>
      <c r="B33" s="71">
        <v>3.8</v>
      </c>
      <c r="C33" s="66"/>
      <c r="F33" s="66"/>
      <c r="G33" s="69"/>
      <c r="H33" s="66"/>
    </row>
    <row r="34" spans="1:8" x14ac:dyDescent="0.2">
      <c r="A34" s="92" t="s">
        <v>194</v>
      </c>
      <c r="B34" s="71">
        <v>1</v>
      </c>
      <c r="C34" s="66"/>
      <c r="F34" s="66"/>
      <c r="G34" s="69"/>
      <c r="H34" s="66"/>
    </row>
    <row r="35" spans="1:8" x14ac:dyDescent="0.2">
      <c r="A35" s="66"/>
      <c r="B35" s="66"/>
      <c r="C35" s="66"/>
      <c r="F35" s="66"/>
      <c r="G35" s="69"/>
      <c r="H35" s="66"/>
    </row>
    <row r="36" spans="1:8" x14ac:dyDescent="0.2">
      <c r="A36" s="89" t="s">
        <v>148</v>
      </c>
      <c r="B36" s="89" t="s">
        <v>146</v>
      </c>
      <c r="C36" s="89" t="s">
        <v>150</v>
      </c>
      <c r="E36" s="89" t="s">
        <v>161</v>
      </c>
      <c r="F36" s="89" t="s">
        <v>165</v>
      </c>
      <c r="G36" s="69"/>
    </row>
    <row r="37" spans="1:8" x14ac:dyDescent="0.2">
      <c r="A37" s="92" t="s">
        <v>222</v>
      </c>
      <c r="B37" s="70">
        <v>170</v>
      </c>
      <c r="C37" s="95">
        <f>_xlfn.NORM.DIST(B37,$B$32,$B$33,FALSE)</f>
        <v>5.8210115268694259E-93</v>
      </c>
      <c r="E37" s="68">
        <v>35</v>
      </c>
      <c r="F37" s="93">
        <f>_xlfn.NORM.INV(E37/100, B32, B33)</f>
        <v>90.635782227651234</v>
      </c>
      <c r="G37" s="69"/>
    </row>
    <row r="38" spans="1:8" x14ac:dyDescent="0.2">
      <c r="A38" s="96" t="s">
        <v>225</v>
      </c>
      <c r="B38" s="70">
        <v>170</v>
      </c>
      <c r="C38" s="95">
        <f>_xlfn.NORM.DIST(B38,$B$32,$B$33,TRUE)</f>
        <v>1</v>
      </c>
      <c r="E38" s="103" t="s">
        <v>192</v>
      </c>
      <c r="F38" s="93">
        <f>B32 - (B34 * B33)</f>
        <v>88.3</v>
      </c>
      <c r="G38" s="69"/>
    </row>
    <row r="39" spans="1:8" x14ac:dyDescent="0.2">
      <c r="A39" s="92" t="s">
        <v>221</v>
      </c>
      <c r="B39" s="70">
        <v>90</v>
      </c>
      <c r="C39" s="95">
        <f>(1-_xlfn.NORM.DIST(B39,$B$32,$B$33,TRUE))</f>
        <v>0.70974214320182194</v>
      </c>
      <c r="D39" s="74"/>
      <c r="E39" s="99" t="s">
        <v>193</v>
      </c>
      <c r="F39" s="93">
        <f>B32 + (B34 * B33)</f>
        <v>95.899999999999991</v>
      </c>
      <c r="G39" s="69"/>
    </row>
    <row r="40" spans="1:8" x14ac:dyDescent="0.2">
      <c r="A40" s="146" t="s">
        <v>162</v>
      </c>
      <c r="B40" s="70">
        <v>14</v>
      </c>
      <c r="C40" s="148">
        <f>_xlfn.NORM.DIST(B41,$B$32,$B$33,TRUE) - _xlfn.NORM.DIST(B40,$B$32,$B$33,TRUE)</f>
        <v>9.0980992495193636E-83</v>
      </c>
      <c r="F40" s="74"/>
      <c r="G40" s="69"/>
    </row>
    <row r="41" spans="1:8" x14ac:dyDescent="0.2">
      <c r="A41" s="147"/>
      <c r="B41" s="68">
        <v>19</v>
      </c>
      <c r="C41" s="149"/>
      <c r="F41" s="66"/>
      <c r="G41" s="66"/>
    </row>
    <row r="42" spans="1:8" x14ac:dyDescent="0.2">
      <c r="A42" s="76"/>
      <c r="B42" s="66"/>
      <c r="C42" s="79"/>
      <c r="F42" s="66"/>
      <c r="G42" s="66"/>
    </row>
    <row r="43" spans="1:8" x14ac:dyDescent="0.2">
      <c r="A43" s="76"/>
      <c r="B43" s="66"/>
      <c r="C43" s="79"/>
      <c r="F43" s="66"/>
      <c r="G43" s="66"/>
    </row>
    <row r="44" spans="1:8" x14ac:dyDescent="0.2">
      <c r="F44" s="66"/>
      <c r="G44" s="66"/>
    </row>
    <row r="46" spans="1:8" ht="25" x14ac:dyDescent="0.25">
      <c r="A46" s="145" t="s">
        <v>157</v>
      </c>
      <c r="B46" s="145"/>
      <c r="C46" s="145"/>
      <c r="D46" s="145"/>
      <c r="E46" s="145"/>
      <c r="F46" s="145"/>
      <c r="G46" s="145"/>
    </row>
    <row r="48" spans="1:8" x14ac:dyDescent="0.2">
      <c r="A48" s="92" t="s">
        <v>134</v>
      </c>
      <c r="B48" s="70">
        <v>7.0999999999999994E-2</v>
      </c>
    </row>
    <row r="49" spans="1:3" x14ac:dyDescent="0.2">
      <c r="A49" s="92" t="s">
        <v>30</v>
      </c>
      <c r="B49" s="70">
        <v>100</v>
      </c>
    </row>
    <row r="50" spans="1:3" x14ac:dyDescent="0.2">
      <c r="A50" s="92" t="s">
        <v>74</v>
      </c>
      <c r="B50" s="92">
        <f>B49*B48</f>
        <v>7.1</v>
      </c>
    </row>
    <row r="51" spans="1:3" x14ac:dyDescent="0.2">
      <c r="A51" s="92" t="s">
        <v>136</v>
      </c>
      <c r="B51" s="92">
        <f>B49*(1-B48)*B48</f>
        <v>6.5958999999999994</v>
      </c>
    </row>
    <row r="52" spans="1:3" x14ac:dyDescent="0.2">
      <c r="A52" s="92" t="s">
        <v>135</v>
      </c>
      <c r="B52" s="96">
        <f>SQRT(B51)</f>
        <v>2.568248430350927</v>
      </c>
    </row>
    <row r="53" spans="1:3" x14ac:dyDescent="0.2">
      <c r="A53" s="73"/>
      <c r="B53" s="73"/>
    </row>
    <row r="55" spans="1:3" x14ac:dyDescent="0.2">
      <c r="A55" s="89" t="s">
        <v>148</v>
      </c>
      <c r="B55" s="89" t="s">
        <v>146</v>
      </c>
      <c r="C55" s="89" t="s">
        <v>147</v>
      </c>
    </row>
    <row r="56" spans="1:3" x14ac:dyDescent="0.2">
      <c r="A56" s="92" t="s">
        <v>222</v>
      </c>
      <c r="B56" s="70">
        <v>1</v>
      </c>
      <c r="C56" s="95">
        <f>_xlfn.BINOM.DIST(B56,$B$49,$B$48,FALSE)</f>
        <v>4.8396508822861123E-3</v>
      </c>
    </row>
    <row r="57" spans="1:3" x14ac:dyDescent="0.2">
      <c r="A57" s="96" t="s">
        <v>225</v>
      </c>
      <c r="B57" s="70">
        <v>1</v>
      </c>
      <c r="C57" s="95">
        <f>_xlfn.BINOM.DIST(B57, $B$49, $B$48, TRUE)</f>
        <v>5.4728953427993282E-3</v>
      </c>
    </row>
    <row r="58" spans="1:3" x14ac:dyDescent="0.2">
      <c r="A58" s="92" t="s">
        <v>221</v>
      </c>
      <c r="B58" s="70">
        <v>5</v>
      </c>
      <c r="C58" s="95">
        <f>1 - _xlfn.BINOM.DIST(B58,$B$49,$B$48,TRUE)</f>
        <v>0.72148233135432849</v>
      </c>
    </row>
    <row r="59" spans="1:3" x14ac:dyDescent="0.2">
      <c r="A59" s="146" t="s">
        <v>162</v>
      </c>
      <c r="B59" s="70">
        <v>2</v>
      </c>
      <c r="C59" s="148">
        <f>_xlfn.BINOM.DIST(B60,$B$49,$B$48,TRUE) - _xlfn.BINOM.DIST(B59,$B$49,$B$48,TRUE)</f>
        <v>0.40516176722632513</v>
      </c>
    </row>
    <row r="60" spans="1:3" x14ac:dyDescent="0.2">
      <c r="A60" s="147"/>
      <c r="B60" s="68">
        <v>6</v>
      </c>
      <c r="C60" s="149"/>
    </row>
    <row r="61" spans="1:3" x14ac:dyDescent="0.2">
      <c r="A61" s="76"/>
      <c r="B61" s="66"/>
      <c r="C61" s="79"/>
    </row>
    <row r="62" spans="1:3" x14ac:dyDescent="0.2">
      <c r="A62" s="76"/>
      <c r="B62" s="66"/>
      <c r="C62" s="79"/>
    </row>
    <row r="63" spans="1:3" x14ac:dyDescent="0.2">
      <c r="A63" s="67"/>
      <c r="B63" s="67"/>
      <c r="C63" s="74"/>
    </row>
    <row r="65" spans="1:7" ht="25" x14ac:dyDescent="0.25">
      <c r="A65" s="145" t="s">
        <v>159</v>
      </c>
      <c r="B65" s="145"/>
      <c r="C65" s="145"/>
      <c r="D65" s="145"/>
      <c r="E65" s="145"/>
      <c r="F65" s="145"/>
      <c r="G65" s="145"/>
    </row>
    <row r="67" spans="1:7" x14ac:dyDescent="0.2">
      <c r="A67" s="92" t="s">
        <v>154</v>
      </c>
      <c r="B67" s="71">
        <f>1/3.4</f>
        <v>0.29411764705882354</v>
      </c>
    </row>
    <row r="68" spans="1:7" x14ac:dyDescent="0.2">
      <c r="A68" s="92" t="s">
        <v>135</v>
      </c>
      <c r="B68" s="94">
        <f>SQRT(B67)</f>
        <v>0.54232614454664041</v>
      </c>
    </row>
    <row r="70" spans="1:7" x14ac:dyDescent="0.2">
      <c r="A70" s="89" t="s">
        <v>148</v>
      </c>
      <c r="B70" s="89" t="s">
        <v>146</v>
      </c>
      <c r="C70" s="89" t="s">
        <v>149</v>
      </c>
    </row>
    <row r="71" spans="1:7" x14ac:dyDescent="0.2">
      <c r="A71" s="92" t="s">
        <v>222</v>
      </c>
      <c r="B71" s="70">
        <v>5</v>
      </c>
      <c r="C71" s="95">
        <f>_xlfn.POISSON.DIST(B71,$B$67,FALSE)</f>
        <v>1.3667544531873795E-5</v>
      </c>
    </row>
    <row r="72" spans="1:7" x14ac:dyDescent="0.2">
      <c r="A72" s="96" t="s">
        <v>225</v>
      </c>
      <c r="B72" s="70">
        <v>2.4</v>
      </c>
      <c r="C72" s="95">
        <f>_xlfn.POISSON.DIST(B72,$B$67,TRUE)</f>
        <v>0.9965933487048797</v>
      </c>
    </row>
    <row r="73" spans="1:7" x14ac:dyDescent="0.2">
      <c r="A73" s="92" t="s">
        <v>221</v>
      </c>
      <c r="B73" s="70">
        <v>6</v>
      </c>
      <c r="C73" s="95">
        <f>(1 - _xlfn.POISSON.DIST(B73,$B$67,TRUE))</f>
        <v>2.9220104225124999E-8</v>
      </c>
    </row>
    <row r="74" spans="1:7" x14ac:dyDescent="0.2">
      <c r="A74" s="146" t="s">
        <v>162</v>
      </c>
      <c r="B74" s="70">
        <v>2</v>
      </c>
      <c r="C74" s="148">
        <f>_xlfn.POISSON.DIST(B75,$B$67,TRUE) - _xlfn.POISSON.DIST(B74,$B$67,TRUE)</f>
        <v>3.4059520973428459E-3</v>
      </c>
    </row>
    <row r="75" spans="1:7" x14ac:dyDescent="0.2">
      <c r="A75" s="147"/>
      <c r="B75" s="68">
        <v>5</v>
      </c>
      <c r="C75" s="149"/>
    </row>
    <row r="76" spans="1:7" x14ac:dyDescent="0.2">
      <c r="A76" s="76"/>
      <c r="B76" s="66"/>
      <c r="C76" s="79"/>
    </row>
    <row r="77" spans="1:7" x14ac:dyDescent="0.2">
      <c r="A77" s="76"/>
      <c r="B77" s="66"/>
      <c r="C77" s="79"/>
    </row>
    <row r="78" spans="1:7" x14ac:dyDescent="0.2">
      <c r="A78" s="67"/>
      <c r="B78" s="67"/>
      <c r="C78" s="74"/>
    </row>
    <row r="79" spans="1:7" x14ac:dyDescent="0.2">
      <c r="A79" s="67"/>
      <c r="B79" s="67"/>
      <c r="C79" s="74"/>
    </row>
    <row r="80" spans="1:7" ht="25" x14ac:dyDescent="0.25">
      <c r="A80" s="145" t="s">
        <v>160</v>
      </c>
      <c r="B80" s="145"/>
      <c r="C80" s="145"/>
      <c r="D80" s="145"/>
      <c r="E80" s="145"/>
      <c r="F80" s="145"/>
      <c r="G80" s="145"/>
    </row>
    <row r="81" spans="1:7" x14ac:dyDescent="0.2">
      <c r="B81" s="67"/>
      <c r="C81" s="74"/>
    </row>
    <row r="82" spans="1:7" x14ac:dyDescent="0.2">
      <c r="A82" s="92" t="s">
        <v>74</v>
      </c>
      <c r="B82" s="71">
        <f>1/5</f>
        <v>0.2</v>
      </c>
      <c r="C82" s="74"/>
    </row>
    <row r="83" spans="1:7" x14ac:dyDescent="0.2">
      <c r="B83" s="67"/>
      <c r="C83" s="74"/>
    </row>
    <row r="84" spans="1:7" x14ac:dyDescent="0.2">
      <c r="A84" s="89" t="s">
        <v>148</v>
      </c>
      <c r="B84" s="89" t="s">
        <v>146</v>
      </c>
      <c r="C84" s="89" t="s">
        <v>151</v>
      </c>
    </row>
    <row r="85" spans="1:7" x14ac:dyDescent="0.2">
      <c r="A85" s="92" t="s">
        <v>222</v>
      </c>
      <c r="B85" s="71">
        <v>1</v>
      </c>
      <c r="C85" s="95">
        <f>_xlfn.EXPON.DIST(B85,$B$82,FALSE)</f>
        <v>0.16374615061559639</v>
      </c>
    </row>
    <row r="86" spans="1:7" x14ac:dyDescent="0.2">
      <c r="A86" s="96" t="s">
        <v>225</v>
      </c>
      <c r="B86" s="71">
        <v>2.2000000000000002</v>
      </c>
      <c r="C86" s="95">
        <f>_xlfn.EXPON.DIST(B86,$B$82,TRUE)</f>
        <v>0.35596357891685865</v>
      </c>
      <c r="E86" s="75"/>
    </row>
    <row r="87" spans="1:7" x14ac:dyDescent="0.2">
      <c r="A87" s="92" t="s">
        <v>221</v>
      </c>
      <c r="B87" s="71">
        <v>2.7</v>
      </c>
      <c r="C87" s="95">
        <f>1 - _xlfn.EXPON.DIST(B87,$B$82,TRUE)</f>
        <v>0.58274825237398964</v>
      </c>
    </row>
    <row r="88" spans="1:7" x14ac:dyDescent="0.2">
      <c r="A88" s="146" t="s">
        <v>162</v>
      </c>
      <c r="B88" s="71">
        <v>2.1</v>
      </c>
      <c r="C88" s="148">
        <f>_xlfn.EXPON.DIST(B89,$B$82,TRUE) - _xlfn.EXPON.DIST(B88,$B$82,TRUE)</f>
        <v>0.25047716007445764</v>
      </c>
    </row>
    <row r="89" spans="1:7" x14ac:dyDescent="0.2">
      <c r="A89" s="147"/>
      <c r="B89" s="136">
        <v>4.5</v>
      </c>
      <c r="C89" s="149"/>
    </row>
    <row r="90" spans="1:7" x14ac:dyDescent="0.2">
      <c r="A90" s="76"/>
      <c r="B90" s="66"/>
      <c r="C90" s="79"/>
    </row>
    <row r="91" spans="1:7" x14ac:dyDescent="0.2">
      <c r="A91" s="76"/>
      <c r="B91" s="66"/>
      <c r="C91" s="79"/>
    </row>
    <row r="92" spans="1:7" x14ac:dyDescent="0.2">
      <c r="A92" s="76"/>
      <c r="B92" s="66"/>
      <c r="C92" s="79"/>
    </row>
    <row r="93" spans="1:7" x14ac:dyDescent="0.2">
      <c r="A93" s="67"/>
      <c r="B93" s="67"/>
      <c r="C93" s="74"/>
    </row>
    <row r="94" spans="1:7" ht="25" x14ac:dyDescent="0.25">
      <c r="A94" s="145" t="s">
        <v>145</v>
      </c>
      <c r="B94" s="145"/>
      <c r="C94" s="145"/>
      <c r="D94" s="145"/>
      <c r="E94" s="145"/>
      <c r="F94" s="145"/>
      <c r="G94" s="145"/>
    </row>
    <row r="95" spans="1:7" x14ac:dyDescent="0.2">
      <c r="D95" s="62"/>
      <c r="E95" s="62"/>
    </row>
    <row r="96" spans="1:7" x14ac:dyDescent="0.2">
      <c r="A96" s="62" t="s">
        <v>139</v>
      </c>
    </row>
    <row r="97" spans="1:7" x14ac:dyDescent="0.2">
      <c r="A97" s="66" t="s">
        <v>138</v>
      </c>
      <c r="B97" s="66"/>
      <c r="C97" s="66"/>
      <c r="D97" s="72"/>
      <c r="E97" s="72"/>
      <c r="F97" s="66"/>
    </row>
    <row r="98" spans="1:7" x14ac:dyDescent="0.2">
      <c r="A98" s="62" t="s">
        <v>137</v>
      </c>
      <c r="B98" s="66"/>
      <c r="C98" s="66"/>
      <c r="D98" s="72"/>
      <c r="E98" s="72"/>
      <c r="F98" s="66"/>
    </row>
    <row r="99" spans="1:7" x14ac:dyDescent="0.2">
      <c r="B99" s="66"/>
      <c r="C99" s="66"/>
      <c r="D99" s="72"/>
      <c r="E99" s="72"/>
      <c r="F99" s="66"/>
    </row>
    <row r="100" spans="1:7" x14ac:dyDescent="0.2">
      <c r="A100" s="88" t="s">
        <v>166</v>
      </c>
      <c r="B100" s="88" t="s">
        <v>140</v>
      </c>
      <c r="C100" s="88" t="s">
        <v>77</v>
      </c>
      <c r="D100" s="88" t="s">
        <v>145</v>
      </c>
      <c r="E100" s="72"/>
      <c r="F100" s="66"/>
    </row>
    <row r="101" spans="1:7" x14ac:dyDescent="0.2">
      <c r="A101" s="92" t="s">
        <v>142</v>
      </c>
      <c r="B101" s="68">
        <v>7000</v>
      </c>
      <c r="C101" s="134">
        <v>0.3</v>
      </c>
      <c r="D101" s="88">
        <f>B101*C101</f>
        <v>2100</v>
      </c>
    </row>
    <row r="102" spans="1:7" x14ac:dyDescent="0.2">
      <c r="A102" s="92" t="s">
        <v>143</v>
      </c>
      <c r="B102" s="68">
        <v>19000</v>
      </c>
      <c r="C102" s="134">
        <v>0.45</v>
      </c>
      <c r="D102" s="88">
        <f t="shared" ref="D102:D103" si="4">B102*C102</f>
        <v>8550</v>
      </c>
      <c r="E102" s="72"/>
      <c r="F102" s="66"/>
    </row>
    <row r="103" spans="1:7" x14ac:dyDescent="0.2">
      <c r="A103" s="92" t="s">
        <v>144</v>
      </c>
      <c r="B103" s="68">
        <v>37000</v>
      </c>
      <c r="C103" s="134">
        <v>0.25</v>
      </c>
      <c r="D103" s="88">
        <f t="shared" si="4"/>
        <v>9250</v>
      </c>
      <c r="E103" s="72"/>
      <c r="F103" s="66"/>
    </row>
    <row r="104" spans="1:7" x14ac:dyDescent="0.2">
      <c r="A104" s="66"/>
      <c r="B104" s="66"/>
      <c r="C104" s="66"/>
      <c r="D104" s="88">
        <f>SUM(D101:D103)</f>
        <v>19900</v>
      </c>
      <c r="E104" s="72"/>
      <c r="F104" s="66"/>
    </row>
    <row r="105" spans="1:7" x14ac:dyDescent="0.2">
      <c r="A105" s="66"/>
      <c r="B105" s="66"/>
      <c r="C105" s="66"/>
      <c r="D105" s="72"/>
      <c r="E105" s="72"/>
      <c r="F105" s="66"/>
    </row>
    <row r="106" spans="1:7" x14ac:dyDescent="0.2">
      <c r="A106" s="66" t="s">
        <v>167</v>
      </c>
      <c r="B106" s="66"/>
      <c r="C106" s="66"/>
      <c r="D106" s="66"/>
      <c r="E106" s="66"/>
      <c r="F106" s="66"/>
      <c r="G106" s="66"/>
    </row>
    <row r="107" spans="1:7" x14ac:dyDescent="0.2">
      <c r="A107" s="66" t="s">
        <v>168</v>
      </c>
      <c r="B107" s="66"/>
      <c r="C107" s="66"/>
      <c r="D107" s="66"/>
      <c r="E107" s="66"/>
      <c r="F107" s="66"/>
      <c r="G107" s="66"/>
    </row>
    <row r="108" spans="1:7" x14ac:dyDescent="0.2">
      <c r="A108" s="66" t="s">
        <v>169</v>
      </c>
      <c r="B108" s="66"/>
      <c r="C108" s="66"/>
      <c r="D108" s="66"/>
      <c r="E108" s="66"/>
      <c r="F108" s="66"/>
      <c r="G108" s="66"/>
    </row>
    <row r="109" spans="1:7" x14ac:dyDescent="0.2">
      <c r="A109" s="81"/>
      <c r="B109" s="66"/>
      <c r="C109" s="66"/>
      <c r="D109" s="66"/>
      <c r="E109" s="66"/>
      <c r="F109" s="66"/>
      <c r="G109" s="66"/>
    </row>
    <row r="110" spans="1:7" x14ac:dyDescent="0.2">
      <c r="A110" s="92" t="s">
        <v>170</v>
      </c>
      <c r="B110" s="80">
        <v>4</v>
      </c>
      <c r="C110" s="66"/>
      <c r="D110" s="66"/>
      <c r="E110" s="66"/>
      <c r="F110" s="66"/>
      <c r="G110" s="66"/>
    </row>
    <row r="111" spans="1:7" x14ac:dyDescent="0.2">
      <c r="A111" s="92" t="s">
        <v>171</v>
      </c>
      <c r="B111" s="80">
        <v>7</v>
      </c>
      <c r="C111" s="66"/>
      <c r="D111" s="66"/>
      <c r="E111" s="66"/>
      <c r="F111" s="66"/>
      <c r="G111" s="66"/>
    </row>
    <row r="112" spans="1:7" x14ac:dyDescent="0.2">
      <c r="A112" s="92" t="s">
        <v>173</v>
      </c>
      <c r="B112" s="68">
        <v>75</v>
      </c>
      <c r="C112" s="66"/>
      <c r="D112" s="66"/>
      <c r="E112" s="66"/>
      <c r="F112" s="66"/>
      <c r="G112" s="66"/>
    </row>
    <row r="113" spans="1:7" x14ac:dyDescent="0.2">
      <c r="A113" s="92" t="s">
        <v>172</v>
      </c>
      <c r="B113" s="135">
        <f>B112*B110</f>
        <v>300</v>
      </c>
      <c r="C113" s="66"/>
      <c r="D113" s="66"/>
      <c r="E113" s="66"/>
      <c r="F113" s="66"/>
      <c r="G113" s="66"/>
    </row>
    <row r="115" spans="1:7" x14ac:dyDescent="0.2">
      <c r="A115" s="88" t="s">
        <v>166</v>
      </c>
      <c r="B115" s="88" t="s">
        <v>141</v>
      </c>
      <c r="C115" s="88" t="s">
        <v>77</v>
      </c>
      <c r="D115" s="88" t="s">
        <v>145</v>
      </c>
    </row>
    <row r="116" spans="1:7" x14ac:dyDescent="0.2">
      <c r="A116" s="92" t="s">
        <v>142</v>
      </c>
      <c r="B116" s="68">
        <v>25</v>
      </c>
      <c r="C116" s="134">
        <v>0.35</v>
      </c>
      <c r="D116" s="105">
        <f>C116*($B$111*MIN($B$112, B116) - $B$113)</f>
        <v>-43.75</v>
      </c>
    </row>
    <row r="117" spans="1:7" x14ac:dyDescent="0.2">
      <c r="A117" s="92" t="s">
        <v>143</v>
      </c>
      <c r="B117" s="68">
        <v>50</v>
      </c>
      <c r="C117" s="134">
        <v>0.2</v>
      </c>
      <c r="D117" s="105">
        <f t="shared" ref="D117:D118" si="5">C117*($B$111*MIN($B$112, B117) - $B$113)</f>
        <v>10</v>
      </c>
    </row>
    <row r="118" spans="1:7" x14ac:dyDescent="0.2">
      <c r="A118" s="92" t="s">
        <v>144</v>
      </c>
      <c r="B118" s="68">
        <v>75</v>
      </c>
      <c r="C118" s="134">
        <v>0.45</v>
      </c>
      <c r="D118" s="105">
        <f t="shared" si="5"/>
        <v>101.25</v>
      </c>
    </row>
    <row r="119" spans="1:7" x14ac:dyDescent="0.2">
      <c r="A119" s="66"/>
      <c r="B119" s="66"/>
      <c r="C119" s="66"/>
      <c r="D119" s="106">
        <f>SUM(D116:D118)</f>
        <v>67.5</v>
      </c>
    </row>
    <row r="120" spans="1:7" x14ac:dyDescent="0.2">
      <c r="A120" s="66"/>
      <c r="B120" s="66"/>
      <c r="C120" s="66"/>
      <c r="F120" s="63"/>
    </row>
    <row r="121" spans="1:7" x14ac:dyDescent="0.2">
      <c r="A121" s="66"/>
      <c r="B121" s="66"/>
      <c r="C121" s="66"/>
      <c r="F121" s="63"/>
    </row>
  </sheetData>
  <mergeCells count="17">
    <mergeCell ref="A1:G1"/>
    <mergeCell ref="A14:G14"/>
    <mergeCell ref="A30:G30"/>
    <mergeCell ref="A46:G46"/>
    <mergeCell ref="A65:G65"/>
    <mergeCell ref="A26:A27"/>
    <mergeCell ref="C26:C27"/>
    <mergeCell ref="A94:G94"/>
    <mergeCell ref="A40:A41"/>
    <mergeCell ref="C40:C41"/>
    <mergeCell ref="A59:A60"/>
    <mergeCell ref="C59:C60"/>
    <mergeCell ref="A74:A75"/>
    <mergeCell ref="C74:C75"/>
    <mergeCell ref="A88:A89"/>
    <mergeCell ref="C88:C89"/>
    <mergeCell ref="A80:G80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73"/>
  <sheetViews>
    <sheetView topLeftCell="A38" workbookViewId="0">
      <selection activeCell="F66" sqref="F66"/>
    </sheetView>
  </sheetViews>
  <sheetFormatPr baseColWidth="10" defaultRowHeight="16" x14ac:dyDescent="0.2"/>
  <cols>
    <col min="1" max="1" width="21" style="63" customWidth="1"/>
    <col min="2" max="7" width="21" style="62" customWidth="1"/>
    <col min="8" max="16384" width="10.83203125" style="62"/>
  </cols>
  <sheetData>
    <row r="1" spans="1:7" ht="25" x14ac:dyDescent="0.25">
      <c r="A1" s="145" t="s">
        <v>174</v>
      </c>
      <c r="B1" s="150"/>
      <c r="C1" s="150"/>
      <c r="D1" s="150"/>
      <c r="E1" s="150"/>
      <c r="F1" s="150"/>
      <c r="G1" s="150"/>
    </row>
    <row r="3" spans="1:7" x14ac:dyDescent="0.2">
      <c r="A3" s="88" t="s">
        <v>27</v>
      </c>
      <c r="B3" s="89" t="s">
        <v>195</v>
      </c>
      <c r="C3" s="130" t="s">
        <v>74</v>
      </c>
      <c r="D3" s="84">
        <f>AVERAGE(A4:A23)</f>
        <v>34.6</v>
      </c>
    </row>
    <row r="4" spans="1:7" x14ac:dyDescent="0.2">
      <c r="A4" s="128">
        <v>25</v>
      </c>
      <c r="B4" s="64" cm="1">
        <f t="array" ref="B4:B23">_xlfn._xlws.SORT(A4:A23)</f>
        <v>5</v>
      </c>
      <c r="C4" s="109"/>
    </row>
    <row r="5" spans="1:7" x14ac:dyDescent="0.2">
      <c r="A5" s="128">
        <v>20</v>
      </c>
      <c r="B5" s="64">
        <v>10</v>
      </c>
      <c r="C5" s="127" t="s">
        <v>177</v>
      </c>
      <c r="D5" s="89" t="s">
        <v>190</v>
      </c>
      <c r="E5" s="88" t="s">
        <v>176</v>
      </c>
    </row>
    <row r="6" spans="1:7" x14ac:dyDescent="0.2">
      <c r="A6" s="128">
        <v>5</v>
      </c>
      <c r="B6" s="64">
        <v>15</v>
      </c>
      <c r="C6" s="131">
        <v>5</v>
      </c>
      <c r="D6" s="90">
        <f>AVERAGE(A4:A8)</f>
        <v>20</v>
      </c>
      <c r="E6" s="91">
        <f>D6-$D$3</f>
        <v>-14.600000000000001</v>
      </c>
      <c r="F6" s="85"/>
    </row>
    <row r="7" spans="1:7" x14ac:dyDescent="0.2">
      <c r="A7" s="128">
        <v>17</v>
      </c>
      <c r="B7" s="64">
        <v>17</v>
      </c>
      <c r="C7" s="132">
        <v>10</v>
      </c>
      <c r="D7" s="90">
        <f>AVERAGE(A4:A13)</f>
        <v>28.8</v>
      </c>
      <c r="E7" s="91">
        <f>D7-$D$3</f>
        <v>-5.8000000000000007</v>
      </c>
    </row>
    <row r="8" spans="1:7" x14ac:dyDescent="0.2">
      <c r="A8" s="128">
        <v>33</v>
      </c>
      <c r="B8" s="64">
        <v>20</v>
      </c>
      <c r="C8" s="66"/>
    </row>
    <row r="9" spans="1:7" x14ac:dyDescent="0.2">
      <c r="A9" s="128">
        <v>20</v>
      </c>
      <c r="B9" s="64">
        <v>20</v>
      </c>
      <c r="C9" s="127" t="s">
        <v>177</v>
      </c>
      <c r="D9" s="89" t="s">
        <v>190</v>
      </c>
      <c r="E9" s="88" t="s">
        <v>176</v>
      </c>
    </row>
    <row r="10" spans="1:7" x14ac:dyDescent="0.2">
      <c r="A10" s="128">
        <v>41</v>
      </c>
      <c r="B10" s="64">
        <v>20</v>
      </c>
      <c r="C10" s="131" t="s">
        <v>197</v>
      </c>
      <c r="D10" s="90">
        <f>AVERAGE(B4:B8)</f>
        <v>13.4</v>
      </c>
      <c r="E10" s="91">
        <f>D10-$D$3</f>
        <v>-21.200000000000003</v>
      </c>
    </row>
    <row r="11" spans="1:7" x14ac:dyDescent="0.2">
      <c r="A11" s="128">
        <v>53</v>
      </c>
      <c r="B11" s="64">
        <v>24</v>
      </c>
      <c r="C11" s="132" t="s">
        <v>198</v>
      </c>
      <c r="D11" s="90">
        <f>AVERAGE(B19:B23)</f>
        <v>58.8</v>
      </c>
      <c r="E11" s="91">
        <f>D11-$D$3</f>
        <v>24.199999999999996</v>
      </c>
    </row>
    <row r="12" spans="1:7" x14ac:dyDescent="0.2">
      <c r="A12" s="128">
        <v>50</v>
      </c>
      <c r="B12" s="64">
        <v>25</v>
      </c>
      <c r="C12" s="66"/>
      <c r="D12" s="92" t="s">
        <v>196</v>
      </c>
      <c r="E12" s="93">
        <f>MAX(ABS(E10), ABS(E11))</f>
        <v>24.199999999999996</v>
      </c>
    </row>
    <row r="13" spans="1:7" x14ac:dyDescent="0.2">
      <c r="A13" s="128">
        <v>24</v>
      </c>
      <c r="B13" s="64">
        <v>33</v>
      </c>
      <c r="C13" s="66"/>
    </row>
    <row r="14" spans="1:7" x14ac:dyDescent="0.2">
      <c r="A14" s="128">
        <v>41</v>
      </c>
      <c r="B14" s="64">
        <v>36</v>
      </c>
      <c r="C14" s="66"/>
    </row>
    <row r="15" spans="1:7" x14ac:dyDescent="0.2">
      <c r="A15" s="128">
        <v>52</v>
      </c>
      <c r="B15" s="64">
        <v>41</v>
      </c>
      <c r="C15" s="66"/>
    </row>
    <row r="16" spans="1:7" x14ac:dyDescent="0.2">
      <c r="A16" s="128">
        <v>47</v>
      </c>
      <c r="B16" s="64">
        <v>41</v>
      </c>
      <c r="C16" s="66"/>
    </row>
    <row r="17" spans="1:7" x14ac:dyDescent="0.2">
      <c r="A17" s="128">
        <v>15</v>
      </c>
      <c r="B17" s="64">
        <v>44</v>
      </c>
      <c r="C17" s="66"/>
    </row>
    <row r="18" spans="1:7" x14ac:dyDescent="0.2">
      <c r="A18" s="128">
        <v>44</v>
      </c>
      <c r="B18" s="64">
        <v>47</v>
      </c>
      <c r="C18" s="66"/>
    </row>
    <row r="19" spans="1:7" x14ac:dyDescent="0.2">
      <c r="A19" s="129">
        <v>10</v>
      </c>
      <c r="B19" s="64">
        <v>50</v>
      </c>
      <c r="C19" s="66"/>
    </row>
    <row r="20" spans="1:7" x14ac:dyDescent="0.2">
      <c r="A20" s="65">
        <v>36</v>
      </c>
      <c r="B20" s="64">
        <v>52</v>
      </c>
      <c r="C20" s="66"/>
    </row>
    <row r="21" spans="1:7" x14ac:dyDescent="0.2">
      <c r="A21" s="65">
        <v>60</v>
      </c>
      <c r="B21" s="64">
        <v>53</v>
      </c>
      <c r="C21" s="66"/>
    </row>
    <row r="22" spans="1:7" x14ac:dyDescent="0.2">
      <c r="A22" s="65">
        <v>20</v>
      </c>
      <c r="B22" s="64">
        <v>60</v>
      </c>
      <c r="C22" s="66"/>
    </row>
    <row r="23" spans="1:7" x14ac:dyDescent="0.2">
      <c r="A23" s="65">
        <v>79</v>
      </c>
      <c r="B23" s="64">
        <v>79</v>
      </c>
      <c r="C23" s="66"/>
    </row>
    <row r="24" spans="1:7" x14ac:dyDescent="0.2">
      <c r="A24" s="72"/>
      <c r="B24" s="109"/>
      <c r="C24" s="66"/>
    </row>
    <row r="25" spans="1:7" x14ac:dyDescent="0.2">
      <c r="A25" s="72"/>
      <c r="B25" s="109"/>
      <c r="C25" s="66"/>
    </row>
    <row r="26" spans="1:7" x14ac:dyDescent="0.2">
      <c r="A26" s="72"/>
      <c r="B26" s="109"/>
      <c r="C26" s="66"/>
    </row>
    <row r="27" spans="1:7" x14ac:dyDescent="0.2">
      <c r="A27" s="72"/>
      <c r="B27" s="109"/>
      <c r="C27" s="66"/>
    </row>
    <row r="28" spans="1:7" ht="25" x14ac:dyDescent="0.25">
      <c r="A28" s="145" t="s">
        <v>227</v>
      </c>
      <c r="B28" s="145"/>
      <c r="C28" s="145"/>
      <c r="D28" s="145"/>
      <c r="E28" s="145"/>
      <c r="F28" s="145"/>
      <c r="G28" s="145"/>
    </row>
    <row r="29" spans="1:7" x14ac:dyDescent="0.2">
      <c r="A29" s="72"/>
      <c r="B29" s="109"/>
      <c r="C29" s="66"/>
    </row>
    <row r="30" spans="1:7" x14ac:dyDescent="0.2">
      <c r="A30" s="103" t="s">
        <v>135</v>
      </c>
      <c r="B30" s="70">
        <v>70</v>
      </c>
      <c r="C30" s="66"/>
      <c r="D30" s="103" t="s">
        <v>182</v>
      </c>
      <c r="E30" s="70">
        <v>0.36</v>
      </c>
    </row>
    <row r="31" spans="1:7" x14ac:dyDescent="0.2">
      <c r="A31" s="103" t="s">
        <v>186</v>
      </c>
      <c r="B31" s="70">
        <v>14</v>
      </c>
      <c r="D31" s="103" t="s">
        <v>186</v>
      </c>
      <c r="E31" s="141">
        <v>0.04</v>
      </c>
    </row>
    <row r="32" spans="1:7" x14ac:dyDescent="0.2">
      <c r="A32" s="92" t="s">
        <v>226</v>
      </c>
      <c r="B32" s="82">
        <v>0.99</v>
      </c>
      <c r="D32" s="92" t="s">
        <v>226</v>
      </c>
      <c r="E32" s="82">
        <v>0.95</v>
      </c>
    </row>
    <row r="33" spans="1:7" x14ac:dyDescent="0.2">
      <c r="A33" s="92" t="s">
        <v>228</v>
      </c>
      <c r="B33" s="139">
        <f>_xlfn.NORM.S.INV((1-B32)/2)</f>
        <v>-2.5758293035488999</v>
      </c>
      <c r="D33" s="92" t="s">
        <v>228</v>
      </c>
      <c r="E33" s="139">
        <f>_xlfn.NORM.S.INV((1-E32)/2)</f>
        <v>-1.9599639845400536</v>
      </c>
    </row>
    <row r="34" spans="1:7" x14ac:dyDescent="0.2">
      <c r="A34" s="103" t="s">
        <v>175</v>
      </c>
      <c r="B34" s="140">
        <f>((B33*B30)/B31)^2</f>
        <v>165.87241502553027</v>
      </c>
      <c r="D34" s="103" t="s">
        <v>175</v>
      </c>
      <c r="E34" s="140">
        <f>(E33^2*E30*(1-E30))/E31^2</f>
        <v>553.17007017995377</v>
      </c>
    </row>
    <row r="35" spans="1:7" x14ac:dyDescent="0.2">
      <c r="B35" s="87"/>
    </row>
    <row r="36" spans="1:7" x14ac:dyDescent="0.2">
      <c r="B36" s="87"/>
    </row>
    <row r="37" spans="1:7" ht="25" x14ac:dyDescent="0.25">
      <c r="A37" s="145" t="s">
        <v>219</v>
      </c>
      <c r="B37" s="145"/>
      <c r="C37" s="145"/>
      <c r="D37" s="145"/>
      <c r="E37" s="145"/>
      <c r="F37" s="145"/>
      <c r="G37" s="145"/>
    </row>
    <row r="38" spans="1:7" x14ac:dyDescent="0.2">
      <c r="D38" s="63"/>
      <c r="E38" s="63"/>
      <c r="F38" s="66"/>
      <c r="G38" s="69"/>
    </row>
    <row r="39" spans="1:7" x14ac:dyDescent="0.2">
      <c r="A39" s="92" t="s">
        <v>74</v>
      </c>
      <c r="B39" s="71">
        <v>282.5</v>
      </c>
      <c r="D39" s="63"/>
      <c r="G39" s="69"/>
    </row>
    <row r="40" spans="1:7" x14ac:dyDescent="0.2">
      <c r="A40" s="92" t="s">
        <v>190</v>
      </c>
      <c r="B40" s="71">
        <v>0</v>
      </c>
      <c r="D40" s="63"/>
      <c r="G40" s="69"/>
    </row>
    <row r="41" spans="1:7" x14ac:dyDescent="0.2">
      <c r="A41" s="92" t="s">
        <v>135</v>
      </c>
      <c r="B41" s="71">
        <v>12.2</v>
      </c>
      <c r="D41" s="63"/>
      <c r="G41" s="69"/>
    </row>
    <row r="42" spans="1:7" x14ac:dyDescent="0.2">
      <c r="A42" s="92" t="s">
        <v>199</v>
      </c>
      <c r="B42" s="71">
        <v>4.2</v>
      </c>
      <c r="D42" s="63"/>
      <c r="G42" s="69"/>
    </row>
    <row r="43" spans="1:7" x14ac:dyDescent="0.2">
      <c r="A43" s="92" t="s">
        <v>182</v>
      </c>
      <c r="B43" s="71">
        <v>0.79</v>
      </c>
      <c r="D43" s="63"/>
      <c r="E43" s="67"/>
      <c r="F43" s="73"/>
      <c r="G43" s="69"/>
    </row>
    <row r="44" spans="1:7" x14ac:dyDescent="0.2">
      <c r="A44" s="92" t="s">
        <v>191</v>
      </c>
      <c r="B44" s="71">
        <f>B45</f>
        <v>0.40730823708832603</v>
      </c>
      <c r="D44" s="63"/>
      <c r="E44" s="67"/>
      <c r="F44" s="73"/>
      <c r="G44" s="69"/>
    </row>
    <row r="45" spans="1:7" x14ac:dyDescent="0.2">
      <c r="A45" s="92" t="s">
        <v>191</v>
      </c>
      <c r="B45" s="96">
        <f>SQRT(B43 * (1 - B43))</f>
        <v>0.40730823708832603</v>
      </c>
      <c r="D45" s="63"/>
      <c r="E45" s="67"/>
      <c r="F45" s="73"/>
      <c r="G45" s="69"/>
    </row>
    <row r="46" spans="1:7" x14ac:dyDescent="0.2">
      <c r="A46" s="92" t="s">
        <v>175</v>
      </c>
      <c r="B46" s="71">
        <v>30</v>
      </c>
      <c r="D46" s="63"/>
      <c r="E46" s="63"/>
      <c r="F46" s="66"/>
      <c r="G46" s="69"/>
    </row>
    <row r="47" spans="1:7" x14ac:dyDescent="0.2">
      <c r="A47" s="92" t="s">
        <v>183</v>
      </c>
      <c r="B47" s="71">
        <v>100</v>
      </c>
      <c r="D47" s="63"/>
      <c r="E47" s="63"/>
      <c r="F47" s="66"/>
      <c r="G47" s="69"/>
    </row>
    <row r="48" spans="1:7" x14ac:dyDescent="0.2">
      <c r="A48" s="92" t="s">
        <v>226</v>
      </c>
      <c r="B48" s="82">
        <v>0.8</v>
      </c>
      <c r="D48" s="63"/>
      <c r="E48" s="83"/>
      <c r="F48" s="66"/>
      <c r="G48" s="69"/>
    </row>
    <row r="49" spans="1:7" x14ac:dyDescent="0.2">
      <c r="A49" s="66"/>
      <c r="B49" s="66"/>
      <c r="C49" s="66"/>
      <c r="D49" s="63"/>
      <c r="E49" s="66"/>
      <c r="F49" s="66"/>
      <c r="G49" s="69"/>
    </row>
    <row r="50" spans="1:7" x14ac:dyDescent="0.2">
      <c r="A50" s="92" t="s">
        <v>184</v>
      </c>
      <c r="B50" s="97">
        <f>B41/SQRT(B46)</f>
        <v>2.2274050671876755</v>
      </c>
    </row>
    <row r="51" spans="1:7" x14ac:dyDescent="0.2">
      <c r="A51" s="92" t="s">
        <v>223</v>
      </c>
      <c r="B51" s="97">
        <f>SQRT(B43*(1-B43)/B46)</f>
        <v>7.4363969770312829E-2</v>
      </c>
    </row>
    <row r="52" spans="1:7" ht="17" x14ac:dyDescent="0.2">
      <c r="A52" s="98" t="s">
        <v>185</v>
      </c>
      <c r="B52" s="99">
        <f>B51 *  SQRT((B47-B46)/(B47-1))</f>
        <v>6.2530800491445895E-2</v>
      </c>
      <c r="G52" s="69"/>
    </row>
    <row r="53" spans="1:7" ht="17" x14ac:dyDescent="0.2">
      <c r="A53" s="98" t="s">
        <v>187</v>
      </c>
      <c r="B53" s="99">
        <f>(B40-B39)/(B41/SQRT(B46))</f>
        <v>-126.8291987665651</v>
      </c>
      <c r="G53" s="69"/>
    </row>
    <row r="54" spans="1:7" x14ac:dyDescent="0.2">
      <c r="A54" s="92" t="s">
        <v>180</v>
      </c>
      <c r="B54" s="100">
        <f>(1-B48)/2</f>
        <v>9.9999999999999978E-2</v>
      </c>
      <c r="G54" s="69"/>
    </row>
    <row r="55" spans="1:7" x14ac:dyDescent="0.2">
      <c r="A55" s="92" t="s">
        <v>181</v>
      </c>
      <c r="B55" s="101">
        <f>B48+B54</f>
        <v>0.9</v>
      </c>
      <c r="G55" s="69"/>
    </row>
    <row r="56" spans="1:7" x14ac:dyDescent="0.2">
      <c r="G56" s="69"/>
    </row>
    <row r="57" spans="1:7" x14ac:dyDescent="0.2">
      <c r="G57" s="69"/>
    </row>
    <row r="58" spans="1:7" x14ac:dyDescent="0.2">
      <c r="A58" s="89"/>
      <c r="B58" s="89" t="s">
        <v>146</v>
      </c>
      <c r="C58" s="89" t="s">
        <v>188</v>
      </c>
      <c r="D58" s="89" t="s">
        <v>224</v>
      </c>
      <c r="E58" s="89" t="s">
        <v>189</v>
      </c>
      <c r="F58" s="86"/>
      <c r="G58" s="66"/>
    </row>
    <row r="59" spans="1:7" x14ac:dyDescent="0.2">
      <c r="A59" s="92" t="s">
        <v>222</v>
      </c>
      <c r="B59" s="107">
        <v>1</v>
      </c>
      <c r="C59" s="95">
        <f>_xlfn.NORM.DIST(B59, $B$39, $B$50,FALSE)</f>
        <v>0</v>
      </c>
      <c r="D59" s="95">
        <f>_xlfn.NORM.DIST(B59, $B$43, $B$51, FALSE)</f>
        <v>9.9510056096036179E-2</v>
      </c>
      <c r="E59" s="95">
        <f>_xlfn.NORM.DIST(B59/$B$46, $B$43, $B$52,FALSE)</f>
        <v>1.0199816782484256E-31</v>
      </c>
    </row>
    <row r="60" spans="1:7" x14ac:dyDescent="0.2">
      <c r="A60" s="96" t="s">
        <v>225</v>
      </c>
      <c r="B60" s="107">
        <v>279</v>
      </c>
      <c r="C60" s="95">
        <f>_xlfn.NORM.DIST(B60, $B$39, $B$50,TRUE)</f>
        <v>5.8052403829567452E-2</v>
      </c>
      <c r="D60" s="95">
        <f>_xlfn.NORM.DIST(B60, $B$43, $B$51, TRUE)</f>
        <v>1</v>
      </c>
      <c r="E60" s="95">
        <f>_xlfn.NORM.DIST(B60/$B$46, $B$43, $B$52,TRUE)</f>
        <v>1</v>
      </c>
    </row>
    <row r="61" spans="1:7" x14ac:dyDescent="0.2">
      <c r="A61" s="92" t="s">
        <v>221</v>
      </c>
      <c r="B61" s="107">
        <v>0.74</v>
      </c>
      <c r="C61" s="95">
        <f>(1-_xlfn.NORM.DIST(B61, $B$39, $B$50,TRUE))</f>
        <v>1</v>
      </c>
      <c r="D61" s="95">
        <f>1 - _xlfn.NORM.DIST(B61, $B$43, $B$51, TRUE)</f>
        <v>0.7493254737662115</v>
      </c>
      <c r="E61" s="95">
        <f>1 - _xlfn.NORM.DIST(B61/$B$46, $B$43, $B$52,TRUE)</f>
        <v>1</v>
      </c>
    </row>
    <row r="62" spans="1:7" x14ac:dyDescent="0.2">
      <c r="A62" s="146" t="s">
        <v>162</v>
      </c>
      <c r="B62" s="107">
        <v>14</v>
      </c>
      <c r="C62" s="148">
        <f>_xlfn.NORM.DIST(B63, $B$39, $B$50,TRUE) - _xlfn.NORM.DIST(B62, $B$39, $B$50,TRUE)</f>
        <v>0</v>
      </c>
      <c r="D62" s="152">
        <f>_xlfn.NORM.DIST(B63, $B$43, $B$51, TRUE) - _xlfn.NORM.DIST(B62, $B$43, $B$51, TRUE)</f>
        <v>0</v>
      </c>
      <c r="E62" s="148">
        <f>_xlfn.NORM.DIST(B63/$B$46, $B$43, $B$52,TRUE) - _xlfn.NORM.DIST(B62/$B$46, $B$43, $B$52,TRUE)</f>
        <v>6.1149796065439257E-3</v>
      </c>
    </row>
    <row r="63" spans="1:7" x14ac:dyDescent="0.2">
      <c r="A63" s="147"/>
      <c r="B63" s="108">
        <v>19</v>
      </c>
      <c r="C63" s="149"/>
      <c r="D63" s="153"/>
      <c r="E63" s="149"/>
      <c r="G63" s="66"/>
    </row>
    <row r="64" spans="1:7" x14ac:dyDescent="0.2">
      <c r="A64" s="66"/>
      <c r="B64" s="66"/>
      <c r="C64" s="66"/>
      <c r="D64" s="66"/>
      <c r="E64" s="66"/>
      <c r="G64" s="66"/>
    </row>
    <row r="65" spans="1:7" x14ac:dyDescent="0.2">
      <c r="A65" s="151" t="s">
        <v>214</v>
      </c>
      <c r="B65" s="151"/>
      <c r="C65" s="151"/>
      <c r="D65" s="151"/>
      <c r="G65" s="66"/>
    </row>
    <row r="66" spans="1:7" x14ac:dyDescent="0.2">
      <c r="A66" s="88"/>
      <c r="B66" s="89" t="s">
        <v>74</v>
      </c>
      <c r="C66" s="102" t="s">
        <v>182</v>
      </c>
      <c r="D66" s="89" t="s">
        <v>200</v>
      </c>
      <c r="G66" s="66"/>
    </row>
    <row r="67" spans="1:7" x14ac:dyDescent="0.2">
      <c r="A67" s="92" t="s">
        <v>178</v>
      </c>
      <c r="B67" s="95">
        <f>_xlfn.NORM.INV(B54, $B$39, $B$50)</f>
        <v>279.64546554904365</v>
      </c>
      <c r="C67" s="99">
        <f>_xlfn.NORM.INV(B54, B43, B51)</f>
        <v>0.69469873812074423</v>
      </c>
      <c r="D67" s="97">
        <f>B39-D69</f>
        <v>281.49437749218231</v>
      </c>
      <c r="G67" s="66"/>
    </row>
    <row r="68" spans="1:7" x14ac:dyDescent="0.2">
      <c r="A68" s="92" t="s">
        <v>179</v>
      </c>
      <c r="B68" s="95">
        <f>_xlfn.NORM.INV(B55, $B$39, $B$50)</f>
        <v>285.35453445095635</v>
      </c>
      <c r="C68" s="97">
        <f>_xlfn.NORM.INV(B55, B43, B51)</f>
        <v>0.88530126187925584</v>
      </c>
      <c r="D68" s="97">
        <f>B39+D69</f>
        <v>283.50562250781769</v>
      </c>
      <c r="G68" s="66"/>
    </row>
    <row r="69" spans="1:7" x14ac:dyDescent="0.2">
      <c r="A69" s="103" t="s">
        <v>186</v>
      </c>
      <c r="B69" s="95">
        <f>_xlfn.CONFIDENCE.NORM(1-B48, B41, B46)</f>
        <v>2.8545344509563417</v>
      </c>
      <c r="C69" s="97">
        <f>_xlfn.CONFIDENCE.NORM(1-B48, B44, B46)</f>
        <v>9.5301261879255764E-2</v>
      </c>
      <c r="D69" s="97">
        <f>_xlfn.CONFIDENCE.T(1-B48, B42, B46)</f>
        <v>1.0056225078176664</v>
      </c>
      <c r="G69" s="66"/>
    </row>
    <row r="70" spans="1:7" x14ac:dyDescent="0.2">
      <c r="C70" s="79"/>
      <c r="D70" s="63"/>
      <c r="G70" s="66"/>
    </row>
    <row r="71" spans="1:7" x14ac:dyDescent="0.2">
      <c r="D71" s="63"/>
      <c r="E71" s="63"/>
      <c r="F71" s="66"/>
      <c r="G71" s="66"/>
    </row>
    <row r="72" spans="1:7" x14ac:dyDescent="0.2">
      <c r="C72" s="137"/>
      <c r="D72" s="63"/>
      <c r="E72" s="63"/>
      <c r="F72" s="66"/>
      <c r="G72" s="66"/>
    </row>
    <row r="73" spans="1:7" x14ac:dyDescent="0.2">
      <c r="C73" s="138"/>
    </row>
  </sheetData>
  <sortState xmlns:xlrd2="http://schemas.microsoft.com/office/spreadsheetml/2017/richdata2" ref="B4:B23">
    <sortCondition ref="B4:B23"/>
  </sortState>
  <mergeCells count="8">
    <mergeCell ref="A65:D65"/>
    <mergeCell ref="A28:G28"/>
    <mergeCell ref="A1:G1"/>
    <mergeCell ref="A37:G37"/>
    <mergeCell ref="A62:A63"/>
    <mergeCell ref="C62:C63"/>
    <mergeCell ref="E62:E63"/>
    <mergeCell ref="D62:D63"/>
  </mergeCells>
  <conditionalFormatting sqref="B44">
    <cfRule type="cellIs" dxfId="5" priority="1" operator="notEqual">
      <formula>$B$45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EBD4-6806-254B-8444-3A8691549E0B}">
  <dimension ref="A1:G34"/>
  <sheetViews>
    <sheetView tabSelected="1" workbookViewId="0">
      <selection activeCell="C16" sqref="C16"/>
    </sheetView>
  </sheetViews>
  <sheetFormatPr baseColWidth="10" defaultColWidth="8.83203125" defaultRowHeight="16" x14ac:dyDescent="0.2"/>
  <cols>
    <col min="1" max="1" width="28" style="62" customWidth="1"/>
    <col min="2" max="4" width="22.6640625" style="116" bestFit="1" customWidth="1"/>
    <col min="5" max="7" width="22.6640625" style="62" bestFit="1" customWidth="1"/>
    <col min="8" max="16384" width="8.83203125" style="62"/>
  </cols>
  <sheetData>
    <row r="1" spans="1:7" ht="25" x14ac:dyDescent="0.25">
      <c r="A1" s="154" t="s">
        <v>201</v>
      </c>
      <c r="B1" s="155"/>
      <c r="C1" s="155"/>
      <c r="D1" s="155"/>
      <c r="E1" s="156"/>
      <c r="F1" s="156"/>
      <c r="G1" s="156"/>
    </row>
    <row r="2" spans="1:7" x14ac:dyDescent="0.2">
      <c r="A2" s="109"/>
      <c r="B2" s="110"/>
      <c r="C2" s="110"/>
      <c r="D2" s="110"/>
      <c r="E2" s="111"/>
      <c r="F2" s="111"/>
      <c r="G2" s="111"/>
    </row>
    <row r="3" spans="1:7" x14ac:dyDescent="0.2">
      <c r="A3" s="112" t="s">
        <v>74</v>
      </c>
      <c r="B3" s="113">
        <v>22</v>
      </c>
      <c r="C3" s="110"/>
      <c r="D3" s="110"/>
      <c r="E3" s="111"/>
      <c r="F3" s="111"/>
      <c r="G3" s="111"/>
    </row>
    <row r="4" spans="1:7" x14ac:dyDescent="0.2">
      <c r="A4" s="112" t="s">
        <v>190</v>
      </c>
      <c r="B4" s="113">
        <v>22</v>
      </c>
      <c r="C4" s="110"/>
      <c r="D4" s="110"/>
      <c r="E4" s="111"/>
      <c r="F4" s="111"/>
      <c r="G4" s="111"/>
    </row>
    <row r="5" spans="1:7" x14ac:dyDescent="0.2">
      <c r="A5" s="112" t="s">
        <v>182</v>
      </c>
      <c r="B5" s="113">
        <v>0</v>
      </c>
      <c r="C5" s="110"/>
      <c r="D5" s="110"/>
      <c r="E5" s="111"/>
      <c r="F5" s="111"/>
      <c r="G5" s="111"/>
    </row>
    <row r="6" spans="1:7" x14ac:dyDescent="0.2">
      <c r="A6" s="112" t="s">
        <v>210</v>
      </c>
      <c r="B6" s="113">
        <v>0</v>
      </c>
      <c r="C6" s="110"/>
      <c r="D6" s="110"/>
      <c r="E6" s="111"/>
      <c r="F6" s="111"/>
      <c r="G6" s="111"/>
    </row>
    <row r="7" spans="1:7" x14ac:dyDescent="0.2">
      <c r="A7" s="112" t="s">
        <v>207</v>
      </c>
      <c r="B7" s="113">
        <v>5</v>
      </c>
      <c r="C7" s="110"/>
      <c r="D7" s="110"/>
      <c r="E7" s="111"/>
      <c r="F7" s="111"/>
      <c r="G7" s="111"/>
    </row>
    <row r="8" spans="1:7" x14ac:dyDescent="0.2">
      <c r="A8" s="121" t="s">
        <v>206</v>
      </c>
      <c r="B8" s="113">
        <v>0</v>
      </c>
      <c r="C8" s="110"/>
      <c r="D8" s="110"/>
      <c r="E8" s="111"/>
      <c r="F8" s="111"/>
      <c r="G8" s="111"/>
    </row>
    <row r="9" spans="1:7" x14ac:dyDescent="0.2">
      <c r="A9" s="112" t="s">
        <v>175</v>
      </c>
      <c r="B9" s="113">
        <v>36</v>
      </c>
      <c r="C9" s="110"/>
      <c r="D9" s="110"/>
      <c r="E9" s="111"/>
      <c r="F9" s="111"/>
      <c r="G9" s="111"/>
    </row>
    <row r="10" spans="1:7" x14ac:dyDescent="0.2">
      <c r="A10" s="112" t="s">
        <v>216</v>
      </c>
      <c r="B10" s="113">
        <v>0.9</v>
      </c>
      <c r="C10" s="110"/>
      <c r="D10" s="110"/>
      <c r="E10" s="111"/>
      <c r="F10" s="111"/>
      <c r="G10" s="111"/>
    </row>
    <row r="11" spans="1:7" x14ac:dyDescent="0.2">
      <c r="A11" s="112" t="s">
        <v>215</v>
      </c>
      <c r="B11" s="113">
        <v>1</v>
      </c>
      <c r="C11" s="110"/>
      <c r="D11" s="110"/>
      <c r="E11" s="111"/>
      <c r="F11" s="111"/>
      <c r="G11" s="111"/>
    </row>
    <row r="12" spans="1:7" x14ac:dyDescent="0.2">
      <c r="A12" s="67"/>
      <c r="B12" s="118"/>
      <c r="C12" s="110"/>
      <c r="D12" s="110"/>
      <c r="E12" s="111"/>
      <c r="F12" s="111"/>
      <c r="G12" s="111"/>
    </row>
    <row r="13" spans="1:7" x14ac:dyDescent="0.2">
      <c r="A13" s="70" t="s">
        <v>217</v>
      </c>
      <c r="B13" s="122">
        <f>B14</f>
        <v>0</v>
      </c>
      <c r="C13" s="110"/>
      <c r="D13" s="110"/>
      <c r="E13" s="111"/>
      <c r="F13" s="111"/>
      <c r="G13" s="111"/>
    </row>
    <row r="14" spans="1:7" x14ac:dyDescent="0.2">
      <c r="A14" s="119" t="s">
        <v>217</v>
      </c>
      <c r="B14" s="114">
        <f>(B4-B3)/(IF(B8&gt;0, B8, B7)/SQRT(B9))</f>
        <v>0</v>
      </c>
      <c r="C14" s="110"/>
      <c r="D14" s="110"/>
      <c r="E14" s="111"/>
      <c r="F14" s="111"/>
      <c r="G14" s="111"/>
    </row>
    <row r="15" spans="1:7" x14ac:dyDescent="0.2">
      <c r="A15" s="119" t="s">
        <v>218</v>
      </c>
      <c r="B15" s="120">
        <f>IF(B5 &gt; 0, (B6-B5)/SQRT(B5*(1-B5)/B9), 0)</f>
        <v>0</v>
      </c>
      <c r="C15" s="110"/>
      <c r="D15" s="110"/>
      <c r="E15" s="111"/>
      <c r="F15" s="111"/>
      <c r="G15" s="111"/>
    </row>
    <row r="16" spans="1:7" x14ac:dyDescent="0.2">
      <c r="A16" s="119" t="s">
        <v>211</v>
      </c>
      <c r="B16" s="120">
        <f>B3 + B21 * (B7/SQRT(B9))</f>
        <v>20.932040362046166</v>
      </c>
      <c r="C16" s="110"/>
      <c r="D16" s="110"/>
      <c r="E16" s="111"/>
      <c r="F16" s="111"/>
      <c r="G16" s="111"/>
    </row>
    <row r="17" spans="1:7" x14ac:dyDescent="0.2">
      <c r="A17" s="119" t="s">
        <v>212</v>
      </c>
      <c r="B17" s="120">
        <f>_xlfn.NORM.DIST(B16,B4, B7/SQRT(B9), TRUE)</f>
        <v>9.9999999999999978E-2</v>
      </c>
      <c r="C17" s="110"/>
      <c r="D17" s="110"/>
      <c r="E17" s="111"/>
      <c r="F17" s="111"/>
      <c r="G17" s="111"/>
    </row>
    <row r="18" spans="1:7" customFormat="1" x14ac:dyDescent="0.2"/>
    <row r="19" spans="1:7" x14ac:dyDescent="0.2">
      <c r="A19" s="151" t="s">
        <v>214</v>
      </c>
      <c r="B19" s="151"/>
      <c r="C19" s="151"/>
      <c r="D19" s="110"/>
      <c r="E19" s="111"/>
      <c r="F19" s="111"/>
    </row>
    <row r="20" spans="1:7" x14ac:dyDescent="0.2">
      <c r="A20" s="124"/>
      <c r="B20" s="125" t="s">
        <v>208</v>
      </c>
      <c r="C20" s="125" t="s">
        <v>209</v>
      </c>
      <c r="D20" s="110"/>
      <c r="E20" s="110"/>
      <c r="F20" s="111"/>
    </row>
    <row r="21" spans="1:7" x14ac:dyDescent="0.2">
      <c r="A21" s="119" t="s">
        <v>213</v>
      </c>
      <c r="B21" s="126">
        <f>_xlfn.NORM.S.INV(1-B10)</f>
        <v>-1.2815515655446006</v>
      </c>
      <c r="C21" s="114">
        <f>_xlfn.T.INV(IF(B11=1, 1-B10, B10/B11), B9 -1)</f>
        <v>-1.3062118020160358</v>
      </c>
      <c r="D21" s="62"/>
      <c r="E21" s="111"/>
    </row>
    <row r="22" spans="1:7" x14ac:dyDescent="0.2">
      <c r="A22" s="119" t="s">
        <v>202</v>
      </c>
      <c r="B22" s="114">
        <f>_xlfn.NORM.S.DIST(IF(B15 &gt; 0, B15, B13), TRUE)</f>
        <v>0.5</v>
      </c>
      <c r="C22" s="114">
        <f>_xlfn.T.DIST(IF(B15 &gt; B15, B15, B13), (B9-1), TRUE)</f>
        <v>0.5</v>
      </c>
      <c r="D22" s="110"/>
      <c r="E22" s="123"/>
    </row>
    <row r="23" spans="1:7" x14ac:dyDescent="0.2">
      <c r="A23" s="119" t="s">
        <v>203</v>
      </c>
      <c r="B23" s="114">
        <f>1-B22</f>
        <v>0.5</v>
      </c>
      <c r="C23" s="114">
        <f>1-C22</f>
        <v>0.5</v>
      </c>
      <c r="D23" s="110"/>
      <c r="F23" s="111"/>
    </row>
    <row r="24" spans="1:7" x14ac:dyDescent="0.2">
      <c r="A24" s="119" t="s">
        <v>204</v>
      </c>
      <c r="B24" s="114">
        <f>B11 * IF(B13 &gt; 0,  B23,  B22)</f>
        <v>0.5</v>
      </c>
      <c r="C24" s="114">
        <f>B11 * IF(B13 &gt; 0, C23, C22)</f>
        <v>0.5</v>
      </c>
      <c r="D24" s="110"/>
      <c r="E24" s="116"/>
    </row>
    <row r="25" spans="1:7" x14ac:dyDescent="0.2">
      <c r="A25" s="119" t="s">
        <v>205</v>
      </c>
      <c r="B25" s="114" t="str">
        <f>IF(B24 &gt;= B10,  "Do not reject", "Reject")</f>
        <v>Reject</v>
      </c>
      <c r="C25" s="114" t="str">
        <f>IF(C24 &gt;= B10, "Do not reject",  "Reject")</f>
        <v>Reject</v>
      </c>
      <c r="D25" s="117"/>
      <c r="F25" s="111"/>
    </row>
    <row r="26" spans="1:7" x14ac:dyDescent="0.2">
      <c r="C26" s="110"/>
      <c r="F26" s="111"/>
    </row>
    <row r="27" spans="1:7" x14ac:dyDescent="0.2">
      <c r="A27" s="109"/>
      <c r="B27" s="115"/>
      <c r="C27" s="110"/>
      <c r="F27" s="111"/>
      <c r="G27" s="111"/>
    </row>
    <row r="28" spans="1:7" x14ac:dyDescent="0.2">
      <c r="A28" s="109"/>
      <c r="B28" s="115"/>
      <c r="C28" s="110"/>
      <c r="F28" s="111"/>
      <c r="G28" s="111"/>
    </row>
    <row r="29" spans="1:7" x14ac:dyDescent="0.2">
      <c r="A29" s="109"/>
      <c r="B29" s="115"/>
      <c r="C29" s="110"/>
      <c r="F29" s="111"/>
      <c r="G29" s="111"/>
    </row>
    <row r="30" spans="1:7" ht="25" x14ac:dyDescent="0.25">
      <c r="A30" s="154" t="s">
        <v>230</v>
      </c>
      <c r="B30" s="158"/>
      <c r="C30" s="158"/>
      <c r="D30" s="158"/>
      <c r="E30" s="154"/>
      <c r="F30" s="154"/>
      <c r="G30" s="154"/>
    </row>
    <row r="32" spans="1:7" x14ac:dyDescent="0.2">
      <c r="A32" s="68" t="s">
        <v>232</v>
      </c>
      <c r="B32" s="157">
        <v>11.734883999999999</v>
      </c>
    </row>
    <row r="33" spans="1:2" x14ac:dyDescent="0.2">
      <c r="A33" s="68" t="s">
        <v>229</v>
      </c>
      <c r="B33" s="157">
        <v>0.05</v>
      </c>
    </row>
    <row r="34" spans="1:2" x14ac:dyDescent="0.2">
      <c r="A34" s="68" t="s">
        <v>231</v>
      </c>
      <c r="B34" s="157">
        <f>_xlfn.F.INV.RT(B33, 1, 3)</f>
        <v>10.127964486013932</v>
      </c>
    </row>
  </sheetData>
  <mergeCells count="3">
    <mergeCell ref="A1:G1"/>
    <mergeCell ref="A19:C19"/>
    <mergeCell ref="A30:G30"/>
  </mergeCells>
  <conditionalFormatting sqref="B5:B6">
    <cfRule type="cellIs" dxfId="4" priority="2" operator="greaterThan">
      <formula>0</formula>
    </cfRule>
  </conditionalFormatting>
  <conditionalFormatting sqref="B8">
    <cfRule type="cellIs" dxfId="3" priority="9" operator="greaterThan">
      <formula>0</formula>
    </cfRule>
    <cfRule type="cellIs" dxfId="2" priority="12" operator="greaterThan">
      <formula>0</formula>
    </cfRule>
  </conditionalFormatting>
  <conditionalFormatting sqref="B11">
    <cfRule type="cellIs" dxfId="1" priority="11" operator="greaterThan">
      <formula>1</formula>
    </cfRule>
  </conditionalFormatting>
  <conditionalFormatting sqref="B13">
    <cfRule type="cellIs" dxfId="0" priority="1" operator="notEqual">
      <formula>$B$14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Descriptive Statistics</vt:lpstr>
      <vt:lpstr>Probability Introduction</vt:lpstr>
      <vt:lpstr>Probability Distributions</vt:lpstr>
      <vt:lpstr>Confidence Intervals &amp; Sampling</vt:lpstr>
      <vt:lpstr>Hypothesis 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Nova Perilla, Jhon F.</cp:lastModifiedBy>
  <dcterms:created xsi:type="dcterms:W3CDTF">2024-02-02T04:44:28Z</dcterms:created>
  <dcterms:modified xsi:type="dcterms:W3CDTF">2024-03-19T03:56:01Z</dcterms:modified>
</cp:coreProperties>
</file>