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nova/Projects/business-statistics-excel/"/>
    </mc:Choice>
  </mc:AlternateContent>
  <xr:revisionPtr revIDLastSave="0" documentId="13_ncr:1_{E4BA84B5-4533-404A-9CCC-A03114B94EDE}" xr6:coauthVersionLast="47" xr6:coauthVersionMax="47" xr10:uidLastSave="{00000000-0000-0000-0000-000000000000}"/>
  <bookViews>
    <workbookView xWindow="0" yWindow="0" windowWidth="25600" windowHeight="28800" activeTab="5" xr2:uid="{00000000-000D-0000-FFFF-FFFF00000000}"/>
  </bookViews>
  <sheets>
    <sheet name="Descriptive Statistics" sheetId="2" r:id="rId1"/>
    <sheet name="Descriptive Statistics-2" sheetId="3" r:id="rId2"/>
    <sheet name="Probability Introduction" sheetId="4" r:id="rId3"/>
    <sheet name="Probability Distributions" sheetId="6" r:id="rId4"/>
    <sheet name="Sampling &amp; Confidence Intervals" sheetId="8" r:id="rId5"/>
    <sheet name="Hypothesis Tests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6t5ZpONsR1DRoqGwc2ITngbYdxBQCy6GAF2osSmzvWM="/>
    </ext>
  </extLst>
</workbook>
</file>

<file path=xl/calcChain.xml><?xml version="1.0" encoding="utf-8"?>
<calcChain xmlns="http://schemas.openxmlformats.org/spreadsheetml/2006/main">
  <c r="C21" i="9" l="1"/>
  <c r="B15" i="9"/>
  <c r="B14" i="9"/>
  <c r="B13" i="9" s="1"/>
  <c r="B21" i="9"/>
  <c r="B16" i="9" s="1"/>
  <c r="B17" i="9" s="1"/>
  <c r="C22" i="9" l="1"/>
  <c r="C23" i="9" s="1"/>
  <c r="C24" i="9" s="1"/>
  <c r="C25" i="9" s="1"/>
  <c r="B22" i="9"/>
  <c r="D6" i="8"/>
  <c r="D7" i="8"/>
  <c r="E6" i="8"/>
  <c r="C57" i="8"/>
  <c r="C56" i="8"/>
  <c r="C58" i="8"/>
  <c r="B4" i="8" a="1"/>
  <c r="B4" i="8" s="1"/>
  <c r="D10" i="8" s="1"/>
  <c r="F39" i="6"/>
  <c r="F38" i="6"/>
  <c r="B41" i="8"/>
  <c r="B42" i="8" s="1"/>
  <c r="B58" i="8"/>
  <c r="B43" i="8"/>
  <c r="B44" i="8"/>
  <c r="B45" i="8" s="1"/>
  <c r="B40" i="8"/>
  <c r="C52" i="8" s="1"/>
  <c r="D3" i="8"/>
  <c r="B112" i="6"/>
  <c r="D116" i="6" s="1"/>
  <c r="D115" i="6"/>
  <c r="B86" i="6"/>
  <c r="B88" i="6"/>
  <c r="B87" i="6"/>
  <c r="B85" i="6"/>
  <c r="B81" i="6"/>
  <c r="C58" i="6"/>
  <c r="C73" i="6"/>
  <c r="C40" i="6"/>
  <c r="B67" i="6"/>
  <c r="B19" i="6"/>
  <c r="B20" i="6"/>
  <c r="B18" i="6"/>
  <c r="F23" i="6" s="1"/>
  <c r="F37" i="6"/>
  <c r="C39" i="6"/>
  <c r="C38" i="6"/>
  <c r="C37" i="6"/>
  <c r="C72" i="6"/>
  <c r="C71" i="6"/>
  <c r="C70" i="6"/>
  <c r="C56" i="6"/>
  <c r="C57" i="6"/>
  <c r="C55" i="6"/>
  <c r="D101" i="6"/>
  <c r="D102" i="6"/>
  <c r="D100" i="6"/>
  <c r="C5" i="6"/>
  <c r="D5" i="6" s="1"/>
  <c r="B51" i="6"/>
  <c r="B52" i="6" s="1"/>
  <c r="B50" i="6"/>
  <c r="K240" i="4"/>
  <c r="L240" i="4"/>
  <c r="M240" i="4"/>
  <c r="N240" i="4"/>
  <c r="C18" i="3"/>
  <c r="C17" i="3"/>
  <c r="J241" i="4"/>
  <c r="J239" i="4"/>
  <c r="D237" i="4"/>
  <c r="D232" i="4"/>
  <c r="D233" i="4"/>
  <c r="D234" i="4"/>
  <c r="D235" i="4"/>
  <c r="D236" i="4"/>
  <c r="D231" i="4"/>
  <c r="C237" i="4"/>
  <c r="B237" i="4"/>
  <c r="I213" i="4"/>
  <c r="I214" i="4"/>
  <c r="I212" i="4"/>
  <c r="I211" i="4"/>
  <c r="H214" i="4"/>
  <c r="H213" i="4"/>
  <c r="H212" i="4"/>
  <c r="H211" i="4"/>
  <c r="I188" i="4"/>
  <c r="I187" i="4"/>
  <c r="I186" i="4"/>
  <c r="J185" i="4"/>
  <c r="I185" i="4" s="1"/>
  <c r="K185" i="4"/>
  <c r="I184" i="4"/>
  <c r="I183" i="4"/>
  <c r="C223" i="2"/>
  <c r="C219" i="2"/>
  <c r="C218" i="2"/>
  <c r="J155" i="4"/>
  <c r="J151" i="4"/>
  <c r="H145" i="4"/>
  <c r="J147" i="4" s="1"/>
  <c r="I82" i="4"/>
  <c r="I81" i="4"/>
  <c r="I80" i="4"/>
  <c r="I79" i="4"/>
  <c r="I73" i="4"/>
  <c r="I72" i="4"/>
  <c r="I74" i="4" s="1"/>
  <c r="I65" i="4"/>
  <c r="E39" i="4"/>
  <c r="C29" i="4"/>
  <c r="L19" i="4"/>
  <c r="K19" i="4"/>
  <c r="M19" i="4" s="1"/>
  <c r="M18" i="4"/>
  <c r="M17" i="4"/>
  <c r="M16" i="4"/>
  <c r="L5" i="4"/>
  <c r="K5" i="4"/>
  <c r="M4" i="4"/>
  <c r="M3" i="4"/>
  <c r="M2" i="4"/>
  <c r="D153" i="3"/>
  <c r="F152" i="3"/>
  <c r="E152" i="3"/>
  <c r="D152" i="3"/>
  <c r="C152" i="3"/>
  <c r="B152" i="3"/>
  <c r="D129" i="3"/>
  <c r="C129" i="3"/>
  <c r="B129" i="3"/>
  <c r="E79" i="3"/>
  <c r="E77" i="3"/>
  <c r="C68" i="3"/>
  <c r="C67" i="3"/>
  <c r="C66" i="3"/>
  <c r="C54" i="3"/>
  <c r="C52" i="3"/>
  <c r="C49" i="3"/>
  <c r="C47" i="3"/>
  <c r="C45" i="3"/>
  <c r="D15" i="3"/>
  <c r="C15" i="3"/>
  <c r="D14" i="3"/>
  <c r="C14" i="3"/>
  <c r="C217" i="2"/>
  <c r="C216" i="2"/>
  <c r="C215" i="2"/>
  <c r="C214" i="2"/>
  <c r="C213" i="2"/>
  <c r="C212" i="2"/>
  <c r="C211" i="2"/>
  <c r="C210" i="2"/>
  <c r="G219" i="2"/>
  <c r="D167" i="3"/>
  <c r="D166" i="3"/>
  <c r="G217" i="2"/>
  <c r="D164" i="3"/>
  <c r="D163" i="3"/>
  <c r="G218" i="2"/>
  <c r="B23" i="9" l="1"/>
  <c r="B24" i="9" s="1"/>
  <c r="B25" i="9" s="1"/>
  <c r="D11" i="8"/>
  <c r="E7" i="8"/>
  <c r="E11" i="8"/>
  <c r="E10" i="8"/>
  <c r="E12" i="8" s="1"/>
  <c r="D58" i="8"/>
  <c r="D57" i="8"/>
  <c r="D56" i="8"/>
  <c r="D50" i="8"/>
  <c r="D49" i="8"/>
  <c r="D51" i="8"/>
  <c r="D52" i="8"/>
  <c r="E52" i="8"/>
  <c r="E49" i="8"/>
  <c r="E50" i="8"/>
  <c r="E51" i="8"/>
  <c r="B56" i="8"/>
  <c r="B57" i="8"/>
  <c r="C51" i="8"/>
  <c r="C49" i="8"/>
  <c r="C50" i="8"/>
  <c r="D117" i="6"/>
  <c r="D118" i="6"/>
  <c r="C87" i="6"/>
  <c r="C24" i="6"/>
  <c r="C25" i="6"/>
  <c r="C26" i="6"/>
  <c r="C23" i="6"/>
  <c r="C85" i="6"/>
  <c r="C84" i="6"/>
  <c r="C86" i="6"/>
  <c r="D103" i="6"/>
  <c r="C8" i="6"/>
  <c r="D8" i="6" s="1"/>
  <c r="C7" i="6"/>
  <c r="D7" i="6" s="1"/>
  <c r="C4" i="6"/>
  <c r="D4" i="6" s="1"/>
  <c r="C6" i="6"/>
  <c r="D6" i="6" s="1"/>
  <c r="M5" i="4"/>
  <c r="E12" i="4" s="1"/>
  <c r="C16" i="3"/>
  <c r="C131" i="3"/>
  <c r="D16" i="3"/>
  <c r="J240" i="4"/>
  <c r="B22" i="4"/>
  <c r="I83" i="4"/>
  <c r="E9" i="4"/>
  <c r="E10" i="4"/>
  <c r="E11" i="4"/>
  <c r="D9" i="6" l="1"/>
  <c r="E6" i="6" s="1"/>
  <c r="C9" i="6"/>
  <c r="D223" i="2"/>
  <c r="E8" i="6" l="1"/>
  <c r="E7" i="6"/>
  <c r="E4" i="6"/>
  <c r="E5" i="6"/>
  <c r="C224" i="2"/>
  <c r="E9" i="6" l="1"/>
  <c r="D224" i="2"/>
  <c r="C225" i="2" s="1"/>
  <c r="D225" i="2" l="1"/>
  <c r="C226" i="2" l="1"/>
  <c r="D226" i="2" l="1"/>
  <c r="C227" i="2" s="1"/>
  <c r="D227" i="2" l="1"/>
  <c r="C228" i="2" s="1"/>
  <c r="D228" i="2" l="1"/>
  <c r="C229" i="2" s="1"/>
  <c r="D229" i="2" l="1"/>
  <c r="C230" i="2" l="1"/>
  <c r="D230" i="2" l="1"/>
  <c r="C231" i="2" l="1"/>
  <c r="D231" i="2" l="1"/>
  <c r="C232" i="2" l="1"/>
  <c r="D232" i="2" l="1"/>
  <c r="E223" i="2"/>
  <c r="H223" i="2" l="1"/>
  <c r="E232" i="2"/>
  <c r="H232" i="2" l="1"/>
  <c r="E231" i="2"/>
  <c r="H231" i="2" l="1"/>
  <c r="E230" i="2"/>
  <c r="H230" i="2" l="1"/>
  <c r="E229" i="2"/>
  <c r="H229" i="2" l="1"/>
  <c r="E228" i="2"/>
  <c r="H228" i="2" l="1"/>
  <c r="E227" i="2"/>
  <c r="H227" i="2" l="1"/>
  <c r="E226" i="2"/>
  <c r="H226" i="2" l="1"/>
  <c r="E225" i="2"/>
  <c r="H225" i="2" l="1"/>
  <c r="E224" i="2"/>
  <c r="H224" i="2" l="1"/>
  <c r="G214" i="2"/>
  <c r="G216" i="2"/>
  <c r="G211" i="2"/>
  <c r="G213" i="2"/>
  <c r="F223" i="2" l="1"/>
  <c r="G223" i="2" s="1"/>
  <c r="F232" i="2"/>
  <c r="F231" i="2"/>
  <c r="F230" i="2"/>
  <c r="F229" i="2"/>
  <c r="F228" i="2"/>
  <c r="F227" i="2"/>
  <c r="F226" i="2"/>
  <c r="F225" i="2"/>
  <c r="F224" i="2"/>
  <c r="D217" i="2"/>
  <c r="D212" i="2"/>
  <c r="D213" i="2"/>
  <c r="D215" i="2"/>
  <c r="D216" i="2"/>
  <c r="D214" i="2"/>
  <c r="D211" i="2"/>
  <c r="D219" i="2"/>
  <c r="D218" i="2"/>
  <c r="H233" i="2"/>
  <c r="D210" i="2"/>
  <c r="G224" i="2" l="1"/>
  <c r="G225" i="2" s="1"/>
  <c r="G226" i="2" s="1"/>
  <c r="G227" i="2" s="1"/>
  <c r="G228" i="2" s="1"/>
  <c r="G229" i="2" s="1"/>
  <c r="G230" i="2" s="1"/>
  <c r="G231" i="2" s="1"/>
  <c r="G232" i="2" s="1"/>
  <c r="C20" i="2"/>
  <c r="C21" i="2"/>
  <c r="C19" i="2"/>
  <c r="C18" i="2"/>
  <c r="C14" i="2" l="1"/>
  <c r="D19" i="2" l="1"/>
  <c r="D21" i="2"/>
  <c r="D18" i="2"/>
  <c r="D20" i="2"/>
  <c r="B57" i="2" l="1"/>
  <c r="E18" i="2"/>
  <c r="E19" i="2" s="1"/>
  <c r="E20" i="2" s="1"/>
  <c r="E21" i="2" s="1"/>
  <c r="D165" i="3"/>
  <c r="D162" i="3"/>
  <c r="D161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<sst xmlns="http://schemas.openxmlformats.org/spreadsheetml/2006/main" count="423" uniqueCount="264">
  <si>
    <t>E</t>
  </si>
  <si>
    <t>F</t>
  </si>
  <si>
    <t>G</t>
  </si>
  <si>
    <t>P</t>
  </si>
  <si>
    <t>Rating</t>
  </si>
  <si>
    <t>Frequency</t>
  </si>
  <si>
    <t>Excellent​ (E)</t>
  </si>
  <si>
    <t>Good​ (G)</t>
  </si>
  <si>
    <t>Fair​ (F)</t>
  </si>
  <si>
    <t>Poor​ (P)</t>
  </si>
  <si>
    <t>Stem</t>
  </si>
  <si>
    <t>Leaf</t>
  </si>
  <si>
    <t>0112233444459</t>
  </si>
  <si>
    <t>001444578</t>
  </si>
  <si>
    <t>0012233457788</t>
  </si>
  <si>
    <t>(5)</t>
  </si>
  <si>
    <t>6678</t>
  </si>
  <si>
    <t>(0)</t>
  </si>
  <si>
    <t>01122334444</t>
  </si>
  <si>
    <t>59</t>
  </si>
  <si>
    <t>001444</t>
  </si>
  <si>
    <t>578</t>
  </si>
  <si>
    <t>00122334</t>
  </si>
  <si>
    <t>57788</t>
  </si>
  <si>
    <t>Time_(minutes)</t>
  </si>
  <si>
    <t>Order_Size_($)</t>
  </si>
  <si>
    <t>Category</t>
  </si>
  <si>
    <t>Dataset</t>
  </si>
  <si>
    <t>k</t>
  </si>
  <si>
    <t>2^k</t>
  </si>
  <si>
    <t>n</t>
  </si>
  <si>
    <t>Range</t>
  </si>
  <si>
    <t>Set_1:</t>
  </si>
  <si>
    <t>Set_2:</t>
  </si>
  <si>
    <t>Standard Deviation</t>
  </si>
  <si>
    <t>Mean</t>
  </si>
  <si>
    <t>Coefficient of variation</t>
  </si>
  <si>
    <t>Standar deviation sample</t>
  </si>
  <si>
    <t>15th Percentile</t>
  </si>
  <si>
    <t>45th Percentile</t>
  </si>
  <si>
    <t>85th Percentile</t>
  </si>
  <si>
    <t>Team</t>
  </si>
  <si>
    <t>Wins (ESPN)</t>
  </si>
  <si>
    <t>Losses (ESPN)</t>
  </si>
  <si>
    <t>Arizona Diamondbacks</t>
  </si>
  <si>
    <t>Atlanta Braves</t>
  </si>
  <si>
    <t>Baltimore Orioles</t>
  </si>
  <si>
    <t>Boston Red Sox</t>
  </si>
  <si>
    <t>Chicago Cubs</t>
  </si>
  <si>
    <t>Chicago White Sox</t>
  </si>
  <si>
    <t>Cincinnati Reds</t>
  </si>
  <si>
    <t>Cleveland Indians</t>
  </si>
  <si>
    <t>Colorado Rockies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</si>
  <si>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</si>
  <si>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</si>
  <si>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</si>
  <si>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</si>
  <si>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</si>
  <si>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</si>
  <si>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</si>
  <si>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</si>
  <si>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</si>
  <si>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New York Yankees</t>
  </si>
  <si>
    <t>Oakland Athletics</t>
  </si>
  <si>
    <t>Philadelphia Phillies</t>
  </si>
  <si>
    <t>Pittsburgh Pirates</t>
  </si>
  <si>
    <t>San Diego Padres</t>
  </si>
  <si>
    <t>San Francisco Giants</t>
  </si>
  <si>
    <t>Seattle Mariners</t>
  </si>
  <si>
    <t>St. Louis Cardinals</t>
  </si>
  <si>
    <t>Tampa Bay Rays</t>
  </si>
  <si>
    <t>Texas Rangers</t>
  </si>
  <si>
    <t>Toronto Blue Jays</t>
  </si>
  <si>
    <t>Washington Nationals</t>
  </si>
  <si>
    <t>mean</t>
  </si>
  <si>
    <t>_</t>
  </si>
  <si>
    <t>Event_A</t>
  </si>
  <si>
    <t>Event_B</t>
  </si>
  <si>
    <t>Event_C</t>
  </si>
  <si>
    <t>Event_D</t>
  </si>
  <si>
    <t>Event_E</t>
  </si>
  <si>
    <t>Internet</t>
  </si>
  <si>
    <t>TV</t>
  </si>
  <si>
    <t>Internet &amp; TV</t>
  </si>
  <si>
    <t>Posibilities</t>
  </si>
  <si>
    <t>P Sum == 5</t>
  </si>
  <si>
    <t>{1,4}{2,3}{3,2}{4,1}</t>
  </si>
  <si>
    <t>P Sum == 1</t>
  </si>
  <si>
    <t>P Sum == 2</t>
  </si>
  <si>
    <t>{1,1}</t>
  </si>
  <si>
    <t>P Sum == 3</t>
  </si>
  <si>
    <t>{1,2}{2,1}</t>
  </si>
  <si>
    <t>P Sum == 9</t>
  </si>
  <si>
    <t>{3,6}{4,5}{5,4}{6,3}</t>
  </si>
  <si>
    <t>P Sum == 10</t>
  </si>
  <si>
    <t>{4,6}{5,5}{6,4}</t>
  </si>
  <si>
    <t>P Sum == 11</t>
  </si>
  <si>
    <t>{5,6}[6,5}</t>
  </si>
  <si>
    <t>P Sum == 12</t>
  </si>
  <si>
    <t>{6,6}</t>
  </si>
  <si>
    <t>Salary_Range</t>
  </si>
  <si>
    <t>Under_$60,000</t>
  </si>
  <si>
    <t>$60,000_to_under_$70,000</t>
  </si>
  <si>
    <t>$70,000_to_under_$80,000</t>
  </si>
  <si>
    <t>$80,000_to_under_$90,000</t>
  </si>
  <si>
    <t>$90,000_to_under_$100,000</t>
  </si>
  <si>
    <t>$100,000_or_more</t>
  </si>
  <si>
    <t>?</t>
  </si>
  <si>
    <t>Total</t>
  </si>
  <si>
    <t>Probability</t>
  </si>
  <si>
    <t>Relative Frequency</t>
  </si>
  <si>
    <t># Records</t>
  </si>
  <si>
    <t># Classes</t>
  </si>
  <si>
    <t>Class Width</t>
  </si>
  <si>
    <t>Class Start</t>
  </si>
  <si>
    <t>Class End</t>
  </si>
  <si>
    <t>Cummulative Frequency</t>
  </si>
  <si>
    <t>Min Value</t>
  </si>
  <si>
    <t>Max Value</t>
  </si>
  <si>
    <t>Range End</t>
  </si>
  <si>
    <t>Range Start</t>
  </si>
  <si>
    <t>Mean Group</t>
  </si>
  <si>
    <t>Standar Deviation</t>
  </si>
  <si>
    <t>Median</t>
  </si>
  <si>
    <t>A200</t>
  </si>
  <si>
    <t>A2</t>
  </si>
  <si>
    <t>A61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</si>
  <si>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</si>
  <si>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</si>
  <si>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</si>
  <si>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</si>
  <si>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</si>
  <si>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</si>
  <si>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</si>
  <si>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</si>
  <si>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</si>
  <si>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</si>
  <si>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Cumm Frequency</t>
  </si>
  <si>
    <t>Mode</t>
  </si>
  <si>
    <t>A250</t>
  </si>
  <si>
    <t>Company</t>
  </si>
  <si>
    <t>Cars</t>
  </si>
  <si>
    <t>Trucks</t>
  </si>
  <si>
    <t>a)</t>
  </si>
  <si>
    <t>b)</t>
  </si>
  <si>
    <t>c)</t>
  </si>
  <si>
    <t>d)</t>
  </si>
  <si>
    <t>e)</t>
  </si>
  <si>
    <t>f)</t>
  </si>
  <si>
    <t>Truck</t>
  </si>
  <si>
    <t>Car</t>
  </si>
  <si>
    <t>Insured</t>
  </si>
  <si>
    <t>Uninsured</t>
  </si>
  <si>
    <t>Under_18_years</t>
  </si>
  <si>
    <t>18_to_24_years</t>
  </si>
  <si>
    <t>25_to_34_years</t>
  </si>
  <si>
    <t>35_to_44_years</t>
  </si>
  <si>
    <t>45_to_64_years</t>
  </si>
  <si>
    <t>65_years_and_older</t>
  </si>
  <si>
    <t>Company A</t>
  </si>
  <si>
    <t>Company B</t>
  </si>
  <si>
    <t>Company C</t>
  </si>
  <si>
    <t>Variace</t>
  </si>
  <si>
    <t>Covariance</t>
  </si>
  <si>
    <t>Correlation</t>
  </si>
  <si>
    <t>A159</t>
  </si>
  <si>
    <t>A176</t>
  </si>
  <si>
    <t>Outcome</t>
  </si>
  <si>
    <t>Std Dev</t>
  </si>
  <si>
    <t>p</t>
  </si>
  <si>
    <t>std dev</t>
  </si>
  <si>
    <t>variance</t>
  </si>
  <si>
    <t>Datatset</t>
  </si>
  <si>
    <t>Determine the expected monetary value​ (EMV) for the new product.</t>
  </si>
  <si>
    <t>and ​$37000 per year if consumer demand is high. The probability of​ low, moderate, and high demand is 30​%, 45​%, and 25​%, respectively.</t>
  </si>
  <si>
    <t>A candy company developed a new consumer product that is expected to earn ​$7000 in profit each year if consumer demand is​ low, ​$19000 per year if consumer demand is​ moderate,</t>
  </si>
  <si>
    <t>Expected</t>
  </si>
  <si>
    <t>Profit</t>
  </si>
  <si>
    <t>low</t>
  </si>
  <si>
    <t>medium</t>
  </si>
  <si>
    <t>high</t>
  </si>
  <si>
    <t>EMV</t>
  </si>
  <si>
    <t>P(x)</t>
  </si>
  <si>
    <t>Binomial Probability</t>
  </si>
  <si>
    <t>Exaclty (=)</t>
  </si>
  <si>
    <t>Less than (&lt;)</t>
  </si>
  <si>
    <t>More than (&gt;)</t>
  </si>
  <si>
    <t>Comparison</t>
  </si>
  <si>
    <t>Poisson Probability</t>
  </si>
  <si>
    <t>Normal Probability</t>
  </si>
  <si>
    <t>Exponential Probability</t>
  </si>
  <si>
    <t>base</t>
  </si>
  <si>
    <t>height</t>
  </si>
  <si>
    <t>mean λ</t>
  </si>
  <si>
    <r>
      <rPr>
        <b/>
        <sz val="20"/>
        <color rgb="FF000000"/>
        <rFont val="Arial"/>
        <family val="2"/>
      </rPr>
      <t>Uniform Distribution</t>
    </r>
    <r>
      <rPr>
        <sz val="20"/>
        <color rgb="FF000000"/>
        <rFont val="Arial"/>
        <family val="2"/>
      </rPr>
      <t xml:space="preserve"> </t>
    </r>
  </si>
  <si>
    <r>
      <rPr>
        <b/>
        <sz val="20"/>
        <color rgb="FF000000"/>
        <rFont val="Arial"/>
        <family val="2"/>
      </rPr>
      <t>Discrete Distribution</t>
    </r>
    <r>
      <rPr>
        <sz val="20"/>
        <color rgb="FF000000"/>
        <rFont val="Arial"/>
        <family val="2"/>
      </rPr>
      <t xml:space="preserve"> </t>
    </r>
  </si>
  <si>
    <t xml:space="preserve">Binomial Distribution </t>
  </si>
  <si>
    <t xml:space="preserve">Normal Distribution </t>
  </si>
  <si>
    <t xml:space="preserve">Poisson Distribution </t>
  </si>
  <si>
    <t xml:space="preserve">Exponential Distribution </t>
  </si>
  <si>
    <t>Percentile %</t>
  </si>
  <si>
    <t>Between &lt;&gt;</t>
  </si>
  <si>
    <t>area f(x)</t>
  </si>
  <si>
    <t>Uniform Value</t>
  </si>
  <si>
    <t>Normal Value</t>
  </si>
  <si>
    <t>Why times by 0?</t>
  </si>
  <si>
    <t>Demand</t>
  </si>
  <si>
    <t>A bakery would like you to recommend how many loaves of its famous marble rye bread to bake at the beginning of the day. Each loaf costs the bakery ​$4.00 and</t>
  </si>
  <si>
    <t>an be sold for ​$7.00. Leftover loaves at the end of each day are donated to charity. Research has shown that the probabilities for demands of​ 25, 50, and 75 loaves</t>
  </si>
  <si>
    <t>are 35​%, 20​%, and 45​%, respectively. Make a recommendation for the bakery to bake​ 25, 50, or 75 loaves each morning.</t>
  </si>
  <si>
    <t>cost</t>
  </si>
  <si>
    <t>sold</t>
  </si>
  <si>
    <t>profit expected</t>
  </si>
  <si>
    <t>profit quantity</t>
  </si>
  <si>
    <t>Sampling error</t>
  </si>
  <si>
    <t>sample size</t>
  </si>
  <si>
    <t>sampling error</t>
  </si>
  <si>
    <t>sample rows</t>
  </si>
  <si>
    <t>lower interval</t>
  </si>
  <si>
    <t>upper interval</t>
  </si>
  <si>
    <t>lower bound</t>
  </si>
  <si>
    <t>upper bound</t>
  </si>
  <si>
    <t>proportion</t>
  </si>
  <si>
    <t>population size</t>
  </si>
  <si>
    <t>std error mean</t>
  </si>
  <si>
    <t xml:space="preserve">P(sample) </t>
  </si>
  <si>
    <t>std error sample</t>
  </si>
  <si>
    <t>std error population</t>
  </si>
  <si>
    <t>confidence level</t>
  </si>
  <si>
    <t>margin error</t>
  </si>
  <si>
    <t>Z(x)</t>
  </si>
  <si>
    <t>P(mean)</t>
  </si>
  <si>
    <t>P(population)</t>
  </si>
  <si>
    <t>sample mean</t>
  </si>
  <si>
    <t>std dev proportion</t>
  </si>
  <si>
    <t>lower limit</t>
  </si>
  <si>
    <t>upper limit</t>
  </si>
  <si>
    <t># std deviations</t>
  </si>
  <si>
    <t>Dataset Ordered</t>
  </si>
  <si>
    <t>larger sample error</t>
  </si>
  <si>
    <t>5 smallest</t>
  </si>
  <si>
    <t>5 largest</t>
  </si>
  <si>
    <t>Normal Distribution Sampling</t>
  </si>
  <si>
    <t>sample std dev</t>
  </si>
  <si>
    <t>population</t>
  </si>
  <si>
    <t>Hypothesis Test Single Population</t>
  </si>
  <si>
    <t>Hypothesis Test Comparing Two Population</t>
  </si>
  <si>
    <t>probability left test</t>
  </si>
  <si>
    <t>probability right test</t>
  </si>
  <si>
    <t>p-value</t>
  </si>
  <si>
    <t>hypothesis</t>
  </si>
  <si>
    <t>sample std deviation</t>
  </si>
  <si>
    <t xml:space="preserve"> std deviation</t>
  </si>
  <si>
    <t>Z Distribution</t>
  </si>
  <si>
    <t>T Distribution</t>
  </si>
  <si>
    <t>sample proportion</t>
  </si>
  <si>
    <t>Type II error Bx</t>
  </si>
  <si>
    <t>Type II error BPx</t>
  </si>
  <si>
    <t>critical score value</t>
  </si>
  <si>
    <t>Use T distribution when you have sample standard deviation (s)</t>
  </si>
  <si>
    <t># tail tests</t>
  </si>
  <si>
    <t>significance level</t>
  </si>
  <si>
    <t>ZT test statistic mean</t>
  </si>
  <si>
    <t>ZT test statistic proportion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</si>
</sst>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0.000"/>
    <numFmt numFmtId="165" formatCode="0.0"/>
    <numFmt numFmtId="166" formatCode="0.0000"/>
    <numFmt numFmtId="167" formatCode="_(&quot;$&quot;* #,##0_);_(&quot;$&quot;* \(#,##0\);_(&quot;$&quot;* &quot;-&quot;??_);_(@_)"/>
    <numFmt numFmtId="168" formatCode="0.0%"/>
    <numFmt numFmtId="169" formatCode="#,##0.0000"/>
    <numFmt numFmtId="170" formatCode="0.00000"/>
  </numFmts>
  <fonts count="16" x14ac:knownFonts="1"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rial"/>
      <family val="2"/>
    </font>
    <font>
      <b/>
      <sz val="12"/>
      <color theme="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AE3F3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162">
    <xf numFmtId="0" fontId="0" fillId="0" borderId="0" xfId="0"/>
    <xf numFmtId="0" fontId="3" fillId="0" borderId="0" xfId="0" applyFont="1" applyAlignment="1">
      <alignment horizontal="center"/>
    </xf>
    <xf numFmtId="164" fontId="4" fillId="0" borderId="0" xfId="0" applyNumberFormat="1" applyFont="1"/>
    <xf numFmtId="0" fontId="5" fillId="0" borderId="0" xfId="0" applyFont="1"/>
    <xf numFmtId="0" fontId="3" fillId="0" borderId="0" xfId="0" applyFont="1"/>
    <xf numFmtId="164" fontId="4" fillId="0" borderId="0" xfId="0" applyNumberFormat="1" applyFont="1" applyAlignment="1">
      <alignment horizontal="right"/>
    </xf>
    <xf numFmtId="2" fontId="4" fillId="0" borderId="0" xfId="0" applyNumberFormat="1" applyFont="1"/>
    <xf numFmtId="1" fontId="4" fillId="0" borderId="0" xfId="0" applyNumberFormat="1" applyFont="1"/>
    <xf numFmtId="0" fontId="4" fillId="2" borderId="1" xfId="0" applyFont="1" applyFill="1" applyBorder="1"/>
    <xf numFmtId="165" fontId="4" fillId="0" borderId="0" xfId="0" applyNumberFormat="1" applyFont="1"/>
    <xf numFmtId="165" fontId="4" fillId="2" borderId="1" xfId="0" applyNumberFormat="1" applyFont="1" applyFill="1" applyBorder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 vertical="center"/>
    </xf>
    <xf numFmtId="0" fontId="4" fillId="0" borderId="0" xfId="0" applyFont="1"/>
    <xf numFmtId="166" fontId="4" fillId="0" borderId="0" xfId="0" applyNumberFormat="1" applyFont="1"/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/>
    <xf numFmtId="0" fontId="7" fillId="0" borderId="2" xfId="0" applyFont="1" applyBorder="1"/>
    <xf numFmtId="0" fontId="5" fillId="0" borderId="2" xfId="0" applyFont="1" applyBorder="1"/>
    <xf numFmtId="0" fontId="0" fillId="0" borderId="2" xfId="0" applyBorder="1"/>
    <xf numFmtId="0" fontId="6" fillId="0" borderId="2" xfId="0" applyFont="1" applyBorder="1"/>
    <xf numFmtId="2" fontId="0" fillId="0" borderId="2" xfId="0" applyNumberFormat="1" applyBorder="1"/>
    <xf numFmtId="0" fontId="2" fillId="0" borderId="0" xfId="0" applyFont="1"/>
    <xf numFmtId="0" fontId="2" fillId="0" borderId="2" xfId="0" applyFont="1" applyBorder="1"/>
    <xf numFmtId="0" fontId="7" fillId="0" borderId="2" xfId="0" applyFont="1" applyBorder="1" applyAlignment="1">
      <alignment horizontal="left"/>
    </xf>
    <xf numFmtId="0" fontId="0" fillId="0" borderId="1" xfId="0" applyBorder="1"/>
    <xf numFmtId="0" fontId="5" fillId="0" borderId="1" xfId="0" applyFont="1" applyBorder="1"/>
    <xf numFmtId="0" fontId="6" fillId="0" borderId="2" xfId="0" applyFont="1" applyBorder="1" applyAlignment="1">
      <alignment horizontal="right"/>
    </xf>
    <xf numFmtId="0" fontId="6" fillId="0" borderId="0" xfId="0" applyFont="1" applyAlignment="1">
      <alignment horizontal="right"/>
    </xf>
    <xf numFmtId="3" fontId="0" fillId="0" borderId="0" xfId="0" applyNumberFormat="1"/>
    <xf numFmtId="0" fontId="7" fillId="0" borderId="0" xfId="0" applyFont="1" applyAlignment="1">
      <alignment horizontal="center"/>
    </xf>
    <xf numFmtId="0" fontId="7" fillId="0" borderId="1" xfId="0" applyFont="1" applyBorder="1"/>
    <xf numFmtId="0" fontId="6" fillId="0" borderId="1" xfId="0" applyFont="1" applyBorder="1"/>
    <xf numFmtId="0" fontId="2" fillId="0" borderId="1" xfId="0" applyFont="1" applyBorder="1"/>
    <xf numFmtId="164" fontId="6" fillId="0" borderId="2" xfId="0" applyNumberFormat="1" applyFont="1" applyBorder="1"/>
    <xf numFmtId="0" fontId="2" fillId="0" borderId="1" xfId="0" applyFont="1" applyBorder="1" applyAlignment="1">
      <alignment horizontal="right"/>
    </xf>
    <xf numFmtId="0" fontId="6" fillId="0" borderId="0" xfId="0" applyFont="1" applyAlignment="1">
      <alignment horizontal="center"/>
    </xf>
    <xf numFmtId="0" fontId="7" fillId="0" borderId="2" xfId="0" applyFont="1" applyBorder="1" applyAlignment="1">
      <alignment horizontal="right"/>
    </xf>
    <xf numFmtId="49" fontId="6" fillId="0" borderId="2" xfId="0" applyNumberFormat="1" applyFont="1" applyBorder="1" applyAlignment="1">
      <alignment horizontal="left"/>
    </xf>
    <xf numFmtId="49" fontId="6" fillId="0" borderId="2" xfId="0" applyNumberFormat="1" applyFont="1" applyBorder="1" applyAlignment="1">
      <alignment horizontal="left" shrinkToFit="1"/>
    </xf>
    <xf numFmtId="49" fontId="6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right"/>
    </xf>
    <xf numFmtId="2" fontId="6" fillId="0" borderId="2" xfId="0" applyNumberFormat="1" applyFont="1" applyBorder="1"/>
    <xf numFmtId="2" fontId="7" fillId="0" borderId="0" xfId="0" applyNumberFormat="1" applyFon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3" fontId="6" fillId="0" borderId="0" xfId="0" applyNumberFormat="1" applyFont="1" applyAlignment="1">
      <alignment horizontal="right"/>
    </xf>
    <xf numFmtId="3" fontId="0" fillId="0" borderId="2" xfId="0" applyNumberFormat="1" applyBorder="1"/>
    <xf numFmtId="3" fontId="0" fillId="0" borderId="1" xfId="0" applyNumberFormat="1" applyBorder="1"/>
    <xf numFmtId="3" fontId="5" fillId="0" borderId="1" xfId="0" applyNumberFormat="1" applyFont="1" applyBorder="1"/>
    <xf numFmtId="0" fontId="1" fillId="0" borderId="2" xfId="0" applyFont="1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0" fontId="6" fillId="0" borderId="2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3" fontId="6" fillId="0" borderId="2" xfId="0" applyNumberFormat="1" applyFont="1" applyBorder="1"/>
    <xf numFmtId="166" fontId="0" fillId="0" borderId="2" xfId="0" applyNumberForma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3" fillId="0" borderId="2" xfId="0" applyFont="1" applyBorder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4" fillId="0" borderId="2" xfId="0" applyNumberFormat="1" applyFont="1" applyBorder="1"/>
    <xf numFmtId="0" fontId="9" fillId="0" borderId="0" xfId="0" applyFont="1"/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horizontal="right"/>
    </xf>
    <xf numFmtId="0" fontId="9" fillId="0" borderId="2" xfId="0" applyFont="1" applyBorder="1"/>
    <xf numFmtId="164" fontId="9" fillId="0" borderId="1" xfId="0" applyNumberFormat="1" applyFont="1" applyBorder="1"/>
    <xf numFmtId="0" fontId="9" fillId="0" borderId="2" xfId="0" applyFont="1" applyBorder="1" applyAlignment="1">
      <alignment horizontal="right"/>
    </xf>
    <xf numFmtId="2" fontId="9" fillId="0" borderId="2" xfId="0" applyNumberFormat="1" applyFont="1" applyBorder="1" applyAlignment="1">
      <alignment horizontal="right"/>
    </xf>
    <xf numFmtId="0" fontId="9" fillId="0" borderId="2" xfId="0" applyFont="1" applyBorder="1" applyAlignment="1">
      <alignment horizontal="right" vertical="center"/>
    </xf>
    <xf numFmtId="2" fontId="9" fillId="0" borderId="2" xfId="0" applyNumberFormat="1" applyFont="1" applyBorder="1" applyAlignment="1">
      <alignment horizontal="right" vertical="center"/>
    </xf>
    <xf numFmtId="166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right"/>
    </xf>
    <xf numFmtId="166" fontId="9" fillId="0" borderId="1" xfId="0" applyNumberFormat="1" applyFont="1" applyBorder="1"/>
    <xf numFmtId="166" fontId="9" fillId="0" borderId="0" xfId="0" applyNumberFormat="1" applyFont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" fontId="9" fillId="0" borderId="2" xfId="0" applyNumberFormat="1" applyFont="1" applyBorder="1" applyAlignment="1">
      <alignment horizontal="right"/>
    </xf>
    <xf numFmtId="166" fontId="9" fillId="0" borderId="1" xfId="0" applyNumberFormat="1" applyFont="1" applyBorder="1" applyAlignment="1">
      <alignment horizontal="right" vertical="center"/>
    </xf>
    <xf numFmtId="0" fontId="10" fillId="3" borderId="1" xfId="0" applyFont="1" applyFill="1" applyBorder="1"/>
    <xf numFmtId="167" fontId="9" fillId="0" borderId="2" xfId="1" applyNumberFormat="1" applyFont="1" applyBorder="1"/>
    <xf numFmtId="0" fontId="13" fillId="0" borderId="1" xfId="0" applyFont="1" applyBorder="1"/>
    <xf numFmtId="9" fontId="9" fillId="0" borderId="2" xfId="2" applyFont="1" applyBorder="1"/>
    <xf numFmtId="166" fontId="9" fillId="0" borderId="1" xfId="0" applyNumberFormat="1" applyFont="1" applyBorder="1" applyAlignment="1">
      <alignment horizontal="right"/>
    </xf>
    <xf numFmtId="4" fontId="9" fillId="0" borderId="2" xfId="0" applyNumberFormat="1" applyFont="1" applyBorder="1"/>
    <xf numFmtId="3" fontId="9" fillId="0" borderId="0" xfId="0" applyNumberFormat="1" applyFont="1" applyAlignment="1">
      <alignment horizontal="center" vertical="center"/>
    </xf>
    <xf numFmtId="4" fontId="9" fillId="0" borderId="0" xfId="0" applyNumberFormat="1" applyFont="1"/>
    <xf numFmtId="0" fontId="14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4" borderId="2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/>
    </xf>
    <xf numFmtId="4" fontId="9" fillId="4" borderId="2" xfId="0" applyNumberFormat="1" applyFont="1" applyFill="1" applyBorder="1"/>
    <xf numFmtId="4" fontId="9" fillId="4" borderId="2" xfId="0" applyNumberFormat="1" applyFont="1" applyFill="1" applyBorder="1" applyAlignment="1">
      <alignment horizontal="right" vertical="center"/>
    </xf>
    <xf numFmtId="0" fontId="9" fillId="4" borderId="2" xfId="0" applyFont="1" applyFill="1" applyBorder="1" applyAlignment="1">
      <alignment horizontal="right"/>
    </xf>
    <xf numFmtId="2" fontId="9" fillId="4" borderId="2" xfId="0" applyNumberFormat="1" applyFont="1" applyFill="1" applyBorder="1"/>
    <xf numFmtId="164" fontId="9" fillId="4" borderId="2" xfId="0" applyNumberFormat="1" applyFont="1" applyFill="1" applyBorder="1" applyAlignment="1">
      <alignment horizontal="right"/>
    </xf>
    <xf numFmtId="166" fontId="9" fillId="4" borderId="2" xfId="0" applyNumberFormat="1" applyFont="1" applyFill="1" applyBorder="1"/>
    <xf numFmtId="2" fontId="9" fillId="4" borderId="2" xfId="0" applyNumberFormat="1" applyFont="1" applyFill="1" applyBorder="1" applyAlignment="1">
      <alignment horizontal="right"/>
    </xf>
    <xf numFmtId="166" fontId="9" fillId="4" borderId="2" xfId="0" applyNumberFormat="1" applyFont="1" applyFill="1" applyBorder="1" applyAlignment="1">
      <alignment horizontal="right"/>
    </xf>
    <xf numFmtId="0" fontId="9" fillId="4" borderId="2" xfId="0" applyFont="1" applyFill="1" applyBorder="1" applyAlignment="1">
      <alignment horizontal="right" vertical="center" wrapText="1"/>
    </xf>
    <xf numFmtId="166" fontId="9" fillId="4" borderId="2" xfId="0" applyNumberFormat="1" applyFont="1" applyFill="1" applyBorder="1" applyAlignment="1">
      <alignment horizontal="right" vertical="center"/>
    </xf>
    <xf numFmtId="168" fontId="9" fillId="4" borderId="2" xfId="0" applyNumberFormat="1" applyFont="1" applyFill="1" applyBorder="1"/>
    <xf numFmtId="168" fontId="9" fillId="4" borderId="2" xfId="2" applyNumberFormat="1" applyFont="1" applyFill="1" applyBorder="1"/>
    <xf numFmtId="166" fontId="9" fillId="4" borderId="2" xfId="0" applyNumberFormat="1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right" vertical="center"/>
    </xf>
    <xf numFmtId="0" fontId="9" fillId="4" borderId="2" xfId="0" applyFont="1" applyFill="1" applyBorder="1"/>
    <xf numFmtId="164" fontId="9" fillId="4" borderId="2" xfId="0" applyNumberFormat="1" applyFont="1" applyFill="1" applyBorder="1" applyAlignment="1">
      <alignment horizontal="right" vertical="center"/>
    </xf>
    <xf numFmtId="44" fontId="9" fillId="4" borderId="2" xfId="0" applyNumberFormat="1" applyFont="1" applyFill="1" applyBorder="1" applyAlignment="1">
      <alignment horizontal="center" vertical="center"/>
    </xf>
    <xf numFmtId="44" fontId="9" fillId="4" borderId="2" xfId="1" applyFont="1" applyFill="1" applyBorder="1" applyAlignment="1">
      <alignment horizontal="center" vertical="center"/>
    </xf>
    <xf numFmtId="164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/>
    <xf numFmtId="0" fontId="9" fillId="0" borderId="1" xfId="0" applyFont="1" applyBorder="1" applyAlignment="1">
      <alignment horizontal="center"/>
    </xf>
    <xf numFmtId="169" fontId="9" fillId="0" borderId="1" xfId="0" applyNumberFormat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9" xfId="0" applyFont="1" applyBorder="1" applyAlignment="1">
      <alignment horizontal="right"/>
    </xf>
    <xf numFmtId="4" fontId="9" fillId="0" borderId="9" xfId="0" applyNumberFormat="1" applyFont="1" applyBorder="1" applyAlignment="1">
      <alignment horizontal="right"/>
    </xf>
    <xf numFmtId="169" fontId="9" fillId="5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center"/>
    </xf>
    <xf numFmtId="169" fontId="9" fillId="0" borderId="0" xfId="0" applyNumberFormat="1" applyFont="1"/>
    <xf numFmtId="169" fontId="14" fillId="0" borderId="1" xfId="0" applyNumberFormat="1" applyFont="1" applyBorder="1" applyAlignment="1">
      <alignment horizontal="left"/>
    </xf>
    <xf numFmtId="4" fontId="9" fillId="0" borderId="1" xfId="0" applyNumberFormat="1" applyFont="1" applyBorder="1" applyAlignment="1">
      <alignment horizontal="right"/>
    </xf>
    <xf numFmtId="0" fontId="9" fillId="5" borderId="2" xfId="0" applyFont="1" applyFill="1" applyBorder="1" applyAlignment="1">
      <alignment horizontal="right"/>
    </xf>
    <xf numFmtId="166" fontId="9" fillId="5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right"/>
    </xf>
    <xf numFmtId="169" fontId="9" fillId="0" borderId="2" xfId="0" applyNumberFormat="1" applyFont="1" applyBorder="1" applyAlignment="1">
      <alignment horizontal="right"/>
    </xf>
    <xf numFmtId="170" fontId="9" fillId="0" borderId="0" xfId="0" applyNumberFormat="1" applyFont="1"/>
    <xf numFmtId="0" fontId="14" fillId="0" borderId="2" xfId="0" applyFont="1" applyBorder="1" applyAlignment="1">
      <alignment horizontal="left"/>
    </xf>
    <xf numFmtId="169" fontId="9" fillId="5" borderId="2" xfId="0" applyNumberFormat="1" applyFont="1" applyFill="1" applyBorder="1" applyAlignment="1">
      <alignment horizontal="center"/>
    </xf>
    <xf numFmtId="169" fontId="9" fillId="5" borderId="2" xfId="0" applyNumberFormat="1" applyFont="1" applyFill="1" applyBorder="1" applyAlignment="1">
      <alignment horizontal="right" vertical="center"/>
    </xf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0" fontId="12" fillId="4" borderId="0" xfId="0" applyFont="1" applyFill="1"/>
    <xf numFmtId="0" fontId="9" fillId="4" borderId="5" xfId="0" applyFont="1" applyFill="1" applyBorder="1" applyAlignment="1">
      <alignment horizontal="right" vertical="center"/>
    </xf>
    <xf numFmtId="0" fontId="9" fillId="4" borderId="6" xfId="0" applyFont="1" applyFill="1" applyBorder="1" applyAlignment="1">
      <alignment horizontal="right" vertical="center"/>
    </xf>
    <xf numFmtId="166" fontId="9" fillId="4" borderId="5" xfId="0" applyNumberFormat="1" applyFont="1" applyFill="1" applyBorder="1" applyAlignment="1">
      <alignment horizontal="right" vertical="center"/>
    </xf>
    <xf numFmtId="166" fontId="9" fillId="4" borderId="6" xfId="0" applyNumberFormat="1" applyFont="1" applyFill="1" applyBorder="1" applyAlignment="1">
      <alignment horizontal="right" vertical="center"/>
    </xf>
    <xf numFmtId="0" fontId="11" fillId="4" borderId="0" xfId="0" applyFont="1" applyFill="1"/>
    <xf numFmtId="166" fontId="9" fillId="4" borderId="5" xfId="0" applyNumberFormat="1" applyFont="1" applyFill="1" applyBorder="1" applyAlignment="1">
      <alignment vertical="center"/>
    </xf>
    <xf numFmtId="166" fontId="9" fillId="4" borderId="6" xfId="0" applyNumberFormat="1" applyFont="1" applyFill="1" applyBorder="1" applyAlignment="1">
      <alignment vertical="center"/>
    </xf>
    <xf numFmtId="0" fontId="12" fillId="5" borderId="8" xfId="0" applyFont="1" applyFill="1" applyBorder="1" applyAlignment="1">
      <alignment horizontal="left"/>
    </xf>
    <xf numFmtId="169" fontId="11" fillId="5" borderId="8" xfId="0" applyNumberFormat="1" applyFont="1" applyFill="1" applyBorder="1" applyAlignment="1">
      <alignment horizontal="left"/>
    </xf>
    <xf numFmtId="0" fontId="11" fillId="5" borderId="8" xfId="0" applyFont="1" applyFill="1" applyBorder="1" applyAlignment="1">
      <alignment horizontal="left"/>
    </xf>
    <xf numFmtId="0" fontId="15" fillId="6" borderId="2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'Descriptive Statistics'!$C$18:$C$21</c:f>
              <c:numCache>
                <c:formatCode>General</c:formatCode>
                <c:ptCount val="4"/>
                <c:pt idx="0">
                  <c:v>16</c:v>
                </c:pt>
                <c:pt idx="1">
                  <c:v>29</c:v>
                </c:pt>
                <c:pt idx="2">
                  <c:v>8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'Chapter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D29-F64E-84D5-B01AA5225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6778318"/>
        <c:axId val="720964084"/>
      </c:barChart>
      <c:catAx>
        <c:axId val="5367783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720964084"/>
        <c:crosses val="autoZero"/>
        <c:auto val="1"/>
        <c:lblAlgn val="ctr"/>
        <c:lblOffset val="100"/>
        <c:noMultiLvlLbl val="1"/>
      </c:catAx>
      <c:valAx>
        <c:axId val="7209640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536778318"/>
        <c:crosses val="max"/>
        <c:crossBetween val="between"/>
      </c:valAx>
    </c:plotArea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'Descriptive Statistics'!$B$131:$B$142</c:f>
              <c:numCache>
                <c:formatCode>General</c:formatCode>
                <c:ptCount val="12"/>
                <c:pt idx="0">
                  <c:v>30</c:v>
                </c:pt>
                <c:pt idx="1">
                  <c:v>27</c:v>
                </c:pt>
                <c:pt idx="2">
                  <c:v>29</c:v>
                </c:pt>
                <c:pt idx="3">
                  <c:v>17</c:v>
                </c:pt>
                <c:pt idx="4">
                  <c:v>34</c:v>
                </c:pt>
                <c:pt idx="5">
                  <c:v>17</c:v>
                </c:pt>
                <c:pt idx="6">
                  <c:v>10</c:v>
                </c:pt>
                <c:pt idx="7">
                  <c:v>37</c:v>
                </c:pt>
                <c:pt idx="8">
                  <c:v>36</c:v>
                </c:pt>
                <c:pt idx="9">
                  <c:v>16</c:v>
                </c:pt>
                <c:pt idx="10">
                  <c:v>39</c:v>
                </c:pt>
                <c:pt idx="11">
                  <c:v>33</c:v>
                </c:pt>
              </c:numCache>
            </c:numRef>
          </c:xVal>
          <c:yVal>
            <c:numRef>
              <c:f>'Descriptive Statistics'!$C$131:$C$142</c:f>
              <c:numCache>
                <c:formatCode>General</c:formatCode>
                <c:ptCount val="12"/>
                <c:pt idx="0">
                  <c:v>400</c:v>
                </c:pt>
                <c:pt idx="1">
                  <c:v>333</c:v>
                </c:pt>
                <c:pt idx="2">
                  <c:v>351</c:v>
                </c:pt>
                <c:pt idx="3">
                  <c:v>271</c:v>
                </c:pt>
                <c:pt idx="4">
                  <c:v>170</c:v>
                </c:pt>
                <c:pt idx="5">
                  <c:v>21</c:v>
                </c:pt>
                <c:pt idx="6">
                  <c:v>325</c:v>
                </c:pt>
                <c:pt idx="7">
                  <c:v>201</c:v>
                </c:pt>
                <c:pt idx="8">
                  <c:v>20</c:v>
                </c:pt>
                <c:pt idx="9">
                  <c:v>179</c:v>
                </c:pt>
                <c:pt idx="10">
                  <c:v>381</c:v>
                </c:pt>
                <c:pt idx="11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FF-E247-8BD4-A9E70356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49814"/>
        <c:axId val="1846876011"/>
      </c:scatterChart>
      <c:valAx>
        <c:axId val="26454981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76011"/>
        <c:crosses val="autoZero"/>
        <c:crossBetween val="midCat"/>
      </c:valAx>
      <c:valAx>
        <c:axId val="18468760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Order Sales ($)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283726669582968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4981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488351"/>
        <c:axId val="553226623"/>
      </c:bar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Statistics'!$G$223:$G$232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0.44</c:v>
                </c:pt>
                <c:pt idx="3">
                  <c:v>0.76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488351"/>
        <c:axId val="553226623"/>
      </c:lineChart>
      <c:catAx>
        <c:axId val="56648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26623"/>
        <c:crosses val="autoZero"/>
        <c:auto val="1"/>
        <c:lblAlgn val="ctr"/>
        <c:lblOffset val="100"/>
        <c:noMultiLvlLbl val="0"/>
      </c:catAx>
      <c:valAx>
        <c:axId val="5532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8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1C-174C-BFDD-E3E310EFA3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1C-174C-BFDD-E3E310EFA3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1C-174C-BFDD-E3E310EFA3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1C-174C-BFDD-E3E310EFA36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91C-174C-BFDD-E3E310EFA36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91C-174C-BFDD-E3E310EFA36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91C-174C-BFDD-E3E310EFA36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91C-174C-BFDD-E3E310EFA36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91C-174C-BFDD-E3E310EFA36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91C-174C-BFDD-E3E310EFA363}"/>
              </c:ext>
            </c:extLst>
          </c:dPt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D-384A-A7A0-AF66380D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'Descriptive Statistics'!$A$200:$A$224</c:f>
              <c:numCache>
                <c:formatCode>#,##0</c:formatCode>
                <c:ptCount val="25"/>
                <c:pt idx="0">
                  <c:v>11</c:v>
                </c:pt>
                <c:pt idx="1">
                  <c:v>33</c:v>
                </c:pt>
                <c:pt idx="2">
                  <c:v>17</c:v>
                </c:pt>
                <c:pt idx="3">
                  <c:v>46</c:v>
                </c:pt>
                <c:pt idx="4">
                  <c:v>38</c:v>
                </c:pt>
                <c:pt idx="5" formatCode="General">
                  <c:v>33</c:v>
                </c:pt>
                <c:pt idx="6">
                  <c:v>45</c:v>
                </c:pt>
                <c:pt idx="7">
                  <c:v>11</c:v>
                </c:pt>
                <c:pt idx="8">
                  <c:v>15</c:v>
                </c:pt>
                <c:pt idx="9">
                  <c:v>23</c:v>
                </c:pt>
                <c:pt idx="10">
                  <c:v>34</c:v>
                </c:pt>
                <c:pt idx="11">
                  <c:v>33</c:v>
                </c:pt>
                <c:pt idx="12" formatCode="General">
                  <c:v>49</c:v>
                </c:pt>
                <c:pt idx="13">
                  <c:v>28</c:v>
                </c:pt>
                <c:pt idx="14">
                  <c:v>32</c:v>
                </c:pt>
                <c:pt idx="15" formatCode="General">
                  <c:v>37</c:v>
                </c:pt>
                <c:pt idx="16" formatCode="General">
                  <c:v>16</c:v>
                </c:pt>
                <c:pt idx="17" formatCode="General">
                  <c:v>36</c:v>
                </c:pt>
                <c:pt idx="18">
                  <c:v>28</c:v>
                </c:pt>
                <c:pt idx="19">
                  <c:v>46</c:v>
                </c:pt>
                <c:pt idx="20" formatCode="General">
                  <c:v>44</c:v>
                </c:pt>
                <c:pt idx="21" formatCode="General">
                  <c:v>19</c:v>
                </c:pt>
                <c:pt idx="22">
                  <c:v>13</c:v>
                </c:pt>
                <c:pt idx="23" formatCode="General">
                  <c:v>46</c:v>
                </c:pt>
                <c:pt idx="2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A-304F-AEE5-71309FEF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968032"/>
        <c:axId val="85719360"/>
      </c:barChart>
      <c:catAx>
        <c:axId val="8596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360"/>
        <c:crosses val="autoZero"/>
        <c:auto val="1"/>
        <c:lblAlgn val="ctr"/>
        <c:lblOffset val="100"/>
        <c:noMultiLvlLbl val="0"/>
      </c:catAx>
      <c:valAx>
        <c:axId val="857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3.xml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2" Type="http://schemas.openxmlformats.org/officeDocument/2006/relationships/chart" Target="../charts/chart2.xml"/><Relationship Id="rId16" Type="http://schemas.openxmlformats.org/officeDocument/2006/relationships/image" Target="../media/image11.png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10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37</xdr:row>
      <xdr:rowOff>184150</xdr:rowOff>
    </xdr:from>
    <xdr:ext cx="5610225" cy="2695575"/>
    <xdr:graphicFrame macro="">
      <xdr:nvGraphicFramePr>
        <xdr:cNvPr id="1428809470" name="Chart 1">
          <a:extLst>
            <a:ext uri="{FF2B5EF4-FFF2-40B4-BE49-F238E27FC236}">
              <a16:creationId xmlns:a16="http://schemas.microsoft.com/office/drawing/2014/main" id="{00000000-0008-0000-0100-0000FEE62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923925</xdr:colOff>
      <xdr:row>155</xdr:row>
      <xdr:rowOff>38100</xdr:rowOff>
    </xdr:from>
    <xdr:ext cx="5381625" cy="2695575"/>
    <xdr:graphicFrame macro="">
      <xdr:nvGraphicFramePr>
        <xdr:cNvPr id="1004664968" name="Chart 2">
          <a:extLst>
            <a:ext uri="{FF2B5EF4-FFF2-40B4-BE49-F238E27FC236}">
              <a16:creationId xmlns:a16="http://schemas.microsoft.com/office/drawing/2014/main" id="{00000000-0008-0000-0100-000088F8E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0</xdr:colOff>
      <xdr:row>0</xdr:row>
      <xdr:rowOff>0</xdr:rowOff>
    </xdr:from>
    <xdr:ext cx="8562975" cy="17621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24</xdr:row>
      <xdr:rowOff>69850</xdr:rowOff>
    </xdr:from>
    <xdr:ext cx="8515350" cy="2409825"/>
    <xdr:pic>
      <xdr:nvPicPr>
        <xdr:cNvPr id="5" name="image1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4641850"/>
          <a:ext cx="8515350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8562975" cy="1285875"/>
    <xdr:pic>
      <xdr:nvPicPr>
        <xdr:cNvPr id="7" name="image12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123825</xdr:rowOff>
    </xdr:from>
    <xdr:ext cx="6515100" cy="485775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95250</xdr:rowOff>
    </xdr:from>
    <xdr:ext cx="5334000" cy="4095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8562975" cy="138112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8562975" cy="2238375"/>
    <xdr:pic>
      <xdr:nvPicPr>
        <xdr:cNvPr id="11" name="image16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8562975" cy="1828800"/>
    <xdr:pic>
      <xdr:nvPicPr>
        <xdr:cNvPr id="12" name="image1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53</xdr:row>
      <xdr:rowOff>76200</xdr:rowOff>
    </xdr:from>
    <xdr:to>
      <xdr:col>5</xdr:col>
      <xdr:colOff>1473200</xdr:colOff>
      <xdr:row>55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ED3221-2C1A-A399-A491-32D830A7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172700"/>
          <a:ext cx="76708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197</xdr:row>
      <xdr:rowOff>88900</xdr:rowOff>
    </xdr:from>
    <xdr:to>
      <xdr:col>6</xdr:col>
      <xdr:colOff>165100</xdr:colOff>
      <xdr:row>205</xdr:row>
      <xdr:rowOff>168542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CCB0C0-36F6-632C-2D4F-261D43B3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700" y="45808900"/>
          <a:ext cx="7772400" cy="1603642"/>
        </a:xfrm>
        <a:prstGeom prst="rect">
          <a:avLst/>
        </a:prstGeom>
      </xdr:spPr>
    </xdr:pic>
    <xdr:clientData/>
  </xdr:twoCellAnchor>
  <xdr:twoCellAnchor>
    <xdr:from>
      <xdr:col>3</xdr:col>
      <xdr:colOff>1314450</xdr:colOff>
      <xdr:row>235</xdr:row>
      <xdr:rowOff>120650</xdr:rowOff>
    </xdr:from>
    <xdr:to>
      <xdr:col>6</xdr:col>
      <xdr:colOff>508000</xdr:colOff>
      <xdr:row>249</xdr:row>
      <xdr:rowOff>165100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499BEAE-2B2E-4908-2765-345068C1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717550</xdr:colOff>
      <xdr:row>236</xdr:row>
      <xdr:rowOff>120650</xdr:rowOff>
    </xdr:from>
    <xdr:to>
      <xdr:col>8</xdr:col>
      <xdr:colOff>660400</xdr:colOff>
      <xdr:row>248</xdr:row>
      <xdr:rowOff>127000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6F5019C-40CB-8108-93A7-DE711E9AF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19050</xdr:colOff>
      <xdr:row>235</xdr:row>
      <xdr:rowOff>107950</xdr:rowOff>
    </xdr:from>
    <xdr:to>
      <xdr:col>3</xdr:col>
      <xdr:colOff>1035050</xdr:colOff>
      <xdr:row>249</xdr:row>
      <xdr:rowOff>184150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0FF432C-B422-F88E-A663-919BE33A7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49" name="image7.png">
          <a:extLst>
            <a:ext uri="{FF2B5EF4-FFF2-40B4-BE49-F238E27FC236}">
              <a16:creationId xmlns:a16="http://schemas.microsoft.com/office/drawing/2014/main" id="{657B2DCB-2133-9DC1-170F-FD39002700B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B21C702A-EF15-17C9-9860-7BC86C7AD84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A13F691-8283-AFF8-7641-A1CAD8059AA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56</xdr:row>
      <xdr:rowOff>0</xdr:rowOff>
    </xdr:from>
    <xdr:ext cx="5695950" cy="1657350"/>
    <xdr:pic>
      <xdr:nvPicPr>
        <xdr:cNvPr id="8" name="image27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8496300" cy="1038225"/>
    <xdr:pic>
      <xdr:nvPicPr>
        <xdr:cNvPr id="9" name="image28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75</xdr:row>
      <xdr:rowOff>76200</xdr:rowOff>
    </xdr:from>
    <xdr:ext cx="5934075" cy="447675"/>
    <xdr:pic>
      <xdr:nvPicPr>
        <xdr:cNvPr id="10" name="image29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77</xdr:row>
      <xdr:rowOff>85725</xdr:rowOff>
    </xdr:from>
    <xdr:ext cx="5905500" cy="476250"/>
    <xdr:pic>
      <xdr:nvPicPr>
        <xdr:cNvPr id="11" name="image30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5419725" cy="1771650"/>
    <xdr:pic>
      <xdr:nvPicPr>
        <xdr:cNvPr id="16" name="image33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19050</xdr:rowOff>
    </xdr:from>
    <xdr:ext cx="3810000" cy="438150"/>
    <xdr:pic>
      <xdr:nvPicPr>
        <xdr:cNvPr id="17" name="image46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8496300" cy="2171700"/>
    <xdr:pic>
      <xdr:nvPicPr>
        <xdr:cNvPr id="18" name="image40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8496300" cy="1400175"/>
    <xdr:pic>
      <xdr:nvPicPr>
        <xdr:cNvPr id="19" name="image34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43</xdr:row>
      <xdr:rowOff>47625</xdr:rowOff>
    </xdr:from>
    <xdr:ext cx="1952625" cy="2200275"/>
    <xdr:pic>
      <xdr:nvPicPr>
        <xdr:cNvPr id="20" name="image38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85725</xdr:rowOff>
    </xdr:from>
    <xdr:ext cx="8496300" cy="1466850"/>
    <xdr:pic>
      <xdr:nvPicPr>
        <xdr:cNvPr id="21" name="image41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7048500" cy="485775"/>
    <xdr:pic>
      <xdr:nvPicPr>
        <xdr:cNvPr id="22" name="image35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114300</xdr:rowOff>
    </xdr:from>
    <xdr:ext cx="2476500" cy="323850"/>
    <xdr:pic>
      <xdr:nvPicPr>
        <xdr:cNvPr id="23" name="image50.pn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8496300" cy="1095375"/>
    <xdr:pic>
      <xdr:nvPicPr>
        <xdr:cNvPr id="24" name="image42.pn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145</xdr:row>
      <xdr:rowOff>38100</xdr:rowOff>
    </xdr:from>
    <xdr:ext cx="5581650" cy="962025"/>
    <xdr:pic>
      <xdr:nvPicPr>
        <xdr:cNvPr id="25" name="image37.pn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00100" y="42329100"/>
          <a:ext cx="5581650" cy="9620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4" name="image28.png">
          <a:extLst>
            <a:ext uri="{FF2B5EF4-FFF2-40B4-BE49-F238E27FC236}">
              <a16:creationId xmlns:a16="http://schemas.microsoft.com/office/drawing/2014/main" id="{2A268F1E-D4C1-A105-6257-6AC1D5FD4C8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E4A9A09D-B855-B003-97CF-7616ADCFFEF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E065DBC1-F370-A685-EA59-F7971061895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496300" cy="1266825"/>
    <xdr:pic>
      <xdr:nvPicPr>
        <xdr:cNvPr id="2" name="image5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</xdr:row>
      <xdr:rowOff>171450</xdr:rowOff>
    </xdr:from>
    <xdr:ext cx="3524250" cy="247650"/>
    <xdr:pic>
      <xdr:nvPicPr>
        <xdr:cNvPr id="3" name="image5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</xdr:row>
      <xdr:rowOff>0</xdr:rowOff>
    </xdr:from>
    <xdr:ext cx="3524250" cy="247650"/>
    <xdr:pic>
      <xdr:nvPicPr>
        <xdr:cNvPr id="4" name="image5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10</xdr:row>
      <xdr:rowOff>0</xdr:rowOff>
    </xdr:from>
    <xdr:ext cx="3514725" cy="209550"/>
    <xdr:pic>
      <xdr:nvPicPr>
        <xdr:cNvPr id="5" name="image5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11</xdr:row>
      <xdr:rowOff>19050</xdr:rowOff>
    </xdr:from>
    <xdr:ext cx="3533775" cy="209550"/>
    <xdr:pic>
      <xdr:nvPicPr>
        <xdr:cNvPr id="6" name="image53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8496300" cy="1295400"/>
    <xdr:pic>
      <xdr:nvPicPr>
        <xdr:cNvPr id="7" name="image58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</xdr:row>
      <xdr:rowOff>123825</xdr:rowOff>
    </xdr:from>
    <xdr:ext cx="647700" cy="304800"/>
    <xdr:pic>
      <xdr:nvPicPr>
        <xdr:cNvPr id="8" name="image55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8496300" cy="704850"/>
    <xdr:pic>
      <xdr:nvPicPr>
        <xdr:cNvPr id="9" name="image57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27</xdr:row>
      <xdr:rowOff>152400</xdr:rowOff>
    </xdr:from>
    <xdr:ext cx="1685925" cy="314325"/>
    <xdr:pic>
      <xdr:nvPicPr>
        <xdr:cNvPr id="10" name="image59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8496300" cy="400050"/>
    <xdr:pic>
      <xdr:nvPicPr>
        <xdr:cNvPr id="11" name="image62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37</xdr:row>
      <xdr:rowOff>123825</xdr:rowOff>
    </xdr:from>
    <xdr:ext cx="5695950" cy="352425"/>
    <xdr:pic>
      <xdr:nvPicPr>
        <xdr:cNvPr id="12" name="image60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6791325" cy="3333750"/>
    <xdr:pic>
      <xdr:nvPicPr>
        <xdr:cNvPr id="13" name="image72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6400800" cy="3876675"/>
    <xdr:pic>
      <xdr:nvPicPr>
        <xdr:cNvPr id="14" name="image67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742950</xdr:colOff>
      <xdr:row>61</xdr:row>
      <xdr:rowOff>161925</xdr:rowOff>
    </xdr:from>
    <xdr:ext cx="4829175" cy="266700"/>
    <xdr:pic>
      <xdr:nvPicPr>
        <xdr:cNvPr id="15" name="image6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781050</xdr:colOff>
      <xdr:row>66</xdr:row>
      <xdr:rowOff>38100</xdr:rowOff>
    </xdr:from>
    <xdr:ext cx="5457825" cy="609600"/>
    <xdr:pic>
      <xdr:nvPicPr>
        <xdr:cNvPr id="16" name="image66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704850</xdr:colOff>
      <xdr:row>74</xdr:row>
      <xdr:rowOff>9525</xdr:rowOff>
    </xdr:from>
    <xdr:ext cx="5467350" cy="676275"/>
    <xdr:pic>
      <xdr:nvPicPr>
        <xdr:cNvPr id="17" name="image68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8496300" cy="1352550"/>
    <xdr:pic>
      <xdr:nvPicPr>
        <xdr:cNvPr id="18" name="image70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8496300" cy="3162300"/>
    <xdr:pic>
      <xdr:nvPicPr>
        <xdr:cNvPr id="19" name="image65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8496300" cy="3143250"/>
    <xdr:pic>
      <xdr:nvPicPr>
        <xdr:cNvPr id="20" name="image64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8496300" cy="2705100"/>
    <xdr:pic>
      <xdr:nvPicPr>
        <xdr:cNvPr id="21" name="image71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6638925" cy="476250"/>
    <xdr:pic>
      <xdr:nvPicPr>
        <xdr:cNvPr id="22" name="image123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146</xdr:row>
      <xdr:rowOff>0</xdr:rowOff>
    </xdr:from>
    <xdr:ext cx="8496300" cy="571500"/>
    <xdr:pic>
      <xdr:nvPicPr>
        <xdr:cNvPr id="23" name="image75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149</xdr:row>
      <xdr:rowOff>114300</xdr:rowOff>
    </xdr:from>
    <xdr:ext cx="8401050" cy="600075"/>
    <xdr:pic>
      <xdr:nvPicPr>
        <xdr:cNvPr id="24" name="image63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153</xdr:row>
      <xdr:rowOff>161925</xdr:rowOff>
    </xdr:from>
    <xdr:ext cx="8496300" cy="552450"/>
    <xdr:pic>
      <xdr:nvPicPr>
        <xdr:cNvPr id="25" name="image73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159</xdr:row>
      <xdr:rowOff>0</xdr:rowOff>
    </xdr:from>
    <xdr:to>
      <xdr:col>7</xdr:col>
      <xdr:colOff>482600</xdr:colOff>
      <xdr:row>164</xdr:row>
      <xdr:rowOff>53572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17CDBA-590C-63AF-B0AD-1C1DA3C9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0289500"/>
          <a:ext cx="7772400" cy="1006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7</xdr:col>
      <xdr:colOff>317500</xdr:colOff>
      <xdr:row>198</xdr:row>
      <xdr:rowOff>101600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C46601-0BA7-E860-F102-0854D513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2766000"/>
          <a:ext cx="7607300" cy="505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4</xdr:col>
      <xdr:colOff>368300</xdr:colOff>
      <xdr:row>217</xdr:row>
      <xdr:rowOff>88900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2E1D57-F13F-BEB6-EB5F-312E655C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8100000"/>
          <a:ext cx="6413500" cy="3327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237</xdr:row>
      <xdr:rowOff>177800</xdr:rowOff>
    </xdr:from>
    <xdr:to>
      <xdr:col>7</xdr:col>
      <xdr:colOff>710158</xdr:colOff>
      <xdr:row>247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3109D6-5855-1108-1DAF-13CCEFD8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700" y="45326300"/>
          <a:ext cx="7987258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224</xdr:row>
      <xdr:rowOff>12700</xdr:rowOff>
    </xdr:from>
    <xdr:to>
      <xdr:col>10</xdr:col>
      <xdr:colOff>850900</xdr:colOff>
      <xdr:row>227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51C4CCD-CB55-4793-8D81-A5959CBE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500" y="42684700"/>
          <a:ext cx="11112500" cy="69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84"/>
  <sheetViews>
    <sheetView topLeftCell="A4" workbookViewId="0">
      <selection activeCell="G216" sqref="G216"/>
    </sheetView>
  </sheetViews>
  <sheetFormatPr baseColWidth="10" defaultColWidth="11.1640625" defaultRowHeight="15" customHeight="1" x14ac:dyDescent="0.2"/>
  <cols>
    <col min="1" max="1" width="11.1640625" style="17"/>
    <col min="2" max="9" width="20.33203125" style="17" customWidth="1"/>
    <col min="10" max="10" width="13.1640625" style="17" customWidth="1"/>
    <col min="11" max="11" width="18.83203125" style="17" customWidth="1"/>
    <col min="12" max="12" width="19.33203125" style="17" customWidth="1"/>
    <col min="13" max="27" width="10.5" style="17" customWidth="1"/>
    <col min="28" max="16384" width="11.1640625" style="17"/>
  </cols>
  <sheetData>
    <row r="1" spans="1:3" ht="15.75" customHeight="1" x14ac:dyDescent="0.2">
      <c r="A1" s="32" t="s">
        <v>27</v>
      </c>
    </row>
    <row r="2" spans="1:3" ht="15.75" customHeight="1" x14ac:dyDescent="0.2">
      <c r="A2" s="38" t="s">
        <v>0</v>
      </c>
    </row>
    <row r="3" spans="1:3" ht="15.75" customHeight="1" x14ac:dyDescent="0.2">
      <c r="A3" s="38" t="s">
        <v>1</v>
      </c>
    </row>
    <row r="4" spans="1:3" ht="15.75" customHeight="1" x14ac:dyDescent="0.2">
      <c r="A4" s="38" t="s">
        <v>2</v>
      </c>
    </row>
    <row r="5" spans="1:3" ht="15.75" customHeight="1" x14ac:dyDescent="0.2">
      <c r="A5" s="38" t="s">
        <v>3</v>
      </c>
    </row>
    <row r="6" spans="1:3" ht="15.75" customHeight="1" x14ac:dyDescent="0.2">
      <c r="A6" s="38" t="s">
        <v>1</v>
      </c>
    </row>
    <row r="7" spans="1:3" ht="15.75" customHeight="1" x14ac:dyDescent="0.2">
      <c r="A7" s="38" t="s">
        <v>2</v>
      </c>
    </row>
    <row r="8" spans="1:3" ht="15.75" customHeight="1" x14ac:dyDescent="0.2">
      <c r="A8" s="38" t="s">
        <v>0</v>
      </c>
    </row>
    <row r="9" spans="1:3" ht="15.75" customHeight="1" x14ac:dyDescent="0.2">
      <c r="A9" s="38" t="s">
        <v>2</v>
      </c>
    </row>
    <row r="10" spans="1:3" ht="15.75" customHeight="1" x14ac:dyDescent="0.2">
      <c r="A10" s="38" t="s">
        <v>2</v>
      </c>
    </row>
    <row r="11" spans="1:3" ht="15.75" customHeight="1" x14ac:dyDescent="0.2">
      <c r="A11" s="38" t="s">
        <v>2</v>
      </c>
    </row>
    <row r="12" spans="1:3" ht="15.75" customHeight="1" x14ac:dyDescent="0.2">
      <c r="A12" s="38" t="s">
        <v>0</v>
      </c>
      <c r="B12" s="19" t="s">
        <v>120</v>
      </c>
      <c r="C12" s="29" t="s">
        <v>125</v>
      </c>
    </row>
    <row r="13" spans="1:3" ht="15.75" customHeight="1" x14ac:dyDescent="0.2">
      <c r="A13" s="38" t="s">
        <v>1</v>
      </c>
      <c r="B13" s="19" t="s">
        <v>119</v>
      </c>
      <c r="C13" s="29" t="s">
        <v>126</v>
      </c>
    </row>
    <row r="14" spans="1:3" ht="15.75" customHeight="1" x14ac:dyDescent="0.2">
      <c r="A14" s="38" t="s">
        <v>2</v>
      </c>
      <c r="B14" s="19" t="s">
        <v>111</v>
      </c>
      <c r="C14" s="29">
        <f ca="1">SUM(C18:C21)</f>
        <v>60</v>
      </c>
    </row>
    <row r="15" spans="1:3" ht="15.75" customHeight="1" x14ac:dyDescent="0.2">
      <c r="A15" s="38" t="s">
        <v>3</v>
      </c>
    </row>
    <row r="16" spans="1:3" ht="15.75" customHeight="1" x14ac:dyDescent="0.2">
      <c r="A16" s="38" t="s">
        <v>0</v>
      </c>
    </row>
    <row r="17" spans="1:5" ht="15.75" customHeight="1" x14ac:dyDescent="0.2">
      <c r="A17" s="38" t="s">
        <v>2</v>
      </c>
      <c r="B17" s="19" t="s">
        <v>4</v>
      </c>
      <c r="C17" s="19" t="s">
        <v>5</v>
      </c>
      <c r="D17" s="19" t="s">
        <v>110</v>
      </c>
      <c r="E17" s="19" t="s">
        <v>116</v>
      </c>
    </row>
    <row r="18" spans="1:5" ht="15.75" customHeight="1" x14ac:dyDescent="0.2">
      <c r="A18" s="38" t="s">
        <v>0</v>
      </c>
      <c r="B18" s="22" t="s">
        <v>6</v>
      </c>
      <c r="C18" s="22">
        <f ca="1">COUNTIF(INDIRECT(C12&amp;":"&amp;C13), "E")</f>
        <v>16</v>
      </c>
      <c r="D18" s="36">
        <f ca="1">C18/$C$14</f>
        <v>0.26666666666666666</v>
      </c>
      <c r="E18" s="36">
        <f ca="1">D18</f>
        <v>0.26666666666666666</v>
      </c>
    </row>
    <row r="19" spans="1:5" ht="15.75" customHeight="1" x14ac:dyDescent="0.2">
      <c r="A19" s="38" t="s">
        <v>2</v>
      </c>
      <c r="B19" s="22" t="s">
        <v>7</v>
      </c>
      <c r="C19" s="22">
        <f ca="1">COUNTIF(INDIRECT(C12&amp;":"&amp;C13), "G")</f>
        <v>29</v>
      </c>
      <c r="D19" s="36">
        <f t="shared" ref="D19:D21" ca="1" si="0">C19/$C$14</f>
        <v>0.48333333333333334</v>
      </c>
      <c r="E19" s="36">
        <f ca="1">E18+D19</f>
        <v>0.75</v>
      </c>
    </row>
    <row r="20" spans="1:5" ht="15.75" customHeight="1" x14ac:dyDescent="0.2">
      <c r="A20" s="38" t="s">
        <v>0</v>
      </c>
      <c r="B20" s="22" t="s">
        <v>8</v>
      </c>
      <c r="C20" s="22">
        <f ca="1">COUNTIF(INDIRECT(C12&amp;":"&amp;C13), "F")</f>
        <v>8</v>
      </c>
      <c r="D20" s="36">
        <f t="shared" ca="1" si="0"/>
        <v>0.13333333333333333</v>
      </c>
      <c r="E20" s="36">
        <f ca="1">E19+D20</f>
        <v>0.8833333333333333</v>
      </c>
    </row>
    <row r="21" spans="1:5" ht="15.75" customHeight="1" x14ac:dyDescent="0.2">
      <c r="A21" s="38" t="s">
        <v>0</v>
      </c>
      <c r="B21" s="22" t="s">
        <v>9</v>
      </c>
      <c r="C21" s="22">
        <f ca="1">COUNTIF(INDIRECT(C12&amp;":"&amp;C13), "P")</f>
        <v>7</v>
      </c>
      <c r="D21" s="36">
        <f t="shared" ca="1" si="0"/>
        <v>0.11666666666666667</v>
      </c>
      <c r="E21" s="36">
        <f ca="1">E20+D21</f>
        <v>1</v>
      </c>
    </row>
    <row r="22" spans="1:5" ht="15.75" customHeight="1" x14ac:dyDescent="0.2">
      <c r="A22" s="38" t="s">
        <v>2</v>
      </c>
    </row>
    <row r="23" spans="1:5" ht="15.75" customHeight="1" x14ac:dyDescent="0.2">
      <c r="A23" s="38" t="s">
        <v>2</v>
      </c>
    </row>
    <row r="24" spans="1:5" ht="15.75" customHeight="1" x14ac:dyDescent="0.2">
      <c r="A24" s="38" t="s">
        <v>0</v>
      </c>
    </row>
    <row r="25" spans="1:5" ht="15.75" customHeight="1" x14ac:dyDescent="0.2">
      <c r="A25" s="38" t="s">
        <v>0</v>
      </c>
    </row>
    <row r="26" spans="1:5" ht="15.75" customHeight="1" x14ac:dyDescent="0.2">
      <c r="A26" s="38" t="s">
        <v>2</v>
      </c>
    </row>
    <row r="27" spans="1:5" ht="15.75" customHeight="1" x14ac:dyDescent="0.2">
      <c r="A27" s="38" t="s">
        <v>2</v>
      </c>
    </row>
    <row r="28" spans="1:5" ht="15.75" customHeight="1" x14ac:dyDescent="0.2">
      <c r="A28" s="38" t="s">
        <v>1</v>
      </c>
    </row>
    <row r="29" spans="1:5" ht="15.75" customHeight="1" x14ac:dyDescent="0.2">
      <c r="A29" s="38" t="s">
        <v>2</v>
      </c>
    </row>
    <row r="30" spans="1:5" ht="15.75" customHeight="1" x14ac:dyDescent="0.2">
      <c r="A30" s="38" t="s">
        <v>3</v>
      </c>
    </row>
    <row r="31" spans="1:5" ht="15.75" customHeight="1" x14ac:dyDescent="0.2">
      <c r="A31" s="38" t="s">
        <v>2</v>
      </c>
    </row>
    <row r="32" spans="1:5" ht="15.75" customHeight="1" x14ac:dyDescent="0.2">
      <c r="A32" s="38" t="s">
        <v>2</v>
      </c>
    </row>
    <row r="33" spans="1:1" ht="15.75" customHeight="1" x14ac:dyDescent="0.2">
      <c r="A33" s="38" t="s">
        <v>2</v>
      </c>
    </row>
    <row r="34" spans="1:1" ht="15.75" customHeight="1" x14ac:dyDescent="0.2">
      <c r="A34" s="38" t="s">
        <v>0</v>
      </c>
    </row>
    <row r="35" spans="1:1" ht="15.75" customHeight="1" x14ac:dyDescent="0.2">
      <c r="A35" s="38" t="s">
        <v>1</v>
      </c>
    </row>
    <row r="36" spans="1:1" ht="15.75" customHeight="1" x14ac:dyDescent="0.2">
      <c r="A36" s="38" t="s">
        <v>2</v>
      </c>
    </row>
    <row r="37" spans="1:1" ht="15.75" customHeight="1" x14ac:dyDescent="0.2">
      <c r="A37" s="38" t="s">
        <v>2</v>
      </c>
    </row>
    <row r="38" spans="1:1" ht="15.75" customHeight="1" x14ac:dyDescent="0.2">
      <c r="A38" s="38" t="s">
        <v>2</v>
      </c>
    </row>
    <row r="39" spans="1:1" ht="15.75" customHeight="1" x14ac:dyDescent="0.2">
      <c r="A39" s="38" t="s">
        <v>1</v>
      </c>
    </row>
    <row r="40" spans="1:1" ht="15.75" customHeight="1" x14ac:dyDescent="0.2">
      <c r="A40" s="38" t="s">
        <v>3</v>
      </c>
    </row>
    <row r="41" spans="1:1" ht="15.75" customHeight="1" x14ac:dyDescent="0.2">
      <c r="A41" s="38" t="s">
        <v>1</v>
      </c>
    </row>
    <row r="42" spans="1:1" ht="15.75" customHeight="1" x14ac:dyDescent="0.2">
      <c r="A42" s="38" t="s">
        <v>2</v>
      </c>
    </row>
    <row r="43" spans="1:1" ht="15.75" customHeight="1" x14ac:dyDescent="0.2">
      <c r="A43" s="38" t="s">
        <v>0</v>
      </c>
    </row>
    <row r="44" spans="1:1" ht="15.75" customHeight="1" x14ac:dyDescent="0.2">
      <c r="A44" s="38" t="s">
        <v>0</v>
      </c>
    </row>
    <row r="45" spans="1:1" ht="15.75" customHeight="1" x14ac:dyDescent="0.2">
      <c r="A45" s="38" t="s">
        <v>2</v>
      </c>
    </row>
    <row r="46" spans="1:1" ht="15.75" customHeight="1" x14ac:dyDescent="0.2">
      <c r="A46" s="38" t="s">
        <v>2</v>
      </c>
    </row>
    <row r="47" spans="1:1" ht="15.75" customHeight="1" x14ac:dyDescent="0.2">
      <c r="A47" s="38" t="s">
        <v>0</v>
      </c>
    </row>
    <row r="48" spans="1:1" ht="15.75" customHeight="1" x14ac:dyDescent="0.2">
      <c r="A48" s="38" t="s">
        <v>1</v>
      </c>
    </row>
    <row r="49" spans="1:12" ht="15.75" customHeight="1" x14ac:dyDescent="0.2">
      <c r="A49" s="38" t="s">
        <v>3</v>
      </c>
    </row>
    <row r="50" spans="1:12" ht="15.75" customHeight="1" x14ac:dyDescent="0.2">
      <c r="A50" s="38" t="s">
        <v>2</v>
      </c>
    </row>
    <row r="51" spans="1:12" ht="15.75" customHeight="1" x14ac:dyDescent="0.2">
      <c r="A51" s="38" t="s">
        <v>3</v>
      </c>
    </row>
    <row r="52" spans="1:12" ht="15.75" customHeight="1" x14ac:dyDescent="0.2">
      <c r="A52" s="38" t="s">
        <v>3</v>
      </c>
    </row>
    <row r="53" spans="1:12" ht="15.75" customHeight="1" x14ac:dyDescent="0.2">
      <c r="A53" s="38" t="s">
        <v>2</v>
      </c>
    </row>
    <row r="54" spans="1:12" ht="15.75" customHeight="1" x14ac:dyDescent="0.2">
      <c r="A54" s="38" t="s">
        <v>0</v>
      </c>
    </row>
    <row r="55" spans="1:12" ht="15.75" customHeight="1" x14ac:dyDescent="0.2">
      <c r="A55" s="38" t="s">
        <v>2</v>
      </c>
    </row>
    <row r="56" spans="1:12" ht="15.75" customHeight="1" x14ac:dyDescent="0.2">
      <c r="A56" s="38" t="s">
        <v>2</v>
      </c>
    </row>
    <row r="57" spans="1:12" ht="15.75" customHeight="1" x14ac:dyDescent="0.2">
      <c r="A57" s="38" t="s">
        <v>2</v>
      </c>
      <c r="B57" s="51">
        <f ca="1">D18+D19</f>
        <v>0.75</v>
      </c>
    </row>
    <row r="58" spans="1:12" ht="15.75" customHeight="1" x14ac:dyDescent="0.2">
      <c r="A58" s="38" t="s">
        <v>2</v>
      </c>
    </row>
    <row r="59" spans="1:12" ht="15.75" customHeight="1" x14ac:dyDescent="0.2">
      <c r="A59" s="38" t="s">
        <v>0</v>
      </c>
    </row>
    <row r="60" spans="1:12" ht="15.75" customHeight="1" x14ac:dyDescent="0.2">
      <c r="A60" s="38" t="s">
        <v>0</v>
      </c>
    </row>
    <row r="61" spans="1:12" ht="15.75" customHeight="1" x14ac:dyDescent="0.2">
      <c r="A61" s="38" t="s">
        <v>2</v>
      </c>
    </row>
    <row r="62" spans="1:12" ht="15.75" customHeight="1" x14ac:dyDescent="0.2">
      <c r="L62" s="38"/>
    </row>
    <row r="63" spans="1:12" ht="15.75" customHeight="1" x14ac:dyDescent="0.2">
      <c r="L63" s="38"/>
    </row>
    <row r="64" spans="1:12" ht="15.75" customHeight="1" x14ac:dyDescent="0.2">
      <c r="L64" s="38"/>
    </row>
    <row r="65" spans="1:12" ht="15.75" customHeight="1" x14ac:dyDescent="0.2">
      <c r="L65" s="38"/>
    </row>
    <row r="66" spans="1:12" ht="15.75" customHeight="1" x14ac:dyDescent="0.2">
      <c r="L66" s="38"/>
    </row>
    <row r="67" spans="1:12" ht="15.75" customHeight="1" x14ac:dyDescent="0.2">
      <c r="L67" s="38"/>
    </row>
    <row r="68" spans="1:12" ht="15.75" customHeight="1" x14ac:dyDescent="0.2">
      <c r="L68" s="38"/>
    </row>
    <row r="69" spans="1:12" ht="15.75" customHeight="1" x14ac:dyDescent="0.2">
      <c r="L69" s="38"/>
    </row>
    <row r="70" spans="1:12" ht="15.75" customHeight="1" x14ac:dyDescent="0.2">
      <c r="L70" s="38"/>
    </row>
    <row r="71" spans="1:12" ht="15.75" customHeight="1" x14ac:dyDescent="0.2">
      <c r="L71" s="38"/>
    </row>
    <row r="72" spans="1:12" ht="15.75" customHeight="1" x14ac:dyDescent="0.2">
      <c r="L72" s="38"/>
    </row>
    <row r="73" spans="1:12" ht="15.75" customHeight="1" x14ac:dyDescent="0.2">
      <c r="A73" s="32" t="s">
        <v>27</v>
      </c>
    </row>
    <row r="74" spans="1:12" ht="15.75" customHeight="1" x14ac:dyDescent="0.2">
      <c r="A74" s="38">
        <v>26</v>
      </c>
    </row>
    <row r="75" spans="1:12" ht="15.75" customHeight="1" x14ac:dyDescent="0.2">
      <c r="A75" s="38">
        <v>26</v>
      </c>
    </row>
    <row r="76" spans="1:12" ht="15.75" customHeight="1" x14ac:dyDescent="0.2">
      <c r="A76" s="38">
        <v>27</v>
      </c>
    </row>
    <row r="77" spans="1:12" ht="15.75" customHeight="1" x14ac:dyDescent="0.2">
      <c r="A77" s="38">
        <v>28</v>
      </c>
    </row>
    <row r="78" spans="1:12" ht="15.75" customHeight="1" x14ac:dyDescent="0.2">
      <c r="A78" s="38">
        <v>30</v>
      </c>
    </row>
    <row r="79" spans="1:12" ht="15.75" customHeight="1" x14ac:dyDescent="0.2">
      <c r="A79" s="38">
        <v>31</v>
      </c>
    </row>
    <row r="80" spans="1:12" ht="15.75" customHeight="1" x14ac:dyDescent="0.2">
      <c r="A80" s="38">
        <v>31</v>
      </c>
    </row>
    <row r="81" spans="1:4" ht="15.75" customHeight="1" x14ac:dyDescent="0.2">
      <c r="A81" s="38">
        <v>32</v>
      </c>
    </row>
    <row r="82" spans="1:4" ht="15.75" customHeight="1" x14ac:dyDescent="0.2">
      <c r="A82" s="38">
        <v>32</v>
      </c>
    </row>
    <row r="83" spans="1:4" ht="15.75" customHeight="1" x14ac:dyDescent="0.2">
      <c r="A83" s="38">
        <v>33</v>
      </c>
      <c r="B83" s="39" t="s">
        <v>10</v>
      </c>
      <c r="C83" s="26" t="s">
        <v>11</v>
      </c>
    </row>
    <row r="84" spans="1:4" ht="15.75" customHeight="1" x14ac:dyDescent="0.2">
      <c r="A84" s="38">
        <v>33</v>
      </c>
      <c r="B84" s="25">
        <v>2</v>
      </c>
      <c r="C84" s="40">
        <v>6678</v>
      </c>
    </row>
    <row r="85" spans="1:4" ht="15.75" customHeight="1" x14ac:dyDescent="0.2">
      <c r="A85" s="38">
        <v>34</v>
      </c>
      <c r="B85" s="25">
        <v>3</v>
      </c>
      <c r="C85" s="41" t="s">
        <v>12</v>
      </c>
    </row>
    <row r="86" spans="1:4" ht="15.75" customHeight="1" x14ac:dyDescent="0.2">
      <c r="A86" s="38">
        <v>34</v>
      </c>
      <c r="B86" s="25">
        <v>4</v>
      </c>
      <c r="C86" s="40" t="s">
        <v>13</v>
      </c>
    </row>
    <row r="87" spans="1:4" ht="15.75" customHeight="1" x14ac:dyDescent="0.2">
      <c r="A87" s="38">
        <v>34</v>
      </c>
      <c r="B87" s="25">
        <v>5</v>
      </c>
      <c r="C87" s="40" t="s">
        <v>14</v>
      </c>
    </row>
    <row r="88" spans="1:4" ht="15.75" customHeight="1" x14ac:dyDescent="0.2">
      <c r="A88" s="38">
        <v>34</v>
      </c>
    </row>
    <row r="89" spans="1:4" ht="15.75" customHeight="1" x14ac:dyDescent="0.2">
      <c r="A89" s="38">
        <v>35</v>
      </c>
    </row>
    <row r="90" spans="1:4" ht="15.75" customHeight="1" x14ac:dyDescent="0.2">
      <c r="A90" s="38">
        <v>39</v>
      </c>
    </row>
    <row r="91" spans="1:4" ht="15.75" customHeight="1" x14ac:dyDescent="0.2">
      <c r="A91" s="38">
        <v>40</v>
      </c>
    </row>
    <row r="92" spans="1:4" ht="15.75" customHeight="1" x14ac:dyDescent="0.2">
      <c r="A92" s="38">
        <v>40</v>
      </c>
      <c r="B92" s="25">
        <v>2</v>
      </c>
      <c r="C92" s="42" t="s">
        <v>15</v>
      </c>
      <c r="D92" s="40" t="s">
        <v>16</v>
      </c>
    </row>
    <row r="93" spans="1:4" ht="15.75" customHeight="1" x14ac:dyDescent="0.2">
      <c r="A93" s="38">
        <v>41</v>
      </c>
      <c r="B93" s="25">
        <v>3</v>
      </c>
      <c r="C93" s="42" t="s">
        <v>17</v>
      </c>
      <c r="D93" s="40" t="s">
        <v>18</v>
      </c>
    </row>
    <row r="94" spans="1:4" ht="15.75" customHeight="1" x14ac:dyDescent="0.2">
      <c r="A94" s="38">
        <v>44</v>
      </c>
      <c r="B94" s="25">
        <v>3</v>
      </c>
      <c r="C94" s="42" t="s">
        <v>15</v>
      </c>
      <c r="D94" s="40" t="s">
        <v>19</v>
      </c>
    </row>
    <row r="95" spans="1:4" ht="15.75" customHeight="1" x14ac:dyDescent="0.2">
      <c r="A95" s="38">
        <v>44</v>
      </c>
      <c r="B95" s="25">
        <v>4</v>
      </c>
      <c r="C95" s="42" t="s">
        <v>17</v>
      </c>
      <c r="D95" s="40" t="s">
        <v>20</v>
      </c>
    </row>
    <row r="96" spans="1:4" ht="15.75" customHeight="1" x14ac:dyDescent="0.2">
      <c r="A96" s="38">
        <v>44</v>
      </c>
      <c r="B96" s="25">
        <v>4</v>
      </c>
      <c r="C96" s="42" t="s">
        <v>15</v>
      </c>
      <c r="D96" s="40" t="s">
        <v>21</v>
      </c>
    </row>
    <row r="97" spans="1:4" ht="15.75" customHeight="1" x14ac:dyDescent="0.2">
      <c r="A97" s="38">
        <v>45</v>
      </c>
      <c r="B97" s="25">
        <v>5</v>
      </c>
      <c r="C97" s="42" t="s">
        <v>17</v>
      </c>
      <c r="D97" s="40" t="s">
        <v>22</v>
      </c>
    </row>
    <row r="98" spans="1:4" ht="15.75" customHeight="1" x14ac:dyDescent="0.2">
      <c r="A98" s="38">
        <v>47</v>
      </c>
      <c r="B98" s="25">
        <v>5</v>
      </c>
      <c r="C98" s="42" t="s">
        <v>15</v>
      </c>
      <c r="D98" s="40" t="s">
        <v>23</v>
      </c>
    </row>
    <row r="99" spans="1:4" ht="15.75" customHeight="1" x14ac:dyDescent="0.2">
      <c r="A99" s="38">
        <v>48</v>
      </c>
    </row>
    <row r="100" spans="1:4" ht="15.75" customHeight="1" x14ac:dyDescent="0.2">
      <c r="A100" s="38">
        <v>50</v>
      </c>
    </row>
    <row r="101" spans="1:4" ht="15.75" customHeight="1" x14ac:dyDescent="0.2">
      <c r="A101" s="38">
        <v>50</v>
      </c>
    </row>
    <row r="102" spans="1:4" ht="15.75" customHeight="1" x14ac:dyDescent="0.2">
      <c r="A102" s="38">
        <v>51</v>
      </c>
    </row>
    <row r="103" spans="1:4" ht="15.75" customHeight="1" x14ac:dyDescent="0.2">
      <c r="A103" s="38">
        <v>52</v>
      </c>
    </row>
    <row r="104" spans="1:4" ht="15.75" customHeight="1" x14ac:dyDescent="0.2">
      <c r="A104" s="38">
        <v>52</v>
      </c>
    </row>
    <row r="105" spans="1:4" ht="15.75" customHeight="1" x14ac:dyDescent="0.2">
      <c r="A105" s="38">
        <v>53</v>
      </c>
    </row>
    <row r="106" spans="1:4" ht="15.75" customHeight="1" x14ac:dyDescent="0.2">
      <c r="A106" s="38">
        <v>53</v>
      </c>
    </row>
    <row r="107" spans="1:4" ht="15.75" customHeight="1" x14ac:dyDescent="0.2">
      <c r="A107" s="38">
        <v>54</v>
      </c>
    </row>
    <row r="108" spans="1:4" ht="15.75" customHeight="1" x14ac:dyDescent="0.2">
      <c r="A108" s="38">
        <v>55</v>
      </c>
    </row>
    <row r="109" spans="1:4" ht="15.75" customHeight="1" x14ac:dyDescent="0.2">
      <c r="A109" s="38">
        <v>57</v>
      </c>
    </row>
    <row r="110" spans="1:4" ht="15.75" customHeight="1" x14ac:dyDescent="0.2">
      <c r="A110" s="38">
        <v>57</v>
      </c>
    </row>
    <row r="111" spans="1:4" ht="15.75" customHeight="1" x14ac:dyDescent="0.2">
      <c r="A111" s="38">
        <v>58</v>
      </c>
    </row>
    <row r="112" spans="1:4" ht="15.75" customHeight="1" x14ac:dyDescent="0.2">
      <c r="A112" s="38">
        <v>58</v>
      </c>
    </row>
    <row r="113" spans="12:12" ht="15.75" customHeight="1" x14ac:dyDescent="0.2">
      <c r="L113" s="38"/>
    </row>
    <row r="114" spans="12:12" ht="15.75" customHeight="1" x14ac:dyDescent="0.2">
      <c r="L114" s="38"/>
    </row>
    <row r="115" spans="12:12" ht="15.75" customHeight="1" x14ac:dyDescent="0.2">
      <c r="L115" s="38"/>
    </row>
    <row r="116" spans="12:12" ht="15.75" customHeight="1" x14ac:dyDescent="0.2">
      <c r="L116" s="38"/>
    </row>
    <row r="117" spans="12:12" ht="15.75" customHeight="1" x14ac:dyDescent="0.2">
      <c r="L117" s="38"/>
    </row>
    <row r="118" spans="12:12" ht="15.75" customHeight="1" x14ac:dyDescent="0.2">
      <c r="L118" s="38"/>
    </row>
    <row r="119" spans="12:12" ht="15.75" customHeight="1" x14ac:dyDescent="0.2">
      <c r="L119" s="38"/>
    </row>
    <row r="120" spans="12:12" ht="15.75" customHeight="1" x14ac:dyDescent="0.2">
      <c r="L120" s="38"/>
    </row>
    <row r="121" spans="12:12" ht="15.75" customHeight="1" x14ac:dyDescent="0.2">
      <c r="L121" s="38"/>
    </row>
    <row r="122" spans="12:12" ht="15.75" customHeight="1" x14ac:dyDescent="0.2">
      <c r="L122" s="38"/>
    </row>
    <row r="123" spans="12:12" ht="15.75" customHeight="1" x14ac:dyDescent="0.2">
      <c r="L123" s="38"/>
    </row>
    <row r="124" spans="12:12" ht="15.75" customHeight="1" x14ac:dyDescent="0.2">
      <c r="L124" s="38"/>
    </row>
    <row r="125" spans="12:12" ht="15.75" customHeight="1" x14ac:dyDescent="0.2">
      <c r="L125" s="38"/>
    </row>
    <row r="126" spans="12:12" ht="15.75" customHeight="1" x14ac:dyDescent="0.2">
      <c r="L126" s="38"/>
    </row>
    <row r="127" spans="12:12" ht="15.75" customHeight="1" x14ac:dyDescent="0.2">
      <c r="L127" s="38"/>
    </row>
    <row r="128" spans="12:12" ht="15.75" customHeight="1" x14ac:dyDescent="0.2">
      <c r="L128" s="38"/>
    </row>
    <row r="129" spans="2:12" ht="15.75" customHeight="1" x14ac:dyDescent="0.2">
      <c r="L129" s="38"/>
    </row>
    <row r="130" spans="2:12" ht="15.75" customHeight="1" x14ac:dyDescent="0.2">
      <c r="B130" s="25" t="s">
        <v>24</v>
      </c>
      <c r="C130" s="25" t="s">
        <v>25</v>
      </c>
      <c r="L130" s="38"/>
    </row>
    <row r="131" spans="2:12" ht="15.75" customHeight="1" x14ac:dyDescent="0.2">
      <c r="B131" s="25">
        <v>30</v>
      </c>
      <c r="C131" s="25">
        <v>400</v>
      </c>
      <c r="L131" s="38"/>
    </row>
    <row r="132" spans="2:12" ht="15.75" customHeight="1" x14ac:dyDescent="0.2">
      <c r="B132" s="25">
        <v>27</v>
      </c>
      <c r="C132" s="25">
        <v>333</v>
      </c>
      <c r="L132" s="38"/>
    </row>
    <row r="133" spans="2:12" ht="15.75" customHeight="1" x14ac:dyDescent="0.2">
      <c r="B133" s="25">
        <v>29</v>
      </c>
      <c r="C133" s="25">
        <v>351</v>
      </c>
      <c r="L133" s="38"/>
    </row>
    <row r="134" spans="2:12" ht="15.75" customHeight="1" x14ac:dyDescent="0.2">
      <c r="B134" s="25">
        <v>17</v>
      </c>
      <c r="C134" s="25">
        <v>271</v>
      </c>
      <c r="L134" s="38"/>
    </row>
    <row r="135" spans="2:12" ht="15.75" customHeight="1" x14ac:dyDescent="0.2">
      <c r="B135" s="25">
        <v>34</v>
      </c>
      <c r="C135" s="25">
        <v>170</v>
      </c>
      <c r="L135" s="38"/>
    </row>
    <row r="136" spans="2:12" ht="15.75" customHeight="1" x14ac:dyDescent="0.2">
      <c r="B136" s="25">
        <v>17</v>
      </c>
      <c r="C136" s="25">
        <v>21</v>
      </c>
      <c r="L136" s="38"/>
    </row>
    <row r="137" spans="2:12" ht="15.75" customHeight="1" x14ac:dyDescent="0.2">
      <c r="B137" s="25">
        <v>10</v>
      </c>
      <c r="C137" s="25">
        <v>325</v>
      </c>
      <c r="L137" s="38"/>
    </row>
    <row r="138" spans="2:12" ht="15.75" customHeight="1" x14ac:dyDescent="0.2">
      <c r="B138" s="25">
        <v>37</v>
      </c>
      <c r="C138" s="25">
        <v>201</v>
      </c>
      <c r="L138" s="38"/>
    </row>
    <row r="139" spans="2:12" ht="15.75" customHeight="1" x14ac:dyDescent="0.2">
      <c r="B139" s="25">
        <v>36</v>
      </c>
      <c r="C139" s="25">
        <v>20</v>
      </c>
      <c r="L139" s="38"/>
    </row>
    <row r="140" spans="2:12" ht="15.75" customHeight="1" x14ac:dyDescent="0.2">
      <c r="B140" s="25">
        <v>16</v>
      </c>
      <c r="C140" s="25">
        <v>179</v>
      </c>
      <c r="L140" s="38"/>
    </row>
    <row r="141" spans="2:12" ht="15.75" customHeight="1" x14ac:dyDescent="0.2">
      <c r="B141" s="25">
        <v>39</v>
      </c>
      <c r="C141" s="25">
        <v>381</v>
      </c>
      <c r="L141" s="38"/>
    </row>
    <row r="142" spans="2:12" ht="15.75" customHeight="1" x14ac:dyDescent="0.2">
      <c r="B142" s="25">
        <v>33</v>
      </c>
      <c r="C142" s="25">
        <v>134</v>
      </c>
      <c r="L142" s="38"/>
    </row>
    <row r="143" spans="2:12" ht="15.75" customHeight="1" x14ac:dyDescent="0.2">
      <c r="L143" s="38"/>
    </row>
    <row r="144" spans="2:12" ht="15.75" customHeight="1" x14ac:dyDescent="0.2">
      <c r="L144" s="38"/>
    </row>
    <row r="145" spans="12:12" ht="15.75" customHeight="1" x14ac:dyDescent="0.2">
      <c r="L145" s="38"/>
    </row>
    <row r="146" spans="12:12" ht="15.75" customHeight="1" x14ac:dyDescent="0.2">
      <c r="L146" s="38"/>
    </row>
    <row r="147" spans="12:12" ht="15.75" customHeight="1" x14ac:dyDescent="0.2">
      <c r="L147" s="38"/>
    </row>
    <row r="148" spans="12:12" ht="15.75" customHeight="1" x14ac:dyDescent="0.2">
      <c r="L148" s="38"/>
    </row>
    <row r="149" spans="12:12" ht="15.75" customHeight="1" x14ac:dyDescent="0.2">
      <c r="L149" s="38"/>
    </row>
    <row r="150" spans="12:12" ht="15.75" customHeight="1" x14ac:dyDescent="0.2">
      <c r="L150" s="38"/>
    </row>
    <row r="151" spans="12:12" ht="15.75" customHeight="1" x14ac:dyDescent="0.2">
      <c r="L151" s="38"/>
    </row>
    <row r="152" spans="12:12" ht="15.75" customHeight="1" x14ac:dyDescent="0.2">
      <c r="L152" s="38"/>
    </row>
    <row r="153" spans="12:12" ht="15.75" customHeight="1" x14ac:dyDescent="0.2">
      <c r="L153" s="38"/>
    </row>
    <row r="154" spans="12:12" ht="15.75" customHeight="1" x14ac:dyDescent="0.2">
      <c r="L154" s="38"/>
    </row>
    <row r="155" spans="12:12" ht="15.75" customHeight="1" x14ac:dyDescent="0.2">
      <c r="L155" s="38"/>
    </row>
    <row r="156" spans="12:12" ht="15.75" customHeight="1" x14ac:dyDescent="0.2">
      <c r="L156" s="38"/>
    </row>
    <row r="157" spans="12:12" ht="15.75" customHeight="1" x14ac:dyDescent="0.2">
      <c r="L157" s="38"/>
    </row>
    <row r="158" spans="12:12" ht="15.75" customHeight="1" x14ac:dyDescent="0.2">
      <c r="L158" s="38"/>
    </row>
    <row r="159" spans="12:12" ht="15.75" customHeight="1" x14ac:dyDescent="0.2">
      <c r="L159" s="38"/>
    </row>
    <row r="160" spans="12:12" ht="15.75" customHeight="1" x14ac:dyDescent="0.2">
      <c r="L160" s="38"/>
    </row>
    <row r="161" spans="12:12" ht="15.75" customHeight="1" x14ac:dyDescent="0.2">
      <c r="L161" s="38"/>
    </row>
    <row r="162" spans="12:12" ht="15.75" customHeight="1" x14ac:dyDescent="0.2">
      <c r="L162" s="38"/>
    </row>
    <row r="163" spans="12:12" ht="15.75" customHeight="1" x14ac:dyDescent="0.2">
      <c r="L163" s="38"/>
    </row>
    <row r="164" spans="12:12" ht="15.75" customHeight="1" x14ac:dyDescent="0.2">
      <c r="L164" s="38"/>
    </row>
    <row r="165" spans="12:12" ht="15.75" customHeight="1" x14ac:dyDescent="0.2">
      <c r="L165" s="38"/>
    </row>
    <row r="166" spans="12:12" ht="15.75" customHeight="1" x14ac:dyDescent="0.2">
      <c r="L166" s="38"/>
    </row>
    <row r="167" spans="12:12" ht="15.75" customHeight="1" x14ac:dyDescent="0.2">
      <c r="L167" s="38"/>
    </row>
    <row r="168" spans="12:12" ht="15.75" customHeight="1" x14ac:dyDescent="0.2">
      <c r="L168" s="38"/>
    </row>
    <row r="169" spans="12:12" ht="15.75" customHeight="1" x14ac:dyDescent="0.2">
      <c r="L169" s="38"/>
    </row>
    <row r="170" spans="12:12" ht="15.75" customHeight="1" x14ac:dyDescent="0.2">
      <c r="L170" s="38"/>
    </row>
    <row r="171" spans="12:12" ht="15.75" customHeight="1" x14ac:dyDescent="0.2">
      <c r="L171" s="38"/>
    </row>
    <row r="172" spans="12:12" ht="15.75" customHeight="1" x14ac:dyDescent="0.2">
      <c r="L172" s="38"/>
    </row>
    <row r="173" spans="12:12" ht="15.75" customHeight="1" x14ac:dyDescent="0.2">
      <c r="L173" s="38"/>
    </row>
    <row r="174" spans="12:12" ht="15.75" customHeight="1" x14ac:dyDescent="0.2">
      <c r="L174" s="38"/>
    </row>
    <row r="175" spans="12:12" ht="15.75" customHeight="1" x14ac:dyDescent="0.2">
      <c r="L175" s="38"/>
    </row>
    <row r="176" spans="12:12" ht="15.75" customHeight="1" x14ac:dyDescent="0.2">
      <c r="L176" s="38"/>
    </row>
    <row r="177" spans="12:12" ht="15.75" customHeight="1" x14ac:dyDescent="0.2">
      <c r="L177" s="38"/>
    </row>
    <row r="178" spans="12:12" ht="15.75" customHeight="1" x14ac:dyDescent="0.2">
      <c r="L178" s="38"/>
    </row>
    <row r="179" spans="12:12" ht="15.75" customHeight="1" x14ac:dyDescent="0.2">
      <c r="L179" s="38"/>
    </row>
    <row r="180" spans="12:12" ht="15.75" customHeight="1" x14ac:dyDescent="0.2">
      <c r="L180" s="38"/>
    </row>
    <row r="182" spans="12:12" ht="15.75" customHeight="1" x14ac:dyDescent="0.2">
      <c r="L182" s="38"/>
    </row>
    <row r="183" spans="12:12" ht="15.75" customHeight="1" x14ac:dyDescent="0.2">
      <c r="L183" s="38"/>
    </row>
    <row r="184" spans="12:12" ht="15.75" customHeight="1" x14ac:dyDescent="0.2">
      <c r="L184" s="38"/>
    </row>
    <row r="185" spans="12:12" ht="15.75" customHeight="1" x14ac:dyDescent="0.2">
      <c r="L185" s="38"/>
    </row>
    <row r="186" spans="12:12" ht="15.75" customHeight="1" x14ac:dyDescent="0.2">
      <c r="L186" s="38"/>
    </row>
    <row r="187" spans="12:12" ht="15.75" customHeight="1" x14ac:dyDescent="0.2">
      <c r="L187" s="38"/>
    </row>
    <row r="188" spans="12:12" ht="15.75" customHeight="1" x14ac:dyDescent="0.2">
      <c r="L188" s="38"/>
    </row>
    <row r="189" spans="12:12" ht="15.75" customHeight="1" x14ac:dyDescent="0.2">
      <c r="L189" s="38"/>
    </row>
    <row r="190" spans="12:12" ht="15.75" customHeight="1" x14ac:dyDescent="0.2"/>
    <row r="191" spans="12:12" ht="15.75" customHeight="1" x14ac:dyDescent="0.2"/>
    <row r="192" spans="12:12" ht="15.75" customHeight="1" x14ac:dyDescent="0.2"/>
    <row r="193" spans="1:12" ht="15.75" customHeight="1" x14ac:dyDescent="0.2"/>
    <row r="194" spans="1:12" ht="15.75" customHeight="1" x14ac:dyDescent="0.2"/>
    <row r="195" spans="1:12" ht="15.75" customHeight="1" x14ac:dyDescent="0.2">
      <c r="L195" s="38"/>
    </row>
    <row r="196" spans="1:12" ht="15.75" customHeight="1" x14ac:dyDescent="0.2">
      <c r="L196" s="38"/>
    </row>
    <row r="197" spans="1:12" ht="15.75" customHeight="1" x14ac:dyDescent="0.2">
      <c r="L197" s="38"/>
    </row>
    <row r="198" spans="1:12" ht="15.75" customHeight="1" x14ac:dyDescent="0.2">
      <c r="L198" s="38"/>
    </row>
    <row r="199" spans="1:12" ht="15.75" customHeight="1" x14ac:dyDescent="0.2">
      <c r="A199" s="32" t="s">
        <v>27</v>
      </c>
      <c r="L199" s="38"/>
    </row>
    <row r="200" spans="1:12" ht="15.75" customHeight="1" x14ac:dyDescent="0.2">
      <c r="A200" s="52">
        <v>11</v>
      </c>
      <c r="L200" s="38"/>
    </row>
    <row r="201" spans="1:12" ht="15.75" customHeight="1" x14ac:dyDescent="0.2">
      <c r="A201" s="52">
        <v>33</v>
      </c>
      <c r="L201" s="38"/>
    </row>
    <row r="202" spans="1:12" ht="15.75" customHeight="1" x14ac:dyDescent="0.2">
      <c r="A202" s="52">
        <v>17</v>
      </c>
      <c r="L202" s="38"/>
    </row>
    <row r="203" spans="1:12" ht="15.75" customHeight="1" x14ac:dyDescent="0.2">
      <c r="A203" s="52">
        <v>46</v>
      </c>
      <c r="L203" s="38"/>
    </row>
    <row r="204" spans="1:12" ht="15.75" customHeight="1" x14ac:dyDescent="0.2">
      <c r="A204" s="52">
        <v>38</v>
      </c>
      <c r="L204" s="38"/>
    </row>
    <row r="205" spans="1:12" ht="15.75" customHeight="1" x14ac:dyDescent="0.2">
      <c r="A205" s="53">
        <v>33</v>
      </c>
      <c r="L205" s="38"/>
    </row>
    <row r="206" spans="1:12" ht="15.75" customHeight="1" x14ac:dyDescent="0.2">
      <c r="A206" s="52">
        <v>45</v>
      </c>
      <c r="L206" s="38"/>
    </row>
    <row r="207" spans="1:12" ht="15.75" customHeight="1" x14ac:dyDescent="0.2">
      <c r="A207" s="52">
        <v>11</v>
      </c>
      <c r="L207" s="38"/>
    </row>
    <row r="208" spans="1:12" ht="15.75" customHeight="1" x14ac:dyDescent="0.2">
      <c r="A208" s="52">
        <v>15</v>
      </c>
      <c r="L208" s="38"/>
    </row>
    <row r="209" spans="1:12" ht="15.75" customHeight="1" x14ac:dyDescent="0.2">
      <c r="A209" s="52">
        <v>23</v>
      </c>
      <c r="B209" s="43" t="s">
        <v>28</v>
      </c>
      <c r="C209" s="43" t="s">
        <v>29</v>
      </c>
      <c r="D209" s="43" t="s">
        <v>30</v>
      </c>
      <c r="F209" s="44" t="s">
        <v>120</v>
      </c>
      <c r="G209" s="29" t="s">
        <v>124</v>
      </c>
      <c r="L209" s="38"/>
    </row>
    <row r="210" spans="1:12" ht="15.75" customHeight="1" x14ac:dyDescent="0.2">
      <c r="A210" s="52">
        <v>34</v>
      </c>
      <c r="B210" s="25">
        <v>1</v>
      </c>
      <c r="C210" s="25">
        <f t="shared" ref="C210:C219" si="1">2^B210</f>
        <v>2</v>
      </c>
      <c r="D210" s="22">
        <f t="shared" ref="D210:D219" ca="1" si="2">$G$211</f>
        <v>25</v>
      </c>
      <c r="F210" s="22" t="s">
        <v>119</v>
      </c>
      <c r="G210" s="29" t="s">
        <v>139</v>
      </c>
      <c r="H210" s="34"/>
      <c r="L210" s="38"/>
    </row>
    <row r="211" spans="1:12" ht="15.75" customHeight="1" x14ac:dyDescent="0.2">
      <c r="A211" s="52">
        <v>33</v>
      </c>
      <c r="B211" s="25">
        <v>2</v>
      </c>
      <c r="C211" s="25">
        <f t="shared" si="1"/>
        <v>4</v>
      </c>
      <c r="D211" s="22">
        <f t="shared" ca="1" si="2"/>
        <v>25</v>
      </c>
      <c r="F211" s="22" t="s">
        <v>111</v>
      </c>
      <c r="G211" s="22">
        <f ca="1">COUNT(INDIRECT(G209&amp;":"&amp;G210))</f>
        <v>25</v>
      </c>
      <c r="H211" s="34"/>
      <c r="L211" s="38"/>
    </row>
    <row r="212" spans="1:12" ht="15.75" customHeight="1" x14ac:dyDescent="0.2">
      <c r="A212" s="53">
        <v>49</v>
      </c>
      <c r="B212" s="25">
        <v>3</v>
      </c>
      <c r="C212" s="25">
        <f t="shared" si="1"/>
        <v>8</v>
      </c>
      <c r="D212" s="22">
        <f t="shared" ca="1" si="2"/>
        <v>25</v>
      </c>
      <c r="F212" s="22" t="s">
        <v>112</v>
      </c>
      <c r="G212" s="22">
        <v>5</v>
      </c>
      <c r="H212" s="35"/>
      <c r="L212" s="38"/>
    </row>
    <row r="213" spans="1:12" ht="15.75" customHeight="1" x14ac:dyDescent="0.2">
      <c r="A213" s="52">
        <v>28</v>
      </c>
      <c r="B213" s="25">
        <v>4</v>
      </c>
      <c r="C213" s="25">
        <f t="shared" si="1"/>
        <v>16</v>
      </c>
      <c r="D213" s="22">
        <f t="shared" ca="1" si="2"/>
        <v>25</v>
      </c>
      <c r="F213" s="22" t="s">
        <v>117</v>
      </c>
      <c r="G213" s="25">
        <f ca="1">MIN(INDIRECT(G209&amp;":"&amp;G210))</f>
        <v>11</v>
      </c>
      <c r="H213" s="34"/>
      <c r="L213" s="38"/>
    </row>
    <row r="214" spans="1:12" ht="15.75" customHeight="1" x14ac:dyDescent="0.2">
      <c r="A214" s="52">
        <v>32</v>
      </c>
      <c r="B214" s="22">
        <v>5</v>
      </c>
      <c r="C214" s="22">
        <f t="shared" si="1"/>
        <v>32</v>
      </c>
      <c r="D214" s="22">
        <f t="shared" ca="1" si="2"/>
        <v>25</v>
      </c>
      <c r="F214" s="22" t="s">
        <v>118</v>
      </c>
      <c r="G214" s="22">
        <f ca="1">MAX(INDIRECT(G209&amp;":"&amp;G210))</f>
        <v>49</v>
      </c>
      <c r="L214" s="38"/>
    </row>
    <row r="215" spans="1:12" ht="15.75" customHeight="1" x14ac:dyDescent="0.2">
      <c r="A215" s="53">
        <v>37</v>
      </c>
      <c r="B215" s="25">
        <v>6</v>
      </c>
      <c r="C215" s="25">
        <f t="shared" si="1"/>
        <v>64</v>
      </c>
      <c r="D215" s="22">
        <f t="shared" ca="1" si="2"/>
        <v>25</v>
      </c>
      <c r="F215" s="22" t="s">
        <v>113</v>
      </c>
      <c r="G215" s="22">
        <v>10</v>
      </c>
      <c r="L215" s="38"/>
    </row>
    <row r="216" spans="1:12" ht="15.75" customHeight="1" x14ac:dyDescent="0.2">
      <c r="A216" s="53">
        <v>16</v>
      </c>
      <c r="B216" s="25">
        <v>7</v>
      </c>
      <c r="C216" s="25">
        <f t="shared" si="1"/>
        <v>128</v>
      </c>
      <c r="D216" s="22">
        <f t="shared" ca="1" si="2"/>
        <v>25</v>
      </c>
      <c r="F216" s="22" t="s">
        <v>35</v>
      </c>
      <c r="G216" s="50">
        <f ca="1">AVERAGE(INDIRECT(G209&amp;":"&amp;G210))</f>
        <v>29.84</v>
      </c>
      <c r="L216" s="38"/>
    </row>
    <row r="217" spans="1:12" ht="15.75" customHeight="1" x14ac:dyDescent="0.2">
      <c r="A217" s="53">
        <v>36</v>
      </c>
      <c r="B217" s="25">
        <v>8</v>
      </c>
      <c r="C217" s="25">
        <f t="shared" si="1"/>
        <v>256</v>
      </c>
      <c r="D217" s="22">
        <f t="shared" ca="1" si="2"/>
        <v>25</v>
      </c>
      <c r="F217" s="22" t="s">
        <v>123</v>
      </c>
      <c r="G217" s="22">
        <f ca="1">MEDIAN(INDIRECT(G209&amp;":"&amp;G210))</f>
        <v>33</v>
      </c>
      <c r="L217" s="38"/>
    </row>
    <row r="218" spans="1:12" ht="15.75" customHeight="1" x14ac:dyDescent="0.2">
      <c r="A218" s="52">
        <v>28</v>
      </c>
      <c r="B218" s="25">
        <v>9</v>
      </c>
      <c r="C218" s="25">
        <f t="shared" si="1"/>
        <v>512</v>
      </c>
      <c r="D218" s="22">
        <f t="shared" ca="1" si="2"/>
        <v>25</v>
      </c>
      <c r="F218" s="22" t="s">
        <v>138</v>
      </c>
      <c r="G218" s="22">
        <f ca="1">_xlfn.MODE.SNGL(INDIRECT(G209&amp;":"&amp;G210))</f>
        <v>33</v>
      </c>
      <c r="L218" s="38"/>
    </row>
    <row r="219" spans="1:12" ht="15.75" customHeight="1" x14ac:dyDescent="0.2">
      <c r="A219" s="52">
        <v>46</v>
      </c>
      <c r="B219" s="25">
        <v>10</v>
      </c>
      <c r="C219" s="25">
        <f t="shared" si="1"/>
        <v>1024</v>
      </c>
      <c r="D219" s="22">
        <f t="shared" ca="1" si="2"/>
        <v>25</v>
      </c>
      <c r="F219" s="22" t="s">
        <v>34</v>
      </c>
      <c r="G219" s="50">
        <f ca="1">_xlfn.STDEV.P(INDIRECT(G209&amp;":"&amp;G210))</f>
        <v>12.350481771979586</v>
      </c>
      <c r="L219" s="38"/>
    </row>
    <row r="220" spans="1:12" ht="15.75" customHeight="1" x14ac:dyDescent="0.2">
      <c r="A220" s="53">
        <v>44</v>
      </c>
      <c r="L220" s="38"/>
    </row>
    <row r="221" spans="1:12" ht="15.75" customHeight="1" x14ac:dyDescent="0.2">
      <c r="A221" s="53">
        <v>19</v>
      </c>
      <c r="L221" s="38"/>
    </row>
    <row r="222" spans="1:12" ht="15.75" customHeight="1" x14ac:dyDescent="0.2">
      <c r="A222" s="52">
        <v>13</v>
      </c>
      <c r="B222" s="19" t="s">
        <v>26</v>
      </c>
      <c r="C222" s="19" t="s">
        <v>114</v>
      </c>
      <c r="D222" s="19" t="s">
        <v>115</v>
      </c>
      <c r="E222" s="19" t="s">
        <v>5</v>
      </c>
      <c r="F222" s="19" t="s">
        <v>110</v>
      </c>
      <c r="G222" s="19" t="s">
        <v>137</v>
      </c>
      <c r="H222" s="19" t="s">
        <v>121</v>
      </c>
      <c r="I222" s="19" t="s">
        <v>122</v>
      </c>
      <c r="L222" s="38"/>
    </row>
    <row r="223" spans="1:12" ht="15.75" customHeight="1" x14ac:dyDescent="0.2">
      <c r="A223" s="53">
        <v>46</v>
      </c>
      <c r="B223" s="22" t="s">
        <v>127</v>
      </c>
      <c r="C223" s="22">
        <f>0</f>
        <v>0</v>
      </c>
      <c r="D223" s="22">
        <f t="shared" ref="D223:D228" si="3">C223+$G$215</f>
        <v>10</v>
      </c>
      <c r="E223" s="22">
        <f ca="1">COUNTIFS(INDIRECT($G$209&amp;":"&amp;$G$210), "&gt;="&amp;C223, INDIRECT($G$209&amp;":"&amp;$G$210), "&lt;"&amp;D223)</f>
        <v>0</v>
      </c>
      <c r="F223" s="36">
        <f t="shared" ref="F223:F228" ca="1" si="4">E223/$G$211</f>
        <v>0</v>
      </c>
      <c r="G223" s="36">
        <f ca="1">F223</f>
        <v>0</v>
      </c>
      <c r="H223" s="22">
        <f ca="1">((C223+D223)/2)*E223</f>
        <v>0</v>
      </c>
      <c r="I223" s="22"/>
      <c r="J223" s="24"/>
      <c r="L223" s="38"/>
    </row>
    <row r="224" spans="1:12" ht="15.75" customHeight="1" x14ac:dyDescent="0.2">
      <c r="A224" s="52">
        <v>13</v>
      </c>
      <c r="B224" s="22" t="s">
        <v>128</v>
      </c>
      <c r="C224" s="22">
        <f>D223</f>
        <v>10</v>
      </c>
      <c r="D224" s="22">
        <f t="shared" si="3"/>
        <v>20</v>
      </c>
      <c r="E224" s="22">
        <f t="shared" ref="E224:E232" ca="1" si="5">COUNTIFS(INDIRECT($G$209&amp;":"&amp;$G$210), "&gt;="&amp;C224, INDIRECT($G$209&amp;":"&amp;$G$210), "&lt;"&amp;D224)</f>
        <v>8</v>
      </c>
      <c r="F224" s="36">
        <f t="shared" ca="1" si="4"/>
        <v>0.32</v>
      </c>
      <c r="G224" s="36">
        <f ca="1">G223+F224</f>
        <v>0.32</v>
      </c>
      <c r="H224" s="22">
        <f ca="1">((C224+D224)/2)*E224</f>
        <v>120</v>
      </c>
      <c r="I224" s="22"/>
      <c r="J224" s="24"/>
      <c r="L224" s="38"/>
    </row>
    <row r="225" spans="1:12" ht="15.75" customHeight="1" x14ac:dyDescent="0.2">
      <c r="A225" s="54"/>
      <c r="B225" s="22" t="s">
        <v>129</v>
      </c>
      <c r="C225" s="22">
        <f t="shared" ref="C225:C232" si="6">D224</f>
        <v>20</v>
      </c>
      <c r="D225" s="22">
        <f t="shared" si="3"/>
        <v>30</v>
      </c>
      <c r="E225" s="22">
        <f t="shared" ca="1" si="5"/>
        <v>3</v>
      </c>
      <c r="F225" s="36">
        <f t="shared" ca="1" si="4"/>
        <v>0.12</v>
      </c>
      <c r="G225" s="36">
        <f t="shared" ref="G225:G232" ca="1" si="7">G224+F225</f>
        <v>0.44</v>
      </c>
      <c r="H225" s="22">
        <f t="shared" ref="H225:H232" ca="1" si="8">((C225+D225)/2)*E225</f>
        <v>75</v>
      </c>
      <c r="I225" s="22"/>
      <c r="J225" s="24"/>
      <c r="L225" s="38"/>
    </row>
    <row r="226" spans="1:12" ht="15.75" customHeight="1" x14ac:dyDescent="0.2">
      <c r="A226" s="54"/>
      <c r="B226" s="22" t="s">
        <v>130</v>
      </c>
      <c r="C226" s="22">
        <f t="shared" si="6"/>
        <v>30</v>
      </c>
      <c r="D226" s="22">
        <f t="shared" si="3"/>
        <v>40</v>
      </c>
      <c r="E226" s="22">
        <f t="shared" ca="1" si="5"/>
        <v>8</v>
      </c>
      <c r="F226" s="36">
        <f t="shared" ca="1" si="4"/>
        <v>0.32</v>
      </c>
      <c r="G226" s="36">
        <f t="shared" ca="1" si="7"/>
        <v>0.76</v>
      </c>
      <c r="H226" s="22">
        <f t="shared" ca="1" si="8"/>
        <v>280</v>
      </c>
      <c r="I226" s="22"/>
      <c r="J226" s="24"/>
      <c r="L226" s="38"/>
    </row>
    <row r="227" spans="1:12" ht="15.75" customHeight="1" x14ac:dyDescent="0.2">
      <c r="A227" s="54"/>
      <c r="B227" s="22" t="s">
        <v>131</v>
      </c>
      <c r="C227" s="22">
        <f t="shared" si="6"/>
        <v>40</v>
      </c>
      <c r="D227" s="22">
        <f t="shared" si="3"/>
        <v>50</v>
      </c>
      <c r="E227" s="22">
        <f t="shared" ca="1" si="5"/>
        <v>6</v>
      </c>
      <c r="F227" s="36">
        <f t="shared" ca="1" si="4"/>
        <v>0.24</v>
      </c>
      <c r="G227" s="36">
        <f t="shared" ca="1" si="7"/>
        <v>1</v>
      </c>
      <c r="H227" s="22">
        <f t="shared" ca="1" si="8"/>
        <v>270</v>
      </c>
      <c r="I227" s="22"/>
      <c r="J227" s="24"/>
      <c r="L227" s="38"/>
    </row>
    <row r="228" spans="1:12" ht="15.75" customHeight="1" x14ac:dyDescent="0.2">
      <c r="A228" s="30"/>
      <c r="B228" s="22" t="s">
        <v>132</v>
      </c>
      <c r="C228" s="22">
        <f t="shared" si="6"/>
        <v>50</v>
      </c>
      <c r="D228" s="22">
        <f t="shared" si="3"/>
        <v>60</v>
      </c>
      <c r="E228" s="22">
        <f t="shared" ca="1" si="5"/>
        <v>0</v>
      </c>
      <c r="F228" s="36">
        <f t="shared" ca="1" si="4"/>
        <v>0</v>
      </c>
      <c r="G228" s="36">
        <f t="shared" ca="1" si="7"/>
        <v>1</v>
      </c>
      <c r="H228" s="22">
        <f t="shared" ca="1" si="8"/>
        <v>0</v>
      </c>
      <c r="I228" s="22"/>
      <c r="L228" s="38"/>
    </row>
    <row r="229" spans="1:12" ht="15.75" customHeight="1" x14ac:dyDescent="0.2">
      <c r="A229" s="30"/>
      <c r="B229" s="22" t="s">
        <v>133</v>
      </c>
      <c r="C229" s="22">
        <f t="shared" si="6"/>
        <v>60</v>
      </c>
      <c r="D229" s="22">
        <f t="shared" ref="D229:D232" si="9">C229+$G$215</f>
        <v>70</v>
      </c>
      <c r="E229" s="22">
        <f t="shared" ca="1" si="5"/>
        <v>0</v>
      </c>
      <c r="F229" s="36">
        <f t="shared" ref="F229:F232" ca="1" si="10">E229/$G$211</f>
        <v>0</v>
      </c>
      <c r="G229" s="36">
        <f t="shared" ca="1" si="7"/>
        <v>1</v>
      </c>
      <c r="H229" s="22">
        <f t="shared" ca="1" si="8"/>
        <v>0</v>
      </c>
      <c r="I229" s="22"/>
      <c r="L229" s="38"/>
    </row>
    <row r="230" spans="1:12" ht="15.75" customHeight="1" x14ac:dyDescent="0.2">
      <c r="A230" s="30"/>
      <c r="B230" s="22" t="s">
        <v>134</v>
      </c>
      <c r="C230" s="22">
        <f t="shared" si="6"/>
        <v>70</v>
      </c>
      <c r="D230" s="22">
        <f t="shared" si="9"/>
        <v>80</v>
      </c>
      <c r="E230" s="22">
        <f t="shared" ca="1" si="5"/>
        <v>0</v>
      </c>
      <c r="F230" s="36">
        <f t="shared" ca="1" si="10"/>
        <v>0</v>
      </c>
      <c r="G230" s="36">
        <f t="shared" ca="1" si="7"/>
        <v>1</v>
      </c>
      <c r="H230" s="22">
        <f t="shared" ca="1" si="8"/>
        <v>0</v>
      </c>
      <c r="I230" s="22"/>
      <c r="J230" s="18"/>
      <c r="K230" s="18"/>
      <c r="L230" s="38"/>
    </row>
    <row r="231" spans="1:12" ht="15.75" customHeight="1" x14ac:dyDescent="0.2">
      <c r="A231" s="54"/>
      <c r="B231" s="22" t="s">
        <v>135</v>
      </c>
      <c r="C231" s="22">
        <f t="shared" si="6"/>
        <v>80</v>
      </c>
      <c r="D231" s="22">
        <f t="shared" si="9"/>
        <v>90</v>
      </c>
      <c r="E231" s="22">
        <f t="shared" ca="1" si="5"/>
        <v>0</v>
      </c>
      <c r="F231" s="36">
        <f t="shared" ca="1" si="10"/>
        <v>0</v>
      </c>
      <c r="G231" s="36">
        <f t="shared" ca="1" si="7"/>
        <v>1</v>
      </c>
      <c r="H231" s="22">
        <f t="shared" ca="1" si="8"/>
        <v>0</v>
      </c>
      <c r="I231" s="22"/>
      <c r="L231" s="38"/>
    </row>
    <row r="232" spans="1:12" ht="15.75" customHeight="1" x14ac:dyDescent="0.2">
      <c r="A232" s="54"/>
      <c r="B232" s="22" t="s">
        <v>136</v>
      </c>
      <c r="C232" s="22">
        <f t="shared" si="6"/>
        <v>90</v>
      </c>
      <c r="D232" s="22">
        <f t="shared" si="9"/>
        <v>100</v>
      </c>
      <c r="E232" s="22">
        <f t="shared" ca="1" si="5"/>
        <v>0</v>
      </c>
      <c r="F232" s="36">
        <f t="shared" ca="1" si="10"/>
        <v>0</v>
      </c>
      <c r="G232" s="36">
        <f t="shared" ca="1" si="7"/>
        <v>1</v>
      </c>
      <c r="H232" s="22">
        <f t="shared" ca="1" si="8"/>
        <v>0</v>
      </c>
      <c r="I232" s="22"/>
      <c r="L232" s="38"/>
    </row>
    <row r="233" spans="1:12" ht="15.75" customHeight="1" x14ac:dyDescent="0.2">
      <c r="A233" s="30"/>
      <c r="H233" s="22">
        <f ca="1">SUM(H223:H232)/G211</f>
        <v>29.8</v>
      </c>
      <c r="I233" s="22"/>
      <c r="L233" s="38"/>
    </row>
    <row r="234" spans="1:12" ht="15.75" customHeight="1" x14ac:dyDescent="0.2">
      <c r="A234" s="30"/>
      <c r="L234" s="38"/>
    </row>
    <row r="235" spans="1:12" ht="15.75" customHeight="1" x14ac:dyDescent="0.2">
      <c r="A235" s="54"/>
      <c r="L235" s="38"/>
    </row>
    <row r="236" spans="1:12" ht="15.75" customHeight="1" x14ac:dyDescent="0.2">
      <c r="L236" s="38"/>
    </row>
    <row r="237" spans="1:12" ht="15.75" customHeight="1" x14ac:dyDescent="0.2">
      <c r="L237" s="38"/>
    </row>
    <row r="238" spans="1:12" ht="15.75" customHeight="1" x14ac:dyDescent="0.2">
      <c r="L238" s="38"/>
    </row>
    <row r="239" spans="1:12" ht="15.75" customHeight="1" x14ac:dyDescent="0.2">
      <c r="L239" s="38"/>
    </row>
    <row r="240" spans="1:12" ht="15.75" customHeight="1" x14ac:dyDescent="0.2">
      <c r="L240" s="38"/>
    </row>
    <row r="241" spans="1:12" ht="15.75" customHeight="1" x14ac:dyDescent="0.2">
      <c r="J241" s="45"/>
      <c r="K241" s="46"/>
      <c r="L241" s="38"/>
    </row>
    <row r="242" spans="1:12" ht="15.75" customHeight="1" x14ac:dyDescent="0.2">
      <c r="J242" s="45"/>
      <c r="K242" s="46"/>
      <c r="L242" s="38"/>
    </row>
    <row r="243" spans="1:12" ht="15.75" customHeight="1" x14ac:dyDescent="0.2">
      <c r="J243" s="45"/>
      <c r="K243" s="46"/>
      <c r="L243" s="38"/>
    </row>
    <row r="244" spans="1:12" ht="15.75" customHeight="1" x14ac:dyDescent="0.2">
      <c r="J244" s="45"/>
      <c r="K244" s="46"/>
      <c r="L244" s="38"/>
    </row>
    <row r="245" spans="1:12" ht="15.75" customHeight="1" x14ac:dyDescent="0.2">
      <c r="J245" s="45"/>
      <c r="K245" s="46"/>
      <c r="L245" s="38"/>
    </row>
    <row r="246" spans="1:12" ht="15.75" customHeight="1" x14ac:dyDescent="0.2">
      <c r="L246" s="38"/>
    </row>
    <row r="247" spans="1:12" ht="15.75" customHeight="1" x14ac:dyDescent="0.2">
      <c r="L247" s="38"/>
    </row>
    <row r="248" spans="1:12" ht="15.75" customHeight="1" x14ac:dyDescent="0.2">
      <c r="L248" s="38"/>
    </row>
    <row r="249" spans="1:12" ht="15.75" customHeight="1" x14ac:dyDescent="0.2">
      <c r="L249" s="38"/>
    </row>
    <row r="250" spans="1:12" ht="15.75" customHeight="1" x14ac:dyDescent="0.2">
      <c r="L250" s="38"/>
    </row>
    <row r="251" spans="1:12" ht="15.75" customHeight="1" x14ac:dyDescent="0.2">
      <c r="L251" s="38"/>
    </row>
    <row r="252" spans="1:12" ht="15.75" customHeight="1" x14ac:dyDescent="0.2"/>
    <row r="253" spans="1:12" ht="15.75" customHeight="1" x14ac:dyDescent="0.2"/>
    <row r="254" spans="1:12" ht="15.75" customHeight="1" x14ac:dyDescent="0.2"/>
    <row r="255" spans="1:12" ht="15.75" customHeight="1" x14ac:dyDescent="0.2"/>
    <row r="256" spans="1:12" ht="15.75" customHeight="1" x14ac:dyDescent="0.2">
      <c r="A256" s="34"/>
      <c r="B256" s="34"/>
      <c r="C256" s="34"/>
      <c r="D256" s="34"/>
      <c r="E256" s="34"/>
      <c r="F256" s="34"/>
      <c r="G256" s="34"/>
    </row>
    <row r="257" spans="1:13" ht="15.75" customHeight="1" x14ac:dyDescent="0.2">
      <c r="A257" s="34"/>
      <c r="B257" s="34"/>
      <c r="C257" s="34"/>
      <c r="D257" s="34"/>
      <c r="E257" s="34"/>
      <c r="F257" s="34"/>
      <c r="G257" s="34"/>
    </row>
    <row r="258" spans="1:13" ht="15.75" customHeight="1" x14ac:dyDescent="0.2">
      <c r="A258" s="34"/>
      <c r="B258" s="34"/>
      <c r="C258" s="34"/>
      <c r="D258" s="34"/>
      <c r="E258" s="34"/>
      <c r="F258" s="34"/>
      <c r="G258" s="34"/>
    </row>
    <row r="259" spans="1:13" ht="15.75" customHeight="1" x14ac:dyDescent="0.2">
      <c r="A259" s="34"/>
      <c r="B259" s="34"/>
      <c r="C259" s="34"/>
      <c r="D259" s="34"/>
      <c r="E259" s="34"/>
      <c r="F259" s="34"/>
      <c r="G259" s="34"/>
      <c r="L259" s="38"/>
      <c r="M259" s="30"/>
    </row>
    <row r="260" spans="1:13" ht="15.75" customHeight="1" x14ac:dyDescent="0.2">
      <c r="A260" s="34"/>
      <c r="B260" s="34"/>
      <c r="C260" s="34"/>
      <c r="D260" s="34"/>
      <c r="E260" s="34"/>
      <c r="F260" s="34"/>
      <c r="G260" s="34"/>
      <c r="L260" s="38"/>
    </row>
    <row r="261" spans="1:13" ht="15.75" customHeight="1" x14ac:dyDescent="0.2">
      <c r="A261" s="34"/>
      <c r="B261" s="34"/>
      <c r="C261" s="33"/>
      <c r="D261" s="47"/>
      <c r="E261" s="33"/>
      <c r="F261" s="34"/>
      <c r="G261" s="34"/>
      <c r="L261" s="38"/>
    </row>
    <row r="262" spans="1:13" ht="15.75" customHeight="1" x14ac:dyDescent="0.2">
      <c r="A262" s="34"/>
      <c r="B262" s="34"/>
      <c r="C262" s="35"/>
      <c r="D262" s="48"/>
      <c r="E262" s="49"/>
      <c r="F262" s="34"/>
      <c r="G262" s="34"/>
      <c r="L262" s="38"/>
    </row>
    <row r="263" spans="1:13" ht="15.75" customHeight="1" x14ac:dyDescent="0.2">
      <c r="A263" s="34"/>
      <c r="B263" s="34"/>
      <c r="C263" s="35"/>
      <c r="D263" s="48"/>
      <c r="E263" s="37"/>
      <c r="F263" s="34"/>
      <c r="G263" s="34"/>
      <c r="L263" s="38"/>
    </row>
    <row r="264" spans="1:13" ht="15.75" customHeight="1" x14ac:dyDescent="0.2">
      <c r="A264" s="34"/>
      <c r="B264" s="34"/>
      <c r="C264" s="35"/>
      <c r="D264" s="48"/>
      <c r="E264" s="49"/>
      <c r="F264" s="34"/>
      <c r="G264" s="34"/>
      <c r="L264" s="38"/>
    </row>
    <row r="265" spans="1:13" ht="15.75" customHeight="1" x14ac:dyDescent="0.2">
      <c r="A265" s="34"/>
      <c r="B265" s="34"/>
      <c r="C265" s="35"/>
      <c r="D265" s="48"/>
      <c r="E265" s="37"/>
      <c r="F265" s="34"/>
      <c r="G265" s="34"/>
      <c r="L265" s="38"/>
    </row>
    <row r="266" spans="1:13" ht="15.75" customHeight="1" x14ac:dyDescent="0.2">
      <c r="A266" s="34"/>
      <c r="B266" s="34"/>
      <c r="C266" s="35"/>
      <c r="D266" s="48"/>
      <c r="E266" s="49"/>
      <c r="F266" s="34"/>
      <c r="G266" s="34"/>
      <c r="L266" s="38"/>
    </row>
    <row r="267" spans="1:13" ht="15.75" customHeight="1" x14ac:dyDescent="0.2">
      <c r="A267" s="34"/>
      <c r="B267" s="34"/>
      <c r="C267" s="35"/>
      <c r="D267" s="48"/>
      <c r="E267" s="37"/>
      <c r="F267" s="34"/>
      <c r="G267" s="34"/>
      <c r="L267" s="38"/>
    </row>
    <row r="268" spans="1:13" ht="15.75" customHeight="1" x14ac:dyDescent="0.2">
      <c r="A268" s="34"/>
      <c r="B268" s="34"/>
      <c r="C268" s="34"/>
      <c r="D268" s="34"/>
      <c r="E268" s="34"/>
      <c r="F268" s="34"/>
      <c r="G268" s="34"/>
      <c r="L268" s="38"/>
    </row>
    <row r="269" spans="1:13" ht="15.75" customHeight="1" x14ac:dyDescent="0.2">
      <c r="A269" s="34"/>
      <c r="B269" s="34"/>
      <c r="C269" s="34"/>
      <c r="D269" s="34"/>
      <c r="E269" s="34"/>
      <c r="F269" s="34"/>
      <c r="G269" s="34"/>
      <c r="L269" s="38"/>
    </row>
    <row r="270" spans="1:13" ht="15.75" customHeight="1" x14ac:dyDescent="0.2">
      <c r="L270" s="38"/>
    </row>
    <row r="271" spans="1:13" ht="15.75" customHeight="1" x14ac:dyDescent="0.2">
      <c r="L271" s="38"/>
    </row>
    <row r="272" spans="1:13" ht="15.75" customHeight="1" x14ac:dyDescent="0.2">
      <c r="L272" s="38"/>
    </row>
    <row r="273" spans="12:12" ht="15.75" customHeight="1" x14ac:dyDescent="0.2">
      <c r="L273" s="38"/>
    </row>
    <row r="274" spans="12:12" ht="15.75" customHeight="1" x14ac:dyDescent="0.2">
      <c r="L274" s="38"/>
    </row>
    <row r="275" spans="12:12" ht="15.75" customHeight="1" x14ac:dyDescent="0.2">
      <c r="L275" s="38"/>
    </row>
    <row r="276" spans="12:12" ht="15.75" customHeight="1" x14ac:dyDescent="0.2">
      <c r="L276" s="38"/>
    </row>
    <row r="277" spans="12:12" ht="15.75" customHeight="1" x14ac:dyDescent="0.2">
      <c r="L277" s="38"/>
    </row>
    <row r="278" spans="12:12" ht="15.75" customHeight="1" x14ac:dyDescent="0.2">
      <c r="L278" s="38"/>
    </row>
    <row r="279" spans="12:12" ht="15.75" customHeight="1" x14ac:dyDescent="0.2">
      <c r="L279" s="38"/>
    </row>
    <row r="280" spans="12:12" ht="15.75" customHeight="1" x14ac:dyDescent="0.2">
      <c r="L280" s="38"/>
    </row>
    <row r="281" spans="12:12" ht="15.75" customHeight="1" x14ac:dyDescent="0.2">
      <c r="L281" s="38"/>
    </row>
    <row r="282" spans="12:12" ht="15.75" customHeight="1" x14ac:dyDescent="0.2">
      <c r="L282" s="38"/>
    </row>
    <row r="283" spans="12:12" ht="15.75" customHeight="1" x14ac:dyDescent="0.2">
      <c r="L283" s="38"/>
    </row>
    <row r="284" spans="12:12" ht="15.75" customHeight="1" x14ac:dyDescent="0.2">
      <c r="L284" s="38"/>
    </row>
    <row r="285" spans="12:12" ht="15.75" customHeight="1" x14ac:dyDescent="0.2">
      <c r="L285" s="38"/>
    </row>
    <row r="286" spans="12:12" ht="15.75" customHeight="1" x14ac:dyDescent="0.2">
      <c r="L286" s="38"/>
    </row>
    <row r="287" spans="12:12" ht="15.75" customHeight="1" x14ac:dyDescent="0.2">
      <c r="L287" s="38"/>
    </row>
    <row r="288" spans="12:12" ht="15.75" customHeight="1" x14ac:dyDescent="0.2">
      <c r="L288" s="38"/>
    </row>
    <row r="289" spans="12:12" ht="15.75" customHeight="1" x14ac:dyDescent="0.2">
      <c r="L289" s="38"/>
    </row>
    <row r="290" spans="12:12" ht="15.75" customHeight="1" x14ac:dyDescent="0.2">
      <c r="L290" s="38"/>
    </row>
    <row r="291" spans="12:12" ht="15.75" customHeight="1" x14ac:dyDescent="0.2">
      <c r="L291" s="38"/>
    </row>
    <row r="292" spans="12:12" ht="15.75" customHeight="1" x14ac:dyDescent="0.2">
      <c r="L292" s="38"/>
    </row>
    <row r="293" spans="12:12" ht="15.75" customHeight="1" x14ac:dyDescent="0.2">
      <c r="L293" s="38"/>
    </row>
    <row r="294" spans="12:12" ht="15.75" customHeight="1" x14ac:dyDescent="0.2">
      <c r="L294" s="38"/>
    </row>
    <row r="295" spans="12:12" ht="15.75" customHeight="1" x14ac:dyDescent="0.2">
      <c r="L295" s="38"/>
    </row>
    <row r="296" spans="12:12" ht="15.75" customHeight="1" x14ac:dyDescent="0.2">
      <c r="L296" s="38"/>
    </row>
    <row r="297" spans="12:12" ht="15.75" customHeight="1" x14ac:dyDescent="0.2">
      <c r="L297" s="38"/>
    </row>
    <row r="298" spans="12:12" ht="15.75" customHeight="1" x14ac:dyDescent="0.2">
      <c r="L298" s="38"/>
    </row>
    <row r="299" spans="12:12" ht="15.75" customHeight="1" x14ac:dyDescent="0.2">
      <c r="L299" s="38"/>
    </row>
    <row r="300" spans="12:12" ht="15.75" customHeight="1" x14ac:dyDescent="0.2">
      <c r="L300" s="38"/>
    </row>
    <row r="301" spans="12:12" ht="15.75" customHeight="1" x14ac:dyDescent="0.2">
      <c r="L301" s="38"/>
    </row>
    <row r="302" spans="12:12" ht="15.75" customHeight="1" x14ac:dyDescent="0.2">
      <c r="L302" s="38"/>
    </row>
    <row r="303" spans="12:12" ht="15.75" customHeight="1" x14ac:dyDescent="0.2">
      <c r="L303" s="38"/>
    </row>
    <row r="304" spans="12:12" ht="15.75" customHeight="1" x14ac:dyDescent="0.2">
      <c r="L304" s="38"/>
    </row>
    <row r="305" spans="12:12" ht="15.75" customHeight="1" x14ac:dyDescent="0.2">
      <c r="L305" s="38"/>
    </row>
    <row r="306" spans="12:12" ht="15.75" customHeight="1" x14ac:dyDescent="0.2">
      <c r="L306" s="38"/>
    </row>
    <row r="307" spans="12:12" ht="15.75" customHeight="1" x14ac:dyDescent="0.2">
      <c r="L307" s="38"/>
    </row>
    <row r="308" spans="12:12" ht="15.75" customHeight="1" x14ac:dyDescent="0.2">
      <c r="L308" s="38"/>
    </row>
    <row r="309" spans="12:12" ht="15.75" customHeight="1" x14ac:dyDescent="0.2">
      <c r="L309" s="38"/>
    </row>
    <row r="310" spans="12:12" ht="15.75" customHeight="1" x14ac:dyDescent="0.2">
      <c r="L310" s="38"/>
    </row>
    <row r="311" spans="12:12" ht="15.75" customHeight="1" x14ac:dyDescent="0.2">
      <c r="L311" s="38"/>
    </row>
    <row r="312" spans="12:12" ht="15.75" customHeight="1" x14ac:dyDescent="0.2">
      <c r="L312" s="38"/>
    </row>
    <row r="313" spans="12:12" ht="15.75" customHeight="1" x14ac:dyDescent="0.2">
      <c r="L313" s="38"/>
    </row>
    <row r="314" spans="12:12" ht="15.75" customHeight="1" x14ac:dyDescent="0.2">
      <c r="L314" s="38"/>
    </row>
    <row r="315" spans="12:12" ht="15.75" customHeight="1" x14ac:dyDescent="0.2">
      <c r="L315" s="38"/>
    </row>
    <row r="316" spans="12:12" ht="15.75" customHeight="1" x14ac:dyDescent="0.2">
      <c r="L316" s="38"/>
    </row>
    <row r="317" spans="12:12" ht="15.75" customHeight="1" x14ac:dyDescent="0.2">
      <c r="L317" s="38"/>
    </row>
    <row r="318" spans="12:12" ht="15.75" customHeight="1" x14ac:dyDescent="0.2">
      <c r="L318" s="38"/>
    </row>
    <row r="319" spans="12:12" ht="15.75" customHeight="1" x14ac:dyDescent="0.2">
      <c r="L319" s="38"/>
    </row>
    <row r="320" spans="12:12" ht="15.75" customHeight="1" x14ac:dyDescent="0.2">
      <c r="L320" s="38"/>
    </row>
    <row r="321" spans="12:12" ht="15.75" customHeight="1" x14ac:dyDescent="0.2">
      <c r="L321" s="38"/>
    </row>
    <row r="322" spans="12:12" ht="15.75" customHeight="1" x14ac:dyDescent="0.2">
      <c r="L322" s="38"/>
    </row>
    <row r="323" spans="12:12" ht="15.75" customHeight="1" x14ac:dyDescent="0.2">
      <c r="L323" s="38"/>
    </row>
    <row r="324" spans="12:12" ht="15.75" customHeight="1" x14ac:dyDescent="0.2">
      <c r="L324" s="38"/>
    </row>
    <row r="325" spans="12:12" ht="15.75" customHeight="1" x14ac:dyDescent="0.2">
      <c r="L325" s="38"/>
    </row>
    <row r="326" spans="12:12" ht="15.75" customHeight="1" x14ac:dyDescent="0.2">
      <c r="L326" s="38"/>
    </row>
    <row r="327" spans="12:12" ht="15.75" customHeight="1" x14ac:dyDescent="0.2">
      <c r="L327" s="38"/>
    </row>
    <row r="328" spans="12:12" ht="15.75" customHeight="1" x14ac:dyDescent="0.2">
      <c r="L328" s="38"/>
    </row>
    <row r="329" spans="12:12" ht="15.75" customHeight="1" x14ac:dyDescent="0.2">
      <c r="L329" s="38"/>
    </row>
    <row r="330" spans="12:12" ht="15.75" customHeight="1" x14ac:dyDescent="0.2">
      <c r="L330" s="38"/>
    </row>
    <row r="331" spans="12:12" ht="15.75" customHeight="1" x14ac:dyDescent="0.2">
      <c r="L331" s="38"/>
    </row>
    <row r="332" spans="12:12" ht="15.75" customHeight="1" x14ac:dyDescent="0.2">
      <c r="L332" s="38"/>
    </row>
    <row r="333" spans="12:12" ht="15.75" customHeight="1" x14ac:dyDescent="0.2">
      <c r="L333" s="38"/>
    </row>
    <row r="334" spans="12:12" ht="15.75" customHeight="1" x14ac:dyDescent="0.2">
      <c r="L334" s="38"/>
    </row>
    <row r="335" spans="12:12" ht="15.75" customHeight="1" x14ac:dyDescent="0.2">
      <c r="L335" s="38"/>
    </row>
    <row r="336" spans="12:12" ht="15.75" customHeight="1" x14ac:dyDescent="0.2">
      <c r="L336" s="38"/>
    </row>
    <row r="337" spans="12:12" ht="15.75" customHeight="1" x14ac:dyDescent="0.2">
      <c r="L337" s="38"/>
    </row>
    <row r="338" spans="12:12" ht="15.75" customHeight="1" x14ac:dyDescent="0.2">
      <c r="L338" s="38"/>
    </row>
    <row r="339" spans="12:12" ht="15.75" customHeight="1" x14ac:dyDescent="0.2">
      <c r="L339" s="38"/>
    </row>
    <row r="340" spans="12:12" ht="15.75" customHeight="1" x14ac:dyDescent="0.2">
      <c r="L340" s="38"/>
    </row>
    <row r="341" spans="12:12" ht="15.75" customHeight="1" x14ac:dyDescent="0.2">
      <c r="L341" s="38"/>
    </row>
    <row r="342" spans="12:12" ht="15.75" customHeight="1" x14ac:dyDescent="0.2">
      <c r="L342" s="38"/>
    </row>
    <row r="343" spans="12:12" ht="15.75" customHeight="1" x14ac:dyDescent="0.2">
      <c r="L343" s="38"/>
    </row>
    <row r="344" spans="12:12" ht="15.75" customHeight="1" x14ac:dyDescent="0.2">
      <c r="L344" s="38"/>
    </row>
    <row r="345" spans="12:12" ht="15.75" customHeight="1" x14ac:dyDescent="0.2">
      <c r="L345" s="38"/>
    </row>
    <row r="346" spans="12:12" ht="15.75" customHeight="1" x14ac:dyDescent="0.2">
      <c r="L346" s="38"/>
    </row>
    <row r="347" spans="12:12" ht="15.75" customHeight="1" x14ac:dyDescent="0.2">
      <c r="L347" s="38"/>
    </row>
    <row r="348" spans="12:12" ht="15.75" customHeight="1" x14ac:dyDescent="0.2">
      <c r="L348" s="38"/>
    </row>
    <row r="349" spans="12:12" ht="15.75" customHeight="1" x14ac:dyDescent="0.2">
      <c r="L349" s="38"/>
    </row>
    <row r="350" spans="12:12" ht="15.75" customHeight="1" x14ac:dyDescent="0.2">
      <c r="L350" s="38"/>
    </row>
    <row r="351" spans="12:12" ht="15.75" customHeight="1" x14ac:dyDescent="0.2">
      <c r="L351" s="38"/>
    </row>
    <row r="352" spans="12:12" ht="15.75" customHeight="1" x14ac:dyDescent="0.2">
      <c r="L352" s="38"/>
    </row>
    <row r="353" spans="12:12" ht="15.75" customHeight="1" x14ac:dyDescent="0.2">
      <c r="L353" s="38"/>
    </row>
    <row r="354" spans="12:12" ht="15.75" customHeight="1" x14ac:dyDescent="0.2">
      <c r="L354" s="38"/>
    </row>
    <row r="355" spans="12:12" ht="15.75" customHeight="1" x14ac:dyDescent="0.2">
      <c r="L355" s="38"/>
    </row>
    <row r="356" spans="12:12" ht="15.75" customHeight="1" x14ac:dyDescent="0.2">
      <c r="L356" s="38"/>
    </row>
    <row r="357" spans="12:12" ht="15.75" customHeight="1" x14ac:dyDescent="0.2">
      <c r="L357" s="38"/>
    </row>
    <row r="358" spans="12:12" ht="15.75" customHeight="1" x14ac:dyDescent="0.2">
      <c r="L358" s="38"/>
    </row>
    <row r="359" spans="12:12" ht="15.75" customHeight="1" x14ac:dyDescent="0.2">
      <c r="L359" s="38"/>
    </row>
    <row r="360" spans="12:12" ht="15.75" customHeight="1" x14ac:dyDescent="0.2">
      <c r="L360" s="38"/>
    </row>
    <row r="361" spans="12:12" ht="15.75" customHeight="1" x14ac:dyDescent="0.2">
      <c r="L361" s="38"/>
    </row>
    <row r="362" spans="12:12" ht="15.75" customHeight="1" x14ac:dyDescent="0.2">
      <c r="L362" s="38"/>
    </row>
    <row r="363" spans="12:12" ht="15.75" customHeight="1" x14ac:dyDescent="0.2">
      <c r="L363" s="38"/>
    </row>
    <row r="364" spans="12:12" ht="15.75" customHeight="1" x14ac:dyDescent="0.2">
      <c r="L364" s="38"/>
    </row>
    <row r="365" spans="12:12" ht="15.75" customHeight="1" x14ac:dyDescent="0.2">
      <c r="L365" s="38"/>
    </row>
    <row r="366" spans="12:12" ht="15.75" customHeight="1" x14ac:dyDescent="0.2">
      <c r="L366" s="38"/>
    </row>
    <row r="367" spans="12:12" ht="15.75" customHeight="1" x14ac:dyDescent="0.2">
      <c r="L367" s="38"/>
    </row>
    <row r="368" spans="12:12" ht="15.75" customHeight="1" x14ac:dyDescent="0.2">
      <c r="L368" s="38"/>
    </row>
    <row r="369" spans="12:12" ht="15.75" customHeight="1" x14ac:dyDescent="0.2">
      <c r="L369" s="38"/>
    </row>
    <row r="370" spans="12:12" ht="15.75" customHeight="1" x14ac:dyDescent="0.2">
      <c r="L370" s="38"/>
    </row>
    <row r="371" spans="12:12" ht="15.75" customHeight="1" x14ac:dyDescent="0.2">
      <c r="L371" s="38"/>
    </row>
    <row r="372" spans="12:12" ht="15.75" customHeight="1" x14ac:dyDescent="0.2">
      <c r="L372" s="38"/>
    </row>
    <row r="373" spans="12:12" ht="15.75" customHeight="1" x14ac:dyDescent="0.2">
      <c r="L373" s="38"/>
    </row>
    <row r="374" spans="12:12" ht="15.75" customHeight="1" x14ac:dyDescent="0.2">
      <c r="L374" s="38"/>
    </row>
    <row r="375" spans="12:12" ht="15.75" customHeight="1" x14ac:dyDescent="0.2">
      <c r="L375" s="38"/>
    </row>
    <row r="376" spans="12:12" ht="15.75" customHeight="1" x14ac:dyDescent="0.2">
      <c r="L376" s="38"/>
    </row>
    <row r="377" spans="12:12" ht="15.75" customHeight="1" x14ac:dyDescent="0.2">
      <c r="L377" s="38"/>
    </row>
    <row r="378" spans="12:12" ht="15.75" customHeight="1" x14ac:dyDescent="0.2">
      <c r="L378" s="38"/>
    </row>
    <row r="379" spans="12:12" ht="15.75" customHeight="1" x14ac:dyDescent="0.2">
      <c r="L379" s="38"/>
    </row>
    <row r="380" spans="12:12" ht="15.75" customHeight="1" x14ac:dyDescent="0.2">
      <c r="L380" s="38"/>
    </row>
    <row r="381" spans="12:12" ht="15.75" customHeight="1" x14ac:dyDescent="0.2">
      <c r="L381" s="38"/>
    </row>
    <row r="382" spans="12:12" ht="15.75" customHeight="1" x14ac:dyDescent="0.2">
      <c r="L382" s="38"/>
    </row>
    <row r="383" spans="12:12" ht="15.75" customHeight="1" x14ac:dyDescent="0.2">
      <c r="L383" s="38"/>
    </row>
    <row r="384" spans="12:12" ht="15.75" customHeight="1" x14ac:dyDescent="0.2">
      <c r="L384" s="38"/>
    </row>
    <row r="385" spans="12:12" ht="15.75" customHeight="1" x14ac:dyDescent="0.2">
      <c r="L385" s="38"/>
    </row>
    <row r="386" spans="12:12" ht="15.75" customHeight="1" x14ac:dyDescent="0.2">
      <c r="L386" s="38"/>
    </row>
    <row r="387" spans="12:12" ht="15.75" customHeight="1" x14ac:dyDescent="0.2">
      <c r="L387" s="38"/>
    </row>
    <row r="388" spans="12:12" ht="15.75" customHeight="1" x14ac:dyDescent="0.2">
      <c r="L388" s="38"/>
    </row>
    <row r="389" spans="12:12" ht="15.75" customHeight="1" x14ac:dyDescent="0.2">
      <c r="L389" s="38"/>
    </row>
    <row r="390" spans="12:12" ht="15.75" customHeight="1" x14ac:dyDescent="0.2">
      <c r="L390" s="38"/>
    </row>
    <row r="391" spans="12:12" ht="15.75" customHeight="1" x14ac:dyDescent="0.2">
      <c r="L391" s="38"/>
    </row>
    <row r="392" spans="12:12" ht="15.75" customHeight="1" x14ac:dyDescent="0.2">
      <c r="L392" s="38"/>
    </row>
    <row r="393" spans="12:12" ht="15.75" customHeight="1" x14ac:dyDescent="0.2">
      <c r="L393" s="38"/>
    </row>
    <row r="394" spans="12:12" ht="15.75" customHeight="1" x14ac:dyDescent="0.2">
      <c r="L394" s="38"/>
    </row>
    <row r="395" spans="12:12" ht="15.75" customHeight="1" x14ac:dyDescent="0.2">
      <c r="L395" s="38"/>
    </row>
    <row r="396" spans="12:12" ht="15.75" customHeight="1" x14ac:dyDescent="0.2">
      <c r="L396" s="38"/>
    </row>
    <row r="397" spans="12:12" ht="15.75" customHeight="1" x14ac:dyDescent="0.2">
      <c r="L397" s="38"/>
    </row>
    <row r="398" spans="12:12" ht="15.75" customHeight="1" x14ac:dyDescent="0.2">
      <c r="L398" s="38"/>
    </row>
    <row r="399" spans="12:12" ht="15.75" customHeight="1" x14ac:dyDescent="0.2">
      <c r="L399" s="38"/>
    </row>
    <row r="400" spans="12:12" ht="15.75" customHeight="1" x14ac:dyDescent="0.2">
      <c r="L400" s="38"/>
    </row>
    <row r="401" spans="12:12" ht="15.75" customHeight="1" x14ac:dyDescent="0.2">
      <c r="L401" s="38"/>
    </row>
    <row r="402" spans="12:12" ht="15.75" customHeight="1" x14ac:dyDescent="0.2">
      <c r="L402" s="38"/>
    </row>
    <row r="403" spans="12:12" ht="15.75" customHeight="1" x14ac:dyDescent="0.2">
      <c r="L403" s="38"/>
    </row>
    <row r="404" spans="12:12" ht="15.75" customHeight="1" x14ac:dyDescent="0.2">
      <c r="L404" s="38"/>
    </row>
    <row r="405" spans="12:12" ht="15.75" customHeight="1" x14ac:dyDescent="0.2">
      <c r="L405" s="38"/>
    </row>
    <row r="406" spans="12:12" ht="15.75" customHeight="1" x14ac:dyDescent="0.2">
      <c r="L406" s="38"/>
    </row>
    <row r="407" spans="12:12" ht="15.75" customHeight="1" x14ac:dyDescent="0.2">
      <c r="L407" s="38"/>
    </row>
    <row r="408" spans="12:12" ht="15.75" customHeight="1" x14ac:dyDescent="0.2">
      <c r="L408" s="38"/>
    </row>
    <row r="409" spans="12:12" ht="15.75" customHeight="1" x14ac:dyDescent="0.2">
      <c r="L409" s="38"/>
    </row>
    <row r="410" spans="12:12" ht="15.75" customHeight="1" x14ac:dyDescent="0.2">
      <c r="L410" s="38"/>
    </row>
    <row r="411" spans="12:12" ht="15.75" customHeight="1" x14ac:dyDescent="0.2">
      <c r="L411" s="38"/>
    </row>
    <row r="412" spans="12:12" ht="15.75" customHeight="1" x14ac:dyDescent="0.2">
      <c r="L412" s="38"/>
    </row>
    <row r="413" spans="12:12" ht="15.75" customHeight="1" x14ac:dyDescent="0.2">
      <c r="L413" s="38"/>
    </row>
    <row r="414" spans="12:12" ht="15.75" customHeight="1" x14ac:dyDescent="0.2">
      <c r="L414" s="38"/>
    </row>
    <row r="415" spans="12:12" ht="15.75" customHeight="1" x14ac:dyDescent="0.2">
      <c r="L415" s="38"/>
    </row>
    <row r="416" spans="12:12" ht="15.75" customHeight="1" x14ac:dyDescent="0.2">
      <c r="L416" s="38"/>
    </row>
    <row r="417" spans="12:12" ht="15.75" customHeight="1" x14ac:dyDescent="0.2">
      <c r="L417" s="38"/>
    </row>
    <row r="418" spans="12:12" ht="15.75" customHeight="1" x14ac:dyDescent="0.2">
      <c r="L418" s="38"/>
    </row>
    <row r="419" spans="12:12" ht="15.75" customHeight="1" x14ac:dyDescent="0.2">
      <c r="L419" s="38"/>
    </row>
    <row r="420" spans="12:12" ht="15.75" customHeight="1" x14ac:dyDescent="0.2">
      <c r="L420" s="38"/>
    </row>
    <row r="421" spans="12:12" ht="15.75" customHeight="1" x14ac:dyDescent="0.2">
      <c r="L421" s="38"/>
    </row>
    <row r="422" spans="12:12" ht="15.75" customHeight="1" x14ac:dyDescent="0.2">
      <c r="L422" s="38"/>
    </row>
    <row r="423" spans="12:12" ht="15.75" customHeight="1" x14ac:dyDescent="0.2">
      <c r="L423" s="38"/>
    </row>
    <row r="424" spans="12:12" ht="15.75" customHeight="1" x14ac:dyDescent="0.2">
      <c r="L424" s="38"/>
    </row>
    <row r="425" spans="12:12" ht="15.75" customHeight="1" x14ac:dyDescent="0.2">
      <c r="L425" s="38"/>
    </row>
    <row r="426" spans="12:12" ht="15.75" customHeight="1" x14ac:dyDescent="0.2">
      <c r="L426" s="38"/>
    </row>
    <row r="427" spans="12:12" ht="15.75" customHeight="1" x14ac:dyDescent="0.2">
      <c r="L427" s="38"/>
    </row>
    <row r="428" spans="12:12" ht="15.75" customHeight="1" x14ac:dyDescent="0.2">
      <c r="L428" s="38"/>
    </row>
    <row r="429" spans="12:12" ht="15.75" customHeight="1" x14ac:dyDescent="0.2">
      <c r="L429" s="38"/>
    </row>
    <row r="430" spans="12:12" ht="15.75" customHeight="1" x14ac:dyDescent="0.2">
      <c r="L430" s="38"/>
    </row>
    <row r="431" spans="12:12" ht="15.75" customHeight="1" x14ac:dyDescent="0.2">
      <c r="L431" s="38"/>
    </row>
    <row r="432" spans="12:12" ht="15.75" customHeight="1" x14ac:dyDescent="0.2">
      <c r="L432" s="38"/>
    </row>
    <row r="433" spans="12:12" ht="15.75" customHeight="1" x14ac:dyDescent="0.2">
      <c r="L433" s="38"/>
    </row>
    <row r="434" spans="12:12" ht="15.75" customHeight="1" x14ac:dyDescent="0.2">
      <c r="L434" s="38"/>
    </row>
    <row r="435" spans="12:12" ht="15.75" customHeight="1" x14ac:dyDescent="0.2">
      <c r="L435" s="38"/>
    </row>
    <row r="436" spans="12:12" ht="15.75" customHeight="1" x14ac:dyDescent="0.2">
      <c r="L436" s="38"/>
    </row>
    <row r="437" spans="12:12" ht="15.75" customHeight="1" x14ac:dyDescent="0.2">
      <c r="L437" s="38"/>
    </row>
    <row r="438" spans="12:12" ht="15.75" customHeight="1" x14ac:dyDescent="0.2">
      <c r="L438" s="38"/>
    </row>
    <row r="439" spans="12:12" ht="15.75" customHeight="1" x14ac:dyDescent="0.2">
      <c r="L439" s="38"/>
    </row>
    <row r="440" spans="12:12" ht="15.75" customHeight="1" x14ac:dyDescent="0.2">
      <c r="L440" s="38"/>
    </row>
    <row r="441" spans="12:12" ht="15.75" customHeight="1" x14ac:dyDescent="0.2">
      <c r="L441" s="38"/>
    </row>
    <row r="442" spans="12:12" ht="15.75" customHeight="1" x14ac:dyDescent="0.2">
      <c r="L442" s="38"/>
    </row>
    <row r="443" spans="12:12" ht="15.75" customHeight="1" x14ac:dyDescent="0.2">
      <c r="L443" s="38"/>
    </row>
    <row r="444" spans="12:12" ht="15.75" customHeight="1" x14ac:dyDescent="0.2">
      <c r="L444" s="38"/>
    </row>
    <row r="445" spans="12:12" ht="15.75" customHeight="1" x14ac:dyDescent="0.2">
      <c r="L445" s="38"/>
    </row>
    <row r="446" spans="12:12" ht="15.75" customHeight="1" x14ac:dyDescent="0.2">
      <c r="L446" s="38"/>
    </row>
    <row r="447" spans="12:12" ht="15.75" customHeight="1" x14ac:dyDescent="0.2">
      <c r="L447" s="38"/>
    </row>
    <row r="448" spans="12:12" ht="15.75" customHeight="1" x14ac:dyDescent="0.2">
      <c r="L448" s="38"/>
    </row>
    <row r="449" spans="12:12" ht="15.75" customHeight="1" x14ac:dyDescent="0.2">
      <c r="L449" s="38"/>
    </row>
    <row r="450" spans="12:12" ht="15.75" customHeight="1" x14ac:dyDescent="0.2">
      <c r="L450" s="38"/>
    </row>
    <row r="451" spans="12:12" ht="15.75" customHeight="1" x14ac:dyDescent="0.2">
      <c r="L451" s="38"/>
    </row>
    <row r="452" spans="12:12" ht="15.75" customHeight="1" x14ac:dyDescent="0.2">
      <c r="L452" s="38"/>
    </row>
    <row r="453" spans="12:12" ht="15.75" customHeight="1" x14ac:dyDescent="0.2">
      <c r="L453" s="38"/>
    </row>
    <row r="454" spans="12:12" ht="15.75" customHeight="1" x14ac:dyDescent="0.2">
      <c r="L454" s="38"/>
    </row>
    <row r="455" spans="12:12" ht="15.75" customHeight="1" x14ac:dyDescent="0.2">
      <c r="L455" s="38"/>
    </row>
    <row r="456" spans="12:12" ht="15.75" customHeight="1" x14ac:dyDescent="0.2">
      <c r="L456" s="38"/>
    </row>
    <row r="457" spans="12:12" ht="15.75" customHeight="1" x14ac:dyDescent="0.2">
      <c r="L457" s="38"/>
    </row>
    <row r="458" spans="12:12" ht="15.75" customHeight="1" x14ac:dyDescent="0.2">
      <c r="L458" s="38"/>
    </row>
    <row r="459" spans="12:12" ht="15.75" customHeight="1" x14ac:dyDescent="0.2">
      <c r="L459" s="38"/>
    </row>
    <row r="460" spans="12:12" ht="15.75" customHeight="1" x14ac:dyDescent="0.2">
      <c r="L460" s="38"/>
    </row>
    <row r="461" spans="12:12" ht="15.75" customHeight="1" x14ac:dyDescent="0.2">
      <c r="L461" s="38"/>
    </row>
    <row r="462" spans="12:12" ht="15.75" customHeight="1" x14ac:dyDescent="0.2">
      <c r="L462" s="38"/>
    </row>
    <row r="463" spans="12:12" ht="15.75" customHeight="1" x14ac:dyDescent="0.2">
      <c r="L463" s="38"/>
    </row>
    <row r="464" spans="12:12" ht="15.75" customHeight="1" x14ac:dyDescent="0.2">
      <c r="L464" s="38"/>
    </row>
    <row r="465" spans="12:12" ht="15.75" customHeight="1" x14ac:dyDescent="0.2">
      <c r="L465" s="38"/>
    </row>
    <row r="466" spans="12:12" ht="15.75" customHeight="1" x14ac:dyDescent="0.2">
      <c r="L466" s="38"/>
    </row>
    <row r="467" spans="12:12" ht="15.75" customHeight="1" x14ac:dyDescent="0.2">
      <c r="L467" s="38"/>
    </row>
    <row r="468" spans="12:12" ht="15.75" customHeight="1" x14ac:dyDescent="0.2">
      <c r="L468" s="38"/>
    </row>
    <row r="469" spans="12:12" ht="15.75" customHeight="1" x14ac:dyDescent="0.2">
      <c r="L469" s="38"/>
    </row>
    <row r="470" spans="12:12" ht="15.75" customHeight="1" x14ac:dyDescent="0.2">
      <c r="L470" s="38"/>
    </row>
    <row r="471" spans="12:12" ht="15.75" customHeight="1" x14ac:dyDescent="0.2">
      <c r="L471" s="38"/>
    </row>
    <row r="472" spans="12:12" ht="15.75" customHeight="1" x14ac:dyDescent="0.2">
      <c r="L472" s="38"/>
    </row>
    <row r="473" spans="12:12" ht="15.75" customHeight="1" x14ac:dyDescent="0.2">
      <c r="L473" s="38"/>
    </row>
    <row r="474" spans="12:12" ht="15.75" customHeight="1" x14ac:dyDescent="0.2">
      <c r="L474" s="38"/>
    </row>
    <row r="475" spans="12:12" ht="15.75" customHeight="1" x14ac:dyDescent="0.2">
      <c r="L475" s="38"/>
    </row>
    <row r="476" spans="12:12" ht="15.75" customHeight="1" x14ac:dyDescent="0.2">
      <c r="L476" s="38"/>
    </row>
    <row r="477" spans="12:12" ht="15.75" customHeight="1" x14ac:dyDescent="0.2">
      <c r="L477" s="38"/>
    </row>
    <row r="478" spans="12:12" ht="15.75" customHeight="1" x14ac:dyDescent="0.2">
      <c r="L478" s="38"/>
    </row>
    <row r="479" spans="12:12" ht="15.75" customHeight="1" x14ac:dyDescent="0.2">
      <c r="L479" s="38"/>
    </row>
    <row r="480" spans="12:12" ht="15.75" customHeight="1" x14ac:dyDescent="0.2">
      <c r="L480" s="38"/>
    </row>
    <row r="481" spans="12:12" ht="15.75" customHeight="1" x14ac:dyDescent="0.2">
      <c r="L481" s="38"/>
    </row>
    <row r="482" spans="12:12" ht="15.75" customHeight="1" x14ac:dyDescent="0.2">
      <c r="L482" s="38"/>
    </row>
    <row r="483" spans="12:12" ht="15.75" customHeight="1" x14ac:dyDescent="0.2">
      <c r="L483" s="38"/>
    </row>
    <row r="484" spans="12:12" ht="15.75" customHeight="1" x14ac:dyDescent="0.2">
      <c r="L484" s="38"/>
    </row>
    <row r="485" spans="12:12" ht="15.75" customHeight="1" x14ac:dyDescent="0.2">
      <c r="L485" s="38"/>
    </row>
    <row r="486" spans="12:12" ht="15.75" customHeight="1" x14ac:dyDescent="0.2">
      <c r="L486" s="38"/>
    </row>
    <row r="487" spans="12:12" ht="15.75" customHeight="1" x14ac:dyDescent="0.2">
      <c r="L487" s="38"/>
    </row>
    <row r="488" spans="12:12" ht="15.75" customHeight="1" x14ac:dyDescent="0.2">
      <c r="L488" s="38"/>
    </row>
    <row r="489" spans="12:12" ht="15.75" customHeight="1" x14ac:dyDescent="0.2">
      <c r="L489" s="38"/>
    </row>
    <row r="490" spans="12:12" ht="15.75" customHeight="1" x14ac:dyDescent="0.2">
      <c r="L490" s="38"/>
    </row>
    <row r="491" spans="12:12" ht="15.75" customHeight="1" x14ac:dyDescent="0.2">
      <c r="L491" s="38"/>
    </row>
    <row r="492" spans="12:12" ht="15.75" customHeight="1" x14ac:dyDescent="0.2">
      <c r="L492" s="38"/>
    </row>
    <row r="493" spans="12:12" ht="15.75" customHeight="1" x14ac:dyDescent="0.2">
      <c r="L493" s="38"/>
    </row>
    <row r="494" spans="12:12" ht="15.75" customHeight="1" x14ac:dyDescent="0.2">
      <c r="L494" s="38"/>
    </row>
    <row r="495" spans="12:12" ht="15.75" customHeight="1" x14ac:dyDescent="0.2">
      <c r="L495" s="38"/>
    </row>
    <row r="496" spans="12:12" ht="15.75" customHeight="1" x14ac:dyDescent="0.2">
      <c r="L496" s="38"/>
    </row>
    <row r="497" spans="12:12" ht="15.75" customHeight="1" x14ac:dyDescent="0.2">
      <c r="L497" s="38"/>
    </row>
    <row r="498" spans="12:12" ht="15.75" customHeight="1" x14ac:dyDescent="0.2">
      <c r="L498" s="38"/>
    </row>
    <row r="499" spans="12:12" ht="15.75" customHeight="1" x14ac:dyDescent="0.2">
      <c r="L499" s="38"/>
    </row>
    <row r="500" spans="12:12" ht="15.75" customHeight="1" x14ac:dyDescent="0.2">
      <c r="L500" s="38"/>
    </row>
    <row r="501" spans="12:12" ht="15.75" customHeight="1" x14ac:dyDescent="0.2">
      <c r="L501" s="38"/>
    </row>
    <row r="502" spans="12:12" ht="15.75" customHeight="1" x14ac:dyDescent="0.2">
      <c r="L502" s="38"/>
    </row>
    <row r="503" spans="12:12" ht="15.75" customHeight="1" x14ac:dyDescent="0.2">
      <c r="L503" s="38"/>
    </row>
    <row r="504" spans="12:12" ht="15.75" customHeight="1" x14ac:dyDescent="0.2">
      <c r="L504" s="38"/>
    </row>
    <row r="505" spans="12:12" ht="15.75" customHeight="1" x14ac:dyDescent="0.2">
      <c r="L505" s="38"/>
    </row>
    <row r="506" spans="12:12" ht="15.75" customHeight="1" x14ac:dyDescent="0.2">
      <c r="L506" s="38"/>
    </row>
    <row r="507" spans="12:12" ht="15.75" customHeight="1" x14ac:dyDescent="0.2">
      <c r="L507" s="38"/>
    </row>
    <row r="508" spans="12:12" ht="15.75" customHeight="1" x14ac:dyDescent="0.2">
      <c r="L508" s="38"/>
    </row>
    <row r="509" spans="12:12" ht="15.75" customHeight="1" x14ac:dyDescent="0.2">
      <c r="L509" s="38"/>
    </row>
    <row r="510" spans="12:12" ht="15.75" customHeight="1" x14ac:dyDescent="0.2">
      <c r="L510" s="38"/>
    </row>
    <row r="511" spans="12:12" ht="15.75" customHeight="1" x14ac:dyDescent="0.2">
      <c r="L511" s="38"/>
    </row>
    <row r="512" spans="12:12" ht="15.75" customHeight="1" x14ac:dyDescent="0.2">
      <c r="L512" s="38"/>
    </row>
    <row r="513" spans="12:12" ht="15.75" customHeight="1" x14ac:dyDescent="0.2">
      <c r="L513" s="38"/>
    </row>
    <row r="514" spans="12:12" ht="15.75" customHeight="1" x14ac:dyDescent="0.2">
      <c r="L514" s="38"/>
    </row>
    <row r="515" spans="12:12" ht="15.75" customHeight="1" x14ac:dyDescent="0.2">
      <c r="L515" s="38"/>
    </row>
    <row r="516" spans="12:12" ht="15.75" customHeight="1" x14ac:dyDescent="0.2">
      <c r="L516" s="38"/>
    </row>
    <row r="517" spans="12:12" ht="15.75" customHeight="1" x14ac:dyDescent="0.2">
      <c r="L517" s="38"/>
    </row>
    <row r="518" spans="12:12" ht="15.75" customHeight="1" x14ac:dyDescent="0.2">
      <c r="L518" s="38"/>
    </row>
    <row r="519" spans="12:12" ht="15.75" customHeight="1" x14ac:dyDescent="0.2">
      <c r="L519" s="38"/>
    </row>
    <row r="520" spans="12:12" ht="15.75" customHeight="1" x14ac:dyDescent="0.2">
      <c r="L520" s="38"/>
    </row>
    <row r="521" spans="12:12" ht="15.75" customHeight="1" x14ac:dyDescent="0.2">
      <c r="L521" s="38"/>
    </row>
    <row r="522" spans="12:12" ht="15.75" customHeight="1" x14ac:dyDescent="0.2">
      <c r="L522" s="38"/>
    </row>
    <row r="523" spans="12:12" ht="15.75" customHeight="1" x14ac:dyDescent="0.2">
      <c r="L523" s="38"/>
    </row>
    <row r="524" spans="12:12" ht="15.75" customHeight="1" x14ac:dyDescent="0.2">
      <c r="L524" s="38"/>
    </row>
    <row r="525" spans="12:12" ht="15.75" customHeight="1" x14ac:dyDescent="0.2">
      <c r="L525" s="38"/>
    </row>
    <row r="526" spans="12:12" ht="15.75" customHeight="1" x14ac:dyDescent="0.2">
      <c r="L526" s="38"/>
    </row>
    <row r="527" spans="12:12" ht="15.75" customHeight="1" x14ac:dyDescent="0.2">
      <c r="L527" s="38"/>
    </row>
    <row r="528" spans="12:12" ht="15.75" customHeight="1" x14ac:dyDescent="0.2">
      <c r="L528" s="38"/>
    </row>
    <row r="529" spans="12:12" ht="15.75" customHeight="1" x14ac:dyDescent="0.2">
      <c r="L529" s="38"/>
    </row>
    <row r="530" spans="12:12" ht="15.75" customHeight="1" x14ac:dyDescent="0.2">
      <c r="L530" s="38"/>
    </row>
    <row r="531" spans="12:12" ht="15.75" customHeight="1" x14ac:dyDescent="0.2">
      <c r="L531" s="38"/>
    </row>
    <row r="532" spans="12:12" ht="15.75" customHeight="1" x14ac:dyDescent="0.2">
      <c r="L532" s="38"/>
    </row>
    <row r="533" spans="12:12" ht="15.75" customHeight="1" x14ac:dyDescent="0.2">
      <c r="L533" s="38"/>
    </row>
    <row r="534" spans="12:12" ht="15.75" customHeight="1" x14ac:dyDescent="0.2">
      <c r="L534" s="38"/>
    </row>
    <row r="535" spans="12:12" ht="15.75" customHeight="1" x14ac:dyDescent="0.2">
      <c r="L535" s="38"/>
    </row>
    <row r="536" spans="12:12" ht="15.75" customHeight="1" x14ac:dyDescent="0.2">
      <c r="L536" s="38"/>
    </row>
    <row r="537" spans="12:12" ht="15.75" customHeight="1" x14ac:dyDescent="0.2">
      <c r="L537" s="38"/>
    </row>
    <row r="538" spans="12:12" ht="15.75" customHeight="1" x14ac:dyDescent="0.2">
      <c r="L538" s="38"/>
    </row>
    <row r="539" spans="12:12" ht="15.75" customHeight="1" x14ac:dyDescent="0.2">
      <c r="L539" s="38"/>
    </row>
    <row r="540" spans="12:12" ht="15.75" customHeight="1" x14ac:dyDescent="0.2">
      <c r="L540" s="38"/>
    </row>
    <row r="541" spans="12:12" ht="15.75" customHeight="1" x14ac:dyDescent="0.2">
      <c r="L541" s="38"/>
    </row>
    <row r="542" spans="12:12" ht="15.75" customHeight="1" x14ac:dyDescent="0.2">
      <c r="L542" s="38"/>
    </row>
    <row r="543" spans="12:12" ht="15.75" customHeight="1" x14ac:dyDescent="0.2">
      <c r="L543" s="38"/>
    </row>
    <row r="544" spans="12:12" ht="15.75" customHeight="1" x14ac:dyDescent="0.2">
      <c r="L544" s="38"/>
    </row>
    <row r="545" spans="12:12" ht="15.75" customHeight="1" x14ac:dyDescent="0.2">
      <c r="L545" s="38"/>
    </row>
    <row r="546" spans="12:12" ht="15.75" customHeight="1" x14ac:dyDescent="0.2">
      <c r="L546" s="38"/>
    </row>
    <row r="547" spans="12:12" ht="15.75" customHeight="1" x14ac:dyDescent="0.2">
      <c r="L547" s="38"/>
    </row>
    <row r="548" spans="12:12" ht="15.75" customHeight="1" x14ac:dyDescent="0.2">
      <c r="L548" s="38"/>
    </row>
    <row r="549" spans="12:12" ht="15.75" customHeight="1" x14ac:dyDescent="0.2">
      <c r="L549" s="38"/>
    </row>
    <row r="550" spans="12:12" ht="15.75" customHeight="1" x14ac:dyDescent="0.2">
      <c r="L550" s="38"/>
    </row>
    <row r="551" spans="12:12" ht="15.75" customHeight="1" x14ac:dyDescent="0.2">
      <c r="L551" s="38"/>
    </row>
    <row r="552" spans="12:12" ht="15.75" customHeight="1" x14ac:dyDescent="0.2">
      <c r="L552" s="38"/>
    </row>
    <row r="553" spans="12:12" ht="15.75" customHeight="1" x14ac:dyDescent="0.2">
      <c r="L553" s="38"/>
    </row>
    <row r="554" spans="12:12" ht="15.75" customHeight="1" x14ac:dyDescent="0.2">
      <c r="L554" s="38"/>
    </row>
    <row r="555" spans="12:12" ht="15.75" customHeight="1" x14ac:dyDescent="0.2">
      <c r="L555" s="38"/>
    </row>
    <row r="556" spans="12:12" ht="15.75" customHeight="1" x14ac:dyDescent="0.2">
      <c r="L556" s="38"/>
    </row>
    <row r="557" spans="12:12" ht="15.75" customHeight="1" x14ac:dyDescent="0.2">
      <c r="L557" s="38"/>
    </row>
    <row r="558" spans="12:12" ht="15.75" customHeight="1" x14ac:dyDescent="0.2">
      <c r="L558" s="38"/>
    </row>
    <row r="559" spans="12:12" ht="15.75" customHeight="1" x14ac:dyDescent="0.2">
      <c r="L559" s="38"/>
    </row>
    <row r="560" spans="12:12" ht="15.75" customHeight="1" x14ac:dyDescent="0.2">
      <c r="L560" s="38"/>
    </row>
    <row r="561" spans="12:12" ht="15.75" customHeight="1" x14ac:dyDescent="0.2">
      <c r="L561" s="38"/>
    </row>
    <row r="562" spans="12:12" ht="15.75" customHeight="1" x14ac:dyDescent="0.2">
      <c r="L562" s="38"/>
    </row>
    <row r="563" spans="12:12" ht="15.75" customHeight="1" x14ac:dyDescent="0.2">
      <c r="L563" s="38"/>
    </row>
    <row r="564" spans="12:12" ht="15.75" customHeight="1" x14ac:dyDescent="0.2">
      <c r="L564" s="38"/>
    </row>
    <row r="565" spans="12:12" ht="15.75" customHeight="1" x14ac:dyDescent="0.2">
      <c r="L565" s="38"/>
    </row>
    <row r="566" spans="12:12" ht="15.75" customHeight="1" x14ac:dyDescent="0.2">
      <c r="L566" s="38"/>
    </row>
    <row r="567" spans="12:12" ht="15.75" customHeight="1" x14ac:dyDescent="0.2">
      <c r="L567" s="38"/>
    </row>
    <row r="568" spans="12:12" ht="15.75" customHeight="1" x14ac:dyDescent="0.2">
      <c r="L568" s="38"/>
    </row>
    <row r="569" spans="12:12" ht="15.75" customHeight="1" x14ac:dyDescent="0.2">
      <c r="L569" s="38"/>
    </row>
    <row r="570" spans="12:12" ht="15.75" customHeight="1" x14ac:dyDescent="0.2">
      <c r="L570" s="38"/>
    </row>
    <row r="571" spans="12:12" ht="15.75" customHeight="1" x14ac:dyDescent="0.2">
      <c r="L571" s="38"/>
    </row>
    <row r="572" spans="12:12" ht="15.75" customHeight="1" x14ac:dyDescent="0.2">
      <c r="L572" s="38"/>
    </row>
    <row r="573" spans="12:12" ht="15.75" customHeight="1" x14ac:dyDescent="0.2">
      <c r="L573" s="38"/>
    </row>
    <row r="574" spans="12:12" ht="15.75" customHeight="1" x14ac:dyDescent="0.2">
      <c r="L574" s="38"/>
    </row>
    <row r="575" spans="12:12" ht="15.75" customHeight="1" x14ac:dyDescent="0.2">
      <c r="L575" s="38"/>
    </row>
    <row r="576" spans="12:12" ht="15.75" customHeight="1" x14ac:dyDescent="0.2">
      <c r="L576" s="38"/>
    </row>
    <row r="577" spans="12:12" ht="15.75" customHeight="1" x14ac:dyDescent="0.2">
      <c r="L577" s="38"/>
    </row>
    <row r="578" spans="12:12" ht="15.75" customHeight="1" x14ac:dyDescent="0.2">
      <c r="L578" s="38"/>
    </row>
    <row r="579" spans="12:12" ht="15.75" customHeight="1" x14ac:dyDescent="0.2">
      <c r="L579" s="38"/>
    </row>
    <row r="580" spans="12:12" ht="15.75" customHeight="1" x14ac:dyDescent="0.2">
      <c r="L580" s="38"/>
    </row>
    <row r="581" spans="12:12" ht="15.75" customHeight="1" x14ac:dyDescent="0.2">
      <c r="L581" s="38"/>
    </row>
    <row r="582" spans="12:12" ht="15.75" customHeight="1" x14ac:dyDescent="0.2">
      <c r="L582" s="38"/>
    </row>
    <row r="583" spans="12:12" ht="15.75" customHeight="1" x14ac:dyDescent="0.2">
      <c r="L583" s="38"/>
    </row>
    <row r="584" spans="12:12" ht="15.75" customHeight="1" x14ac:dyDescent="0.2">
      <c r="L584" s="38"/>
    </row>
    <row r="585" spans="12:12" ht="15.75" customHeight="1" x14ac:dyDescent="0.2">
      <c r="L585" s="38"/>
    </row>
    <row r="586" spans="12:12" ht="15.75" customHeight="1" x14ac:dyDescent="0.2">
      <c r="L586" s="38"/>
    </row>
    <row r="587" spans="12:12" ht="15.75" customHeight="1" x14ac:dyDescent="0.2">
      <c r="L587" s="38"/>
    </row>
    <row r="588" spans="12:12" ht="15.75" customHeight="1" x14ac:dyDescent="0.2">
      <c r="L588" s="38"/>
    </row>
    <row r="589" spans="12:12" ht="15.75" customHeight="1" x14ac:dyDescent="0.2">
      <c r="L589" s="38"/>
    </row>
    <row r="590" spans="12:12" ht="15.75" customHeight="1" x14ac:dyDescent="0.2">
      <c r="L590" s="38"/>
    </row>
    <row r="591" spans="12:12" ht="15.75" customHeight="1" x14ac:dyDescent="0.2">
      <c r="L591" s="38"/>
    </row>
    <row r="592" spans="12:12" ht="15.75" customHeight="1" x14ac:dyDescent="0.2">
      <c r="L592" s="38"/>
    </row>
    <row r="593" spans="12:12" ht="15.75" customHeight="1" x14ac:dyDescent="0.2">
      <c r="L593" s="38"/>
    </row>
    <row r="594" spans="12:12" ht="15.75" customHeight="1" x14ac:dyDescent="0.2">
      <c r="L594" s="38"/>
    </row>
    <row r="595" spans="12:12" ht="15.75" customHeight="1" x14ac:dyDescent="0.2">
      <c r="L595" s="38"/>
    </row>
    <row r="596" spans="12:12" ht="15.75" customHeight="1" x14ac:dyDescent="0.2">
      <c r="L596" s="38"/>
    </row>
    <row r="597" spans="12:12" ht="15.75" customHeight="1" x14ac:dyDescent="0.2">
      <c r="L597" s="38"/>
    </row>
    <row r="598" spans="12:12" ht="15.75" customHeight="1" x14ac:dyDescent="0.2">
      <c r="L598" s="38"/>
    </row>
    <row r="599" spans="12:12" ht="15.75" customHeight="1" x14ac:dyDescent="0.2">
      <c r="L599" s="38"/>
    </row>
    <row r="600" spans="12:12" ht="15.75" customHeight="1" x14ac:dyDescent="0.2">
      <c r="L600" s="38"/>
    </row>
    <row r="601" spans="12:12" ht="15.75" customHeight="1" x14ac:dyDescent="0.2">
      <c r="L601" s="38"/>
    </row>
    <row r="602" spans="12:12" ht="15.75" customHeight="1" x14ac:dyDescent="0.2">
      <c r="L602" s="38"/>
    </row>
    <row r="603" spans="12:12" ht="15.75" customHeight="1" x14ac:dyDescent="0.2">
      <c r="L603" s="38"/>
    </row>
    <row r="604" spans="12:12" ht="15.75" customHeight="1" x14ac:dyDescent="0.2">
      <c r="L604" s="38"/>
    </row>
    <row r="605" spans="12:12" ht="15.75" customHeight="1" x14ac:dyDescent="0.2">
      <c r="L605" s="38"/>
    </row>
    <row r="606" spans="12:12" ht="15.75" customHeight="1" x14ac:dyDescent="0.2">
      <c r="L606" s="38"/>
    </row>
    <row r="607" spans="12:12" ht="15.75" customHeight="1" x14ac:dyDescent="0.2">
      <c r="L607" s="38"/>
    </row>
    <row r="608" spans="12:12" ht="15.75" customHeight="1" x14ac:dyDescent="0.2">
      <c r="L608" s="38"/>
    </row>
    <row r="609" spans="12:12" ht="15.75" customHeight="1" x14ac:dyDescent="0.2">
      <c r="L609" s="38"/>
    </row>
    <row r="610" spans="12:12" ht="15.75" customHeight="1" x14ac:dyDescent="0.2">
      <c r="L610" s="38"/>
    </row>
    <row r="611" spans="12:12" ht="15.75" customHeight="1" x14ac:dyDescent="0.2">
      <c r="L611" s="38"/>
    </row>
    <row r="612" spans="12:12" ht="15.75" customHeight="1" x14ac:dyDescent="0.2">
      <c r="L612" s="38"/>
    </row>
    <row r="613" spans="12:12" ht="15.75" customHeight="1" x14ac:dyDescent="0.2">
      <c r="L613" s="38"/>
    </row>
    <row r="614" spans="12:12" ht="15.75" customHeight="1" x14ac:dyDescent="0.2">
      <c r="L614" s="38"/>
    </row>
    <row r="615" spans="12:12" ht="15.75" customHeight="1" x14ac:dyDescent="0.2">
      <c r="L615" s="38"/>
    </row>
    <row r="616" spans="12:12" ht="15.75" customHeight="1" x14ac:dyDescent="0.2">
      <c r="L616" s="38"/>
    </row>
    <row r="617" spans="12:12" ht="15.75" customHeight="1" x14ac:dyDescent="0.2">
      <c r="L617" s="38"/>
    </row>
    <row r="618" spans="12:12" ht="15.75" customHeight="1" x14ac:dyDescent="0.2">
      <c r="L618" s="38"/>
    </row>
    <row r="619" spans="12:12" ht="15.75" customHeight="1" x14ac:dyDescent="0.2">
      <c r="L619" s="38"/>
    </row>
    <row r="620" spans="12:12" ht="15.75" customHeight="1" x14ac:dyDescent="0.2">
      <c r="L620" s="38"/>
    </row>
    <row r="621" spans="12:12" ht="15.75" customHeight="1" x14ac:dyDescent="0.2">
      <c r="L621" s="38"/>
    </row>
    <row r="622" spans="12:12" ht="15.75" customHeight="1" x14ac:dyDescent="0.2">
      <c r="L622" s="38"/>
    </row>
    <row r="623" spans="12:12" ht="15.75" customHeight="1" x14ac:dyDescent="0.2">
      <c r="L623" s="38"/>
    </row>
    <row r="624" spans="12:12" ht="15.75" customHeight="1" x14ac:dyDescent="0.2">
      <c r="L624" s="38"/>
    </row>
    <row r="625" spans="12:12" ht="15.75" customHeight="1" x14ac:dyDescent="0.2">
      <c r="L625" s="38"/>
    </row>
    <row r="626" spans="12:12" ht="15.75" customHeight="1" x14ac:dyDescent="0.2">
      <c r="L626" s="38"/>
    </row>
    <row r="627" spans="12:12" ht="15.75" customHeight="1" x14ac:dyDescent="0.2">
      <c r="L627" s="38"/>
    </row>
    <row r="628" spans="12:12" ht="15.75" customHeight="1" x14ac:dyDescent="0.2">
      <c r="L628" s="38"/>
    </row>
    <row r="629" spans="12:12" ht="15.75" customHeight="1" x14ac:dyDescent="0.2">
      <c r="L629" s="38"/>
    </row>
    <row r="630" spans="12:12" ht="15.75" customHeight="1" x14ac:dyDescent="0.2">
      <c r="L630" s="38"/>
    </row>
    <row r="631" spans="12:12" ht="15.75" customHeight="1" x14ac:dyDescent="0.2">
      <c r="L631" s="38"/>
    </row>
    <row r="632" spans="12:12" ht="15.75" customHeight="1" x14ac:dyDescent="0.2">
      <c r="L632" s="38"/>
    </row>
    <row r="633" spans="12:12" ht="15.75" customHeight="1" x14ac:dyDescent="0.2">
      <c r="L633" s="38"/>
    </row>
    <row r="634" spans="12:12" ht="15.75" customHeight="1" x14ac:dyDescent="0.2">
      <c r="L634" s="38"/>
    </row>
    <row r="635" spans="12:12" ht="15.75" customHeight="1" x14ac:dyDescent="0.2">
      <c r="L635" s="38"/>
    </row>
    <row r="636" spans="12:12" ht="15.75" customHeight="1" x14ac:dyDescent="0.2">
      <c r="L636" s="38"/>
    </row>
    <row r="637" spans="12:12" ht="15.75" customHeight="1" x14ac:dyDescent="0.2">
      <c r="L637" s="38"/>
    </row>
    <row r="638" spans="12:12" ht="15.75" customHeight="1" x14ac:dyDescent="0.2">
      <c r="L638" s="38"/>
    </row>
    <row r="639" spans="12:12" ht="15.75" customHeight="1" x14ac:dyDescent="0.2">
      <c r="L639" s="38"/>
    </row>
    <row r="640" spans="12:12" ht="15.75" customHeight="1" x14ac:dyDescent="0.2">
      <c r="L640" s="38"/>
    </row>
    <row r="641" spans="12:12" ht="15.75" customHeight="1" x14ac:dyDescent="0.2">
      <c r="L641" s="38"/>
    </row>
    <row r="642" spans="12:12" ht="15.75" customHeight="1" x14ac:dyDescent="0.2">
      <c r="L642" s="38"/>
    </row>
    <row r="643" spans="12:12" ht="15.75" customHeight="1" x14ac:dyDescent="0.2">
      <c r="L643" s="38"/>
    </row>
    <row r="644" spans="12:12" ht="15.75" customHeight="1" x14ac:dyDescent="0.2">
      <c r="L644" s="38"/>
    </row>
    <row r="645" spans="12:12" ht="15.75" customHeight="1" x14ac:dyDescent="0.2">
      <c r="L645" s="38"/>
    </row>
    <row r="646" spans="12:12" ht="15.75" customHeight="1" x14ac:dyDescent="0.2">
      <c r="L646" s="38"/>
    </row>
    <row r="647" spans="12:12" ht="15.75" customHeight="1" x14ac:dyDescent="0.2">
      <c r="L647" s="38"/>
    </row>
    <row r="648" spans="12:12" ht="15.75" customHeight="1" x14ac:dyDescent="0.2">
      <c r="L648" s="38"/>
    </row>
    <row r="649" spans="12:12" ht="15.75" customHeight="1" x14ac:dyDescent="0.2">
      <c r="L649" s="38"/>
    </row>
    <row r="650" spans="12:12" ht="15.75" customHeight="1" x14ac:dyDescent="0.2">
      <c r="L650" s="38"/>
    </row>
    <row r="651" spans="12:12" ht="15.75" customHeight="1" x14ac:dyDescent="0.2">
      <c r="L651" s="38"/>
    </row>
    <row r="652" spans="12:12" ht="15.75" customHeight="1" x14ac:dyDescent="0.2">
      <c r="L652" s="38"/>
    </row>
    <row r="653" spans="12:12" ht="15.75" customHeight="1" x14ac:dyDescent="0.2">
      <c r="L653" s="38"/>
    </row>
    <row r="654" spans="12:12" ht="15.75" customHeight="1" x14ac:dyDescent="0.2">
      <c r="L654" s="38"/>
    </row>
    <row r="655" spans="12:12" ht="15.75" customHeight="1" x14ac:dyDescent="0.2">
      <c r="L655" s="38"/>
    </row>
    <row r="656" spans="12:12" ht="15.75" customHeight="1" x14ac:dyDescent="0.2">
      <c r="L656" s="38"/>
    </row>
    <row r="657" spans="12:12" ht="15.75" customHeight="1" x14ac:dyDescent="0.2">
      <c r="L657" s="38"/>
    </row>
    <row r="658" spans="12:12" ht="15.75" customHeight="1" x14ac:dyDescent="0.2">
      <c r="L658" s="38"/>
    </row>
    <row r="659" spans="12:12" ht="15.75" customHeight="1" x14ac:dyDescent="0.2">
      <c r="L659" s="38"/>
    </row>
    <row r="660" spans="12:12" ht="15.75" customHeight="1" x14ac:dyDescent="0.2">
      <c r="L660" s="38"/>
    </row>
    <row r="661" spans="12:12" ht="15.75" customHeight="1" x14ac:dyDescent="0.2">
      <c r="L661" s="38"/>
    </row>
    <row r="662" spans="12:12" ht="15.75" customHeight="1" x14ac:dyDescent="0.2">
      <c r="L662" s="38"/>
    </row>
    <row r="663" spans="12:12" ht="15.75" customHeight="1" x14ac:dyDescent="0.2">
      <c r="L663" s="38"/>
    </row>
    <row r="664" spans="12:12" ht="15.75" customHeight="1" x14ac:dyDescent="0.2">
      <c r="L664" s="38"/>
    </row>
    <row r="665" spans="12:12" ht="15.75" customHeight="1" x14ac:dyDescent="0.2">
      <c r="L665" s="38"/>
    </row>
    <row r="666" spans="12:12" ht="15.75" customHeight="1" x14ac:dyDescent="0.2">
      <c r="L666" s="38"/>
    </row>
    <row r="667" spans="12:12" ht="15.75" customHeight="1" x14ac:dyDescent="0.2">
      <c r="L667" s="38"/>
    </row>
    <row r="668" spans="12:12" ht="15.75" customHeight="1" x14ac:dyDescent="0.2">
      <c r="L668" s="38"/>
    </row>
    <row r="669" spans="12:12" ht="15.75" customHeight="1" x14ac:dyDescent="0.2">
      <c r="L669" s="38"/>
    </row>
    <row r="670" spans="12:12" ht="15.75" customHeight="1" x14ac:dyDescent="0.2">
      <c r="L670" s="38"/>
    </row>
    <row r="671" spans="12:12" ht="15.75" customHeight="1" x14ac:dyDescent="0.2">
      <c r="L671" s="38"/>
    </row>
    <row r="672" spans="12:12" ht="15.75" customHeight="1" x14ac:dyDescent="0.2">
      <c r="L672" s="38"/>
    </row>
    <row r="673" spans="12:12" ht="15.75" customHeight="1" x14ac:dyDescent="0.2">
      <c r="L673" s="38"/>
    </row>
    <row r="674" spans="12:12" ht="15.75" customHeight="1" x14ac:dyDescent="0.2">
      <c r="L674" s="38"/>
    </row>
    <row r="675" spans="12:12" ht="15.75" customHeight="1" x14ac:dyDescent="0.2">
      <c r="L675" s="38"/>
    </row>
    <row r="676" spans="12:12" ht="15.75" customHeight="1" x14ac:dyDescent="0.2">
      <c r="L676" s="38"/>
    </row>
    <row r="677" spans="12:12" ht="15.75" customHeight="1" x14ac:dyDescent="0.2">
      <c r="L677" s="38"/>
    </row>
    <row r="678" spans="12:12" ht="15.75" customHeight="1" x14ac:dyDescent="0.2">
      <c r="L678" s="38"/>
    </row>
    <row r="679" spans="12:12" ht="15.75" customHeight="1" x14ac:dyDescent="0.2">
      <c r="L679" s="38"/>
    </row>
    <row r="680" spans="12:12" ht="15.75" customHeight="1" x14ac:dyDescent="0.2">
      <c r="L680" s="38"/>
    </row>
    <row r="681" spans="12:12" ht="15.75" customHeight="1" x14ac:dyDescent="0.2">
      <c r="L681" s="38"/>
    </row>
    <row r="682" spans="12:12" ht="15.75" customHeight="1" x14ac:dyDescent="0.2">
      <c r="L682" s="38"/>
    </row>
    <row r="683" spans="12:12" ht="15.75" customHeight="1" x14ac:dyDescent="0.2">
      <c r="L683" s="38"/>
    </row>
    <row r="684" spans="12:12" ht="15.75" customHeight="1" x14ac:dyDescent="0.2">
      <c r="L684" s="38"/>
    </row>
    <row r="685" spans="12:12" ht="15.75" customHeight="1" x14ac:dyDescent="0.2">
      <c r="L685" s="38"/>
    </row>
    <row r="686" spans="12:12" ht="15.75" customHeight="1" x14ac:dyDescent="0.2">
      <c r="L686" s="38"/>
    </row>
    <row r="687" spans="12:12" ht="15.75" customHeight="1" x14ac:dyDescent="0.2">
      <c r="L687" s="38"/>
    </row>
    <row r="688" spans="12:12" ht="15.75" customHeight="1" x14ac:dyDescent="0.2">
      <c r="L688" s="38"/>
    </row>
    <row r="689" spans="12:12" ht="15.75" customHeight="1" x14ac:dyDescent="0.2">
      <c r="L689" s="38"/>
    </row>
    <row r="690" spans="12:12" ht="15.75" customHeight="1" x14ac:dyDescent="0.2">
      <c r="L690" s="38"/>
    </row>
    <row r="691" spans="12:12" ht="15.75" customHeight="1" x14ac:dyDescent="0.2">
      <c r="L691" s="38"/>
    </row>
    <row r="692" spans="12:12" ht="15.75" customHeight="1" x14ac:dyDescent="0.2">
      <c r="L692" s="38"/>
    </row>
    <row r="693" spans="12:12" ht="15.75" customHeight="1" x14ac:dyDescent="0.2">
      <c r="L693" s="38"/>
    </row>
    <row r="694" spans="12:12" ht="15.75" customHeight="1" x14ac:dyDescent="0.2">
      <c r="L694" s="38"/>
    </row>
    <row r="695" spans="12:12" ht="15.75" customHeight="1" x14ac:dyDescent="0.2">
      <c r="L695" s="38"/>
    </row>
    <row r="696" spans="12:12" ht="15.75" customHeight="1" x14ac:dyDescent="0.2">
      <c r="L696" s="38"/>
    </row>
    <row r="697" spans="12:12" ht="15.75" customHeight="1" x14ac:dyDescent="0.2">
      <c r="L697" s="38"/>
    </row>
    <row r="698" spans="12:12" ht="15.75" customHeight="1" x14ac:dyDescent="0.2">
      <c r="L698" s="38"/>
    </row>
    <row r="699" spans="12:12" ht="15.75" customHeight="1" x14ac:dyDescent="0.2">
      <c r="L699" s="38"/>
    </row>
    <row r="700" spans="12:12" ht="15.75" customHeight="1" x14ac:dyDescent="0.2">
      <c r="L700" s="38"/>
    </row>
    <row r="701" spans="12:12" ht="15.75" customHeight="1" x14ac:dyDescent="0.2">
      <c r="L701" s="38"/>
    </row>
    <row r="702" spans="12:12" ht="15.75" customHeight="1" x14ac:dyDescent="0.2">
      <c r="L702" s="38"/>
    </row>
    <row r="703" spans="12:12" ht="15.75" customHeight="1" x14ac:dyDescent="0.2">
      <c r="L703" s="38"/>
    </row>
    <row r="704" spans="12:12" ht="15.75" customHeight="1" x14ac:dyDescent="0.2">
      <c r="L704" s="38"/>
    </row>
    <row r="705" spans="12:12" ht="15.75" customHeight="1" x14ac:dyDescent="0.2">
      <c r="L705" s="38"/>
    </row>
    <row r="706" spans="12:12" ht="15.75" customHeight="1" x14ac:dyDescent="0.2">
      <c r="L706" s="38"/>
    </row>
    <row r="707" spans="12:12" ht="15.75" customHeight="1" x14ac:dyDescent="0.2">
      <c r="L707" s="38"/>
    </row>
    <row r="708" spans="12:12" ht="15.75" customHeight="1" x14ac:dyDescent="0.2">
      <c r="L708" s="38"/>
    </row>
    <row r="709" spans="12:12" ht="15.75" customHeight="1" x14ac:dyDescent="0.2">
      <c r="L709" s="38"/>
    </row>
    <row r="710" spans="12:12" ht="15.75" customHeight="1" x14ac:dyDescent="0.2">
      <c r="L710" s="38"/>
    </row>
    <row r="711" spans="12:12" ht="15.75" customHeight="1" x14ac:dyDescent="0.2">
      <c r="L711" s="38"/>
    </row>
    <row r="712" spans="12:12" ht="15.75" customHeight="1" x14ac:dyDescent="0.2">
      <c r="L712" s="38"/>
    </row>
    <row r="713" spans="12:12" ht="15.75" customHeight="1" x14ac:dyDescent="0.2">
      <c r="L713" s="38"/>
    </row>
    <row r="714" spans="12:12" ht="15.75" customHeight="1" x14ac:dyDescent="0.2">
      <c r="L714" s="38"/>
    </row>
    <row r="715" spans="12:12" ht="15.75" customHeight="1" x14ac:dyDescent="0.2">
      <c r="L715" s="38"/>
    </row>
    <row r="716" spans="12:12" ht="15.75" customHeight="1" x14ac:dyDescent="0.2">
      <c r="L716" s="38"/>
    </row>
    <row r="717" spans="12:12" ht="15.75" customHeight="1" x14ac:dyDescent="0.2">
      <c r="L717" s="38"/>
    </row>
    <row r="718" spans="12:12" ht="15.75" customHeight="1" x14ac:dyDescent="0.2">
      <c r="L718" s="38"/>
    </row>
    <row r="719" spans="12:12" ht="15.75" customHeight="1" x14ac:dyDescent="0.2">
      <c r="L719" s="38"/>
    </row>
    <row r="720" spans="12:12" ht="15.75" customHeight="1" x14ac:dyDescent="0.2">
      <c r="L720" s="38"/>
    </row>
    <row r="721" spans="12:12" ht="15.75" customHeight="1" x14ac:dyDescent="0.2">
      <c r="L721" s="38"/>
    </row>
    <row r="722" spans="12:12" ht="15.75" customHeight="1" x14ac:dyDescent="0.2">
      <c r="L722" s="38"/>
    </row>
    <row r="723" spans="12:12" ht="15.75" customHeight="1" x14ac:dyDescent="0.2">
      <c r="L723" s="38"/>
    </row>
    <row r="724" spans="12:12" ht="15.75" customHeight="1" x14ac:dyDescent="0.2">
      <c r="L724" s="38"/>
    </row>
    <row r="725" spans="12:12" ht="15.75" customHeight="1" x14ac:dyDescent="0.2">
      <c r="L725" s="38"/>
    </row>
    <row r="726" spans="12:12" ht="15.75" customHeight="1" x14ac:dyDescent="0.2">
      <c r="L726" s="38"/>
    </row>
    <row r="727" spans="12:12" ht="15.75" customHeight="1" x14ac:dyDescent="0.2">
      <c r="L727" s="38"/>
    </row>
    <row r="728" spans="12:12" ht="15.75" customHeight="1" x14ac:dyDescent="0.2">
      <c r="L728" s="38"/>
    </row>
    <row r="729" spans="12:12" ht="15.75" customHeight="1" x14ac:dyDescent="0.2">
      <c r="L729" s="38"/>
    </row>
    <row r="730" spans="12:12" ht="15.75" customHeight="1" x14ac:dyDescent="0.2">
      <c r="L730" s="38"/>
    </row>
    <row r="731" spans="12:12" ht="15.75" customHeight="1" x14ac:dyDescent="0.2">
      <c r="L731" s="38"/>
    </row>
    <row r="732" spans="12:12" ht="15.75" customHeight="1" x14ac:dyDescent="0.2">
      <c r="L732" s="38"/>
    </row>
    <row r="733" spans="12:12" ht="15.75" customHeight="1" x14ac:dyDescent="0.2">
      <c r="L733" s="38"/>
    </row>
    <row r="734" spans="12:12" ht="15.75" customHeight="1" x14ac:dyDescent="0.2">
      <c r="L734" s="38"/>
    </row>
    <row r="735" spans="12:12" ht="15.75" customHeight="1" x14ac:dyDescent="0.2">
      <c r="L735" s="38"/>
    </row>
    <row r="736" spans="12:12" ht="15.75" customHeight="1" x14ac:dyDescent="0.2">
      <c r="L736" s="38"/>
    </row>
    <row r="737" spans="12:12" ht="15.75" customHeight="1" x14ac:dyDescent="0.2">
      <c r="L737" s="38"/>
    </row>
    <row r="738" spans="12:12" ht="15.75" customHeight="1" x14ac:dyDescent="0.2">
      <c r="L738" s="38"/>
    </row>
    <row r="739" spans="12:12" ht="15.75" customHeight="1" x14ac:dyDescent="0.2">
      <c r="L739" s="38"/>
    </row>
    <row r="740" spans="12:12" ht="15.75" customHeight="1" x14ac:dyDescent="0.2">
      <c r="L740" s="38"/>
    </row>
    <row r="741" spans="12:12" ht="15.75" customHeight="1" x14ac:dyDescent="0.2">
      <c r="L741" s="38"/>
    </row>
    <row r="742" spans="12:12" ht="15.75" customHeight="1" x14ac:dyDescent="0.2">
      <c r="L742" s="38"/>
    </row>
    <row r="743" spans="12:12" ht="15.75" customHeight="1" x14ac:dyDescent="0.2">
      <c r="L743" s="38"/>
    </row>
    <row r="744" spans="12:12" ht="15.75" customHeight="1" x14ac:dyDescent="0.2">
      <c r="L744" s="38"/>
    </row>
    <row r="745" spans="12:12" ht="15.75" customHeight="1" x14ac:dyDescent="0.2">
      <c r="L745" s="38"/>
    </row>
    <row r="746" spans="12:12" ht="15.75" customHeight="1" x14ac:dyDescent="0.2">
      <c r="L746" s="38"/>
    </row>
    <row r="747" spans="12:12" ht="15.75" customHeight="1" x14ac:dyDescent="0.2">
      <c r="L747" s="38"/>
    </row>
    <row r="748" spans="12:12" ht="15.75" customHeight="1" x14ac:dyDescent="0.2">
      <c r="L748" s="38"/>
    </row>
    <row r="749" spans="12:12" ht="15.75" customHeight="1" x14ac:dyDescent="0.2">
      <c r="L749" s="38"/>
    </row>
    <row r="750" spans="12:12" ht="15.75" customHeight="1" x14ac:dyDescent="0.2">
      <c r="L750" s="38"/>
    </row>
    <row r="751" spans="12:12" ht="15.75" customHeight="1" x14ac:dyDescent="0.2">
      <c r="L751" s="38"/>
    </row>
    <row r="752" spans="12:12" ht="15.75" customHeight="1" x14ac:dyDescent="0.2">
      <c r="L752" s="38"/>
    </row>
    <row r="753" spans="12:12" ht="15.75" customHeight="1" x14ac:dyDescent="0.2">
      <c r="L753" s="38"/>
    </row>
    <row r="754" spans="12:12" ht="15.75" customHeight="1" x14ac:dyDescent="0.2">
      <c r="L754" s="38"/>
    </row>
    <row r="755" spans="12:12" ht="15.75" customHeight="1" x14ac:dyDescent="0.2">
      <c r="L755" s="38"/>
    </row>
    <row r="756" spans="12:12" ht="15.75" customHeight="1" x14ac:dyDescent="0.2">
      <c r="L756" s="38"/>
    </row>
    <row r="757" spans="12:12" ht="15.75" customHeight="1" x14ac:dyDescent="0.2">
      <c r="L757" s="38"/>
    </row>
    <row r="758" spans="12:12" ht="15.75" customHeight="1" x14ac:dyDescent="0.2">
      <c r="L758" s="38"/>
    </row>
    <row r="759" spans="12:12" ht="15.75" customHeight="1" x14ac:dyDescent="0.2">
      <c r="L759" s="38"/>
    </row>
    <row r="760" spans="12:12" ht="15.75" customHeight="1" x14ac:dyDescent="0.2">
      <c r="L760" s="38"/>
    </row>
    <row r="761" spans="12:12" ht="15.75" customHeight="1" x14ac:dyDescent="0.2">
      <c r="L761" s="38"/>
    </row>
    <row r="762" spans="12:12" ht="15.75" customHeight="1" x14ac:dyDescent="0.2">
      <c r="L762" s="38"/>
    </row>
    <row r="763" spans="12:12" ht="15.75" customHeight="1" x14ac:dyDescent="0.2">
      <c r="L763" s="38"/>
    </row>
    <row r="764" spans="12:12" ht="15.75" customHeight="1" x14ac:dyDescent="0.2">
      <c r="L764" s="38"/>
    </row>
    <row r="765" spans="12:12" ht="15.75" customHeight="1" x14ac:dyDescent="0.2">
      <c r="L765" s="38"/>
    </row>
    <row r="766" spans="12:12" ht="15.75" customHeight="1" x14ac:dyDescent="0.2">
      <c r="L766" s="38"/>
    </row>
    <row r="767" spans="12:12" ht="15.75" customHeight="1" x14ac:dyDescent="0.2">
      <c r="L767" s="38"/>
    </row>
    <row r="768" spans="12:12" ht="15.75" customHeight="1" x14ac:dyDescent="0.2">
      <c r="L768" s="38"/>
    </row>
    <row r="769" spans="12:12" ht="15.75" customHeight="1" x14ac:dyDescent="0.2">
      <c r="L769" s="38"/>
    </row>
    <row r="770" spans="12:12" ht="15.75" customHeight="1" x14ac:dyDescent="0.2">
      <c r="L770" s="38"/>
    </row>
    <row r="771" spans="12:12" ht="15.75" customHeight="1" x14ac:dyDescent="0.2">
      <c r="L771" s="38"/>
    </row>
    <row r="772" spans="12:12" ht="15.75" customHeight="1" x14ac:dyDescent="0.2">
      <c r="L772" s="38"/>
    </row>
    <row r="773" spans="12:12" ht="15.75" customHeight="1" x14ac:dyDescent="0.2">
      <c r="L773" s="38"/>
    </row>
    <row r="774" spans="12:12" ht="15.75" customHeight="1" x14ac:dyDescent="0.2">
      <c r="L774" s="38"/>
    </row>
    <row r="775" spans="12:12" ht="15.75" customHeight="1" x14ac:dyDescent="0.2">
      <c r="L775" s="38"/>
    </row>
    <row r="776" spans="12:12" ht="15.75" customHeight="1" x14ac:dyDescent="0.2">
      <c r="L776" s="38"/>
    </row>
    <row r="777" spans="12:12" ht="15.75" customHeight="1" x14ac:dyDescent="0.2">
      <c r="L777" s="38"/>
    </row>
    <row r="778" spans="12:12" ht="15.75" customHeight="1" x14ac:dyDescent="0.2">
      <c r="L778" s="38"/>
    </row>
    <row r="779" spans="12:12" ht="15.75" customHeight="1" x14ac:dyDescent="0.2">
      <c r="L779" s="38"/>
    </row>
    <row r="780" spans="12:12" ht="15.75" customHeight="1" x14ac:dyDescent="0.2">
      <c r="L780" s="38"/>
    </row>
    <row r="781" spans="12:12" ht="15.75" customHeight="1" x14ac:dyDescent="0.2">
      <c r="L781" s="38"/>
    </row>
    <row r="782" spans="12:12" ht="15.75" customHeight="1" x14ac:dyDescent="0.2">
      <c r="L782" s="38"/>
    </row>
    <row r="783" spans="12:12" ht="15.75" customHeight="1" x14ac:dyDescent="0.2">
      <c r="L783" s="38"/>
    </row>
    <row r="784" spans="12:12" ht="15.75" customHeight="1" x14ac:dyDescent="0.2">
      <c r="L784" s="38"/>
    </row>
    <row r="785" spans="12:12" ht="15.75" customHeight="1" x14ac:dyDescent="0.2">
      <c r="L785" s="38"/>
    </row>
    <row r="786" spans="12:12" ht="15.75" customHeight="1" x14ac:dyDescent="0.2">
      <c r="L786" s="38"/>
    </row>
    <row r="787" spans="12:12" ht="15.75" customHeight="1" x14ac:dyDescent="0.2">
      <c r="L787" s="38"/>
    </row>
    <row r="788" spans="12:12" ht="15.75" customHeight="1" x14ac:dyDescent="0.2">
      <c r="L788" s="38"/>
    </row>
    <row r="789" spans="12:12" ht="15.75" customHeight="1" x14ac:dyDescent="0.2">
      <c r="L789" s="38"/>
    </row>
    <row r="790" spans="12:12" ht="15.75" customHeight="1" x14ac:dyDescent="0.2">
      <c r="L790" s="38"/>
    </row>
    <row r="791" spans="12:12" ht="15.75" customHeight="1" x14ac:dyDescent="0.2">
      <c r="L791" s="38"/>
    </row>
    <row r="792" spans="12:12" ht="15.75" customHeight="1" x14ac:dyDescent="0.2">
      <c r="L792" s="38"/>
    </row>
    <row r="793" spans="12:12" ht="15.75" customHeight="1" x14ac:dyDescent="0.2">
      <c r="L793" s="38"/>
    </row>
    <row r="794" spans="12:12" ht="15.75" customHeight="1" x14ac:dyDescent="0.2">
      <c r="L794" s="38"/>
    </row>
    <row r="795" spans="12:12" ht="15.75" customHeight="1" x14ac:dyDescent="0.2">
      <c r="L795" s="38"/>
    </row>
    <row r="796" spans="12:12" ht="15.75" customHeight="1" x14ac:dyDescent="0.2">
      <c r="L796" s="38"/>
    </row>
    <row r="797" spans="12:12" ht="15.75" customHeight="1" x14ac:dyDescent="0.2">
      <c r="L797" s="38"/>
    </row>
    <row r="798" spans="12:12" ht="15.75" customHeight="1" x14ac:dyDescent="0.2">
      <c r="L798" s="38"/>
    </row>
    <row r="799" spans="12:12" ht="15.75" customHeight="1" x14ac:dyDescent="0.2">
      <c r="L799" s="38"/>
    </row>
    <row r="800" spans="12:12" ht="15.75" customHeight="1" x14ac:dyDescent="0.2">
      <c r="L800" s="38"/>
    </row>
    <row r="801" spans="12:12" ht="15.75" customHeight="1" x14ac:dyDescent="0.2">
      <c r="L801" s="38"/>
    </row>
    <row r="802" spans="12:12" ht="15.75" customHeight="1" x14ac:dyDescent="0.2">
      <c r="L802" s="38"/>
    </row>
    <row r="803" spans="12:12" ht="15.75" customHeight="1" x14ac:dyDescent="0.2">
      <c r="L803" s="38"/>
    </row>
    <row r="804" spans="12:12" ht="15.75" customHeight="1" x14ac:dyDescent="0.2">
      <c r="L804" s="38"/>
    </row>
    <row r="805" spans="12:12" ht="15.75" customHeight="1" x14ac:dyDescent="0.2">
      <c r="L805" s="38"/>
    </row>
    <row r="806" spans="12:12" ht="15.75" customHeight="1" x14ac:dyDescent="0.2">
      <c r="L806" s="38"/>
    </row>
    <row r="807" spans="12:12" ht="15.75" customHeight="1" x14ac:dyDescent="0.2">
      <c r="L807" s="38"/>
    </row>
    <row r="808" spans="12:12" ht="15.75" customHeight="1" x14ac:dyDescent="0.2">
      <c r="L808" s="38"/>
    </row>
    <row r="809" spans="12:12" ht="15.75" customHeight="1" x14ac:dyDescent="0.2">
      <c r="L809" s="38"/>
    </row>
    <row r="810" spans="12:12" ht="15.75" customHeight="1" x14ac:dyDescent="0.2">
      <c r="L810" s="38"/>
    </row>
    <row r="811" spans="12:12" ht="15.75" customHeight="1" x14ac:dyDescent="0.2">
      <c r="L811" s="38"/>
    </row>
    <row r="812" spans="12:12" ht="15.75" customHeight="1" x14ac:dyDescent="0.2">
      <c r="L812" s="38"/>
    </row>
    <row r="813" spans="12:12" ht="15.75" customHeight="1" x14ac:dyDescent="0.2">
      <c r="L813" s="38"/>
    </row>
    <row r="814" spans="12:12" ht="15.75" customHeight="1" x14ac:dyDescent="0.2">
      <c r="L814" s="38"/>
    </row>
    <row r="815" spans="12:12" ht="15.75" customHeight="1" x14ac:dyDescent="0.2">
      <c r="L815" s="38"/>
    </row>
    <row r="816" spans="12:12" ht="15.75" customHeight="1" x14ac:dyDescent="0.2">
      <c r="L816" s="38"/>
    </row>
    <row r="817" spans="12:12" ht="15.75" customHeight="1" x14ac:dyDescent="0.2">
      <c r="L817" s="38"/>
    </row>
    <row r="818" spans="12:12" ht="15.75" customHeight="1" x14ac:dyDescent="0.2">
      <c r="L818" s="38"/>
    </row>
    <row r="819" spans="12:12" ht="15.75" customHeight="1" x14ac:dyDescent="0.2">
      <c r="L819" s="38"/>
    </row>
    <row r="820" spans="12:12" ht="15.75" customHeight="1" x14ac:dyDescent="0.2">
      <c r="L820" s="38"/>
    </row>
    <row r="821" spans="12:12" ht="15.75" customHeight="1" x14ac:dyDescent="0.2">
      <c r="L821" s="38"/>
    </row>
    <row r="822" spans="12:12" ht="15.75" customHeight="1" x14ac:dyDescent="0.2">
      <c r="L822" s="38"/>
    </row>
    <row r="823" spans="12:12" ht="15.75" customHeight="1" x14ac:dyDescent="0.2">
      <c r="L823" s="38"/>
    </row>
    <row r="824" spans="12:12" ht="15.75" customHeight="1" x14ac:dyDescent="0.2">
      <c r="L824" s="38"/>
    </row>
    <row r="825" spans="12:12" ht="15.75" customHeight="1" x14ac:dyDescent="0.2">
      <c r="L825" s="38"/>
    </row>
    <row r="826" spans="12:12" ht="15.75" customHeight="1" x14ac:dyDescent="0.2">
      <c r="L826" s="38"/>
    </row>
    <row r="827" spans="12:12" ht="15.75" customHeight="1" x14ac:dyDescent="0.2">
      <c r="L827" s="38"/>
    </row>
    <row r="828" spans="12:12" ht="15.75" customHeight="1" x14ac:dyDescent="0.2">
      <c r="L828" s="38"/>
    </row>
    <row r="829" spans="12:12" ht="15.75" customHeight="1" x14ac:dyDescent="0.2">
      <c r="L829" s="38"/>
    </row>
    <row r="830" spans="12:12" ht="15.75" customHeight="1" x14ac:dyDescent="0.2">
      <c r="L830" s="38"/>
    </row>
    <row r="831" spans="12:12" ht="15.75" customHeight="1" x14ac:dyDescent="0.2">
      <c r="L831" s="38"/>
    </row>
    <row r="832" spans="12:12" ht="15.75" customHeight="1" x14ac:dyDescent="0.2">
      <c r="L832" s="38"/>
    </row>
    <row r="833" spans="12:12" ht="15.75" customHeight="1" x14ac:dyDescent="0.2">
      <c r="L833" s="38"/>
    </row>
    <row r="834" spans="12:12" ht="15.75" customHeight="1" x14ac:dyDescent="0.2">
      <c r="L834" s="38"/>
    </row>
    <row r="835" spans="12:12" ht="15.75" customHeight="1" x14ac:dyDescent="0.2">
      <c r="L835" s="38"/>
    </row>
    <row r="836" spans="12:12" ht="15.75" customHeight="1" x14ac:dyDescent="0.2">
      <c r="L836" s="38"/>
    </row>
    <row r="837" spans="12:12" ht="15.75" customHeight="1" x14ac:dyDescent="0.2">
      <c r="L837" s="38"/>
    </row>
    <row r="838" spans="12:12" ht="15.75" customHeight="1" x14ac:dyDescent="0.2">
      <c r="L838" s="38"/>
    </row>
    <row r="839" spans="12:12" ht="15.75" customHeight="1" x14ac:dyDescent="0.2">
      <c r="L839" s="38"/>
    </row>
    <row r="840" spans="12:12" ht="15.75" customHeight="1" x14ac:dyDescent="0.2">
      <c r="L840" s="38"/>
    </row>
    <row r="841" spans="12:12" ht="15.75" customHeight="1" x14ac:dyDescent="0.2">
      <c r="L841" s="38"/>
    </row>
    <row r="842" spans="12:12" ht="15.75" customHeight="1" x14ac:dyDescent="0.2">
      <c r="L842" s="38"/>
    </row>
    <row r="843" spans="12:12" ht="15.75" customHeight="1" x14ac:dyDescent="0.2">
      <c r="L843" s="38"/>
    </row>
    <row r="844" spans="12:12" ht="15.75" customHeight="1" x14ac:dyDescent="0.2">
      <c r="L844" s="38"/>
    </row>
    <row r="845" spans="12:12" ht="15.75" customHeight="1" x14ac:dyDescent="0.2">
      <c r="L845" s="38"/>
    </row>
    <row r="846" spans="12:12" ht="15.75" customHeight="1" x14ac:dyDescent="0.2">
      <c r="L846" s="38"/>
    </row>
    <row r="847" spans="12:12" ht="15.75" customHeight="1" x14ac:dyDescent="0.2">
      <c r="L847" s="38"/>
    </row>
    <row r="848" spans="12:12" ht="15.75" customHeight="1" x14ac:dyDescent="0.2">
      <c r="L848" s="38"/>
    </row>
    <row r="849" spans="12:12" ht="15.75" customHeight="1" x14ac:dyDescent="0.2">
      <c r="L849" s="38"/>
    </row>
    <row r="850" spans="12:12" ht="15.75" customHeight="1" x14ac:dyDescent="0.2">
      <c r="L850" s="38"/>
    </row>
    <row r="851" spans="12:12" ht="15.75" customHeight="1" x14ac:dyDescent="0.2">
      <c r="L851" s="38"/>
    </row>
    <row r="852" spans="12:12" ht="15.75" customHeight="1" x14ac:dyDescent="0.2">
      <c r="L852" s="38"/>
    </row>
    <row r="853" spans="12:12" ht="15.75" customHeight="1" x14ac:dyDescent="0.2">
      <c r="L853" s="38"/>
    </row>
    <row r="854" spans="12:12" ht="15.75" customHeight="1" x14ac:dyDescent="0.2">
      <c r="L854" s="38"/>
    </row>
    <row r="855" spans="12:12" ht="15.75" customHeight="1" x14ac:dyDescent="0.2">
      <c r="L855" s="38"/>
    </row>
    <row r="856" spans="12:12" ht="15.75" customHeight="1" x14ac:dyDescent="0.2">
      <c r="L856" s="38"/>
    </row>
    <row r="857" spans="12:12" ht="15.75" customHeight="1" x14ac:dyDescent="0.2">
      <c r="L857" s="38"/>
    </row>
    <row r="858" spans="12:12" ht="15.75" customHeight="1" x14ac:dyDescent="0.2">
      <c r="L858" s="38"/>
    </row>
    <row r="859" spans="12:12" ht="15.75" customHeight="1" x14ac:dyDescent="0.2">
      <c r="L859" s="38"/>
    </row>
    <row r="860" spans="12:12" ht="15.75" customHeight="1" x14ac:dyDescent="0.2">
      <c r="L860" s="38"/>
    </row>
    <row r="861" spans="12:12" ht="15.75" customHeight="1" x14ac:dyDescent="0.2">
      <c r="L861" s="38"/>
    </row>
    <row r="862" spans="12:12" ht="15.75" customHeight="1" x14ac:dyDescent="0.2">
      <c r="L862" s="38"/>
    </row>
    <row r="863" spans="12:12" ht="15.75" customHeight="1" x14ac:dyDescent="0.2">
      <c r="L863" s="38"/>
    </row>
    <row r="864" spans="12:12" ht="15.75" customHeight="1" x14ac:dyDescent="0.2">
      <c r="L864" s="38"/>
    </row>
    <row r="865" spans="12:12" ht="15.75" customHeight="1" x14ac:dyDescent="0.2">
      <c r="L865" s="38"/>
    </row>
    <row r="866" spans="12:12" ht="15.75" customHeight="1" x14ac:dyDescent="0.2">
      <c r="L866" s="38"/>
    </row>
    <row r="867" spans="12:12" ht="15.75" customHeight="1" x14ac:dyDescent="0.2">
      <c r="L867" s="38"/>
    </row>
    <row r="868" spans="12:12" ht="15.75" customHeight="1" x14ac:dyDescent="0.2">
      <c r="L868" s="38"/>
    </row>
    <row r="869" spans="12:12" ht="15.75" customHeight="1" x14ac:dyDescent="0.2">
      <c r="L869" s="38"/>
    </row>
    <row r="870" spans="12:12" ht="15.75" customHeight="1" x14ac:dyDescent="0.2">
      <c r="L870" s="38"/>
    </row>
    <row r="871" spans="12:12" ht="15.75" customHeight="1" x14ac:dyDescent="0.2">
      <c r="L871" s="38"/>
    </row>
    <row r="872" spans="12:12" ht="15.75" customHeight="1" x14ac:dyDescent="0.2">
      <c r="L872" s="38"/>
    </row>
    <row r="873" spans="12:12" ht="15.75" customHeight="1" x14ac:dyDescent="0.2">
      <c r="L873" s="38"/>
    </row>
    <row r="874" spans="12:12" ht="15.75" customHeight="1" x14ac:dyDescent="0.2">
      <c r="L874" s="38"/>
    </row>
    <row r="875" spans="12:12" ht="15.75" customHeight="1" x14ac:dyDescent="0.2">
      <c r="L875" s="38"/>
    </row>
    <row r="876" spans="12:12" ht="15.75" customHeight="1" x14ac:dyDescent="0.2">
      <c r="L876" s="38"/>
    </row>
    <row r="877" spans="12:12" ht="15.75" customHeight="1" x14ac:dyDescent="0.2">
      <c r="L877" s="38"/>
    </row>
    <row r="878" spans="12:12" ht="15.75" customHeight="1" x14ac:dyDescent="0.2">
      <c r="L878" s="38"/>
    </row>
    <row r="879" spans="12:12" ht="15.75" customHeight="1" x14ac:dyDescent="0.2">
      <c r="L879" s="38"/>
    </row>
    <row r="880" spans="12:12" ht="15.75" customHeight="1" x14ac:dyDescent="0.2">
      <c r="L880" s="38"/>
    </row>
    <row r="881" spans="12:12" ht="15.75" customHeight="1" x14ac:dyDescent="0.2">
      <c r="L881" s="38"/>
    </row>
    <row r="882" spans="12:12" ht="15.75" customHeight="1" x14ac:dyDescent="0.2">
      <c r="L882" s="38"/>
    </row>
    <row r="883" spans="12:12" ht="15.75" customHeight="1" x14ac:dyDescent="0.2">
      <c r="L883" s="38"/>
    </row>
    <row r="884" spans="12:12" ht="15.75" customHeight="1" x14ac:dyDescent="0.2">
      <c r="L884" s="38"/>
    </row>
    <row r="885" spans="12:12" ht="15.75" customHeight="1" x14ac:dyDescent="0.2">
      <c r="L885" s="38"/>
    </row>
    <row r="886" spans="12:12" ht="15.75" customHeight="1" x14ac:dyDescent="0.2">
      <c r="L886" s="38"/>
    </row>
    <row r="887" spans="12:12" ht="15.75" customHeight="1" x14ac:dyDescent="0.2">
      <c r="L887" s="38"/>
    </row>
    <row r="888" spans="12:12" ht="15.75" customHeight="1" x14ac:dyDescent="0.2">
      <c r="L888" s="38"/>
    </row>
    <row r="889" spans="12:12" ht="15.75" customHeight="1" x14ac:dyDescent="0.2">
      <c r="L889" s="38"/>
    </row>
    <row r="890" spans="12:12" ht="15.75" customHeight="1" x14ac:dyDescent="0.2">
      <c r="L890" s="38"/>
    </row>
    <row r="891" spans="12:12" ht="15.75" customHeight="1" x14ac:dyDescent="0.2">
      <c r="L891" s="38"/>
    </row>
    <row r="892" spans="12:12" ht="15.75" customHeight="1" x14ac:dyDescent="0.2">
      <c r="L892" s="38"/>
    </row>
    <row r="893" spans="12:12" ht="15.75" customHeight="1" x14ac:dyDescent="0.2">
      <c r="L893" s="38"/>
    </row>
    <row r="894" spans="12:12" ht="15.75" customHeight="1" x14ac:dyDescent="0.2">
      <c r="L894" s="38"/>
    </row>
    <row r="895" spans="12:12" ht="15.75" customHeight="1" x14ac:dyDescent="0.2">
      <c r="L895" s="38"/>
    </row>
    <row r="896" spans="12:12" ht="15.75" customHeight="1" x14ac:dyDescent="0.2">
      <c r="L896" s="38"/>
    </row>
    <row r="897" spans="12:12" ht="15.75" customHeight="1" x14ac:dyDescent="0.2">
      <c r="L897" s="38"/>
    </row>
    <row r="898" spans="12:12" ht="15.75" customHeight="1" x14ac:dyDescent="0.2">
      <c r="L898" s="38"/>
    </row>
    <row r="899" spans="12:12" ht="15.75" customHeight="1" x14ac:dyDescent="0.2">
      <c r="L899" s="38"/>
    </row>
    <row r="900" spans="12:12" ht="15.75" customHeight="1" x14ac:dyDescent="0.2">
      <c r="L900" s="38"/>
    </row>
    <row r="901" spans="12:12" ht="15.75" customHeight="1" x14ac:dyDescent="0.2">
      <c r="L901" s="38"/>
    </row>
    <row r="902" spans="12:12" ht="15.75" customHeight="1" x14ac:dyDescent="0.2">
      <c r="L902" s="38"/>
    </row>
    <row r="903" spans="12:12" ht="15.75" customHeight="1" x14ac:dyDescent="0.2">
      <c r="L903" s="38"/>
    </row>
    <row r="904" spans="12:12" ht="15.75" customHeight="1" x14ac:dyDescent="0.2">
      <c r="L904" s="38"/>
    </row>
    <row r="905" spans="12:12" ht="15.75" customHeight="1" x14ac:dyDescent="0.2">
      <c r="L905" s="38"/>
    </row>
    <row r="906" spans="12:12" ht="15.75" customHeight="1" x14ac:dyDescent="0.2">
      <c r="L906" s="38"/>
    </row>
    <row r="907" spans="12:12" ht="15.75" customHeight="1" x14ac:dyDescent="0.2">
      <c r="L907" s="38"/>
    </row>
    <row r="908" spans="12:12" ht="15.75" customHeight="1" x14ac:dyDescent="0.2">
      <c r="L908" s="38"/>
    </row>
    <row r="909" spans="12:12" ht="15.75" customHeight="1" x14ac:dyDescent="0.2">
      <c r="L909" s="38"/>
    </row>
    <row r="910" spans="12:12" ht="15.75" customHeight="1" x14ac:dyDescent="0.2">
      <c r="L910" s="38"/>
    </row>
    <row r="911" spans="12:12" ht="15.75" customHeight="1" x14ac:dyDescent="0.2">
      <c r="L911" s="38"/>
    </row>
    <row r="912" spans="12:12" ht="15.75" customHeight="1" x14ac:dyDescent="0.2">
      <c r="L912" s="38"/>
    </row>
    <row r="913" spans="12:12" ht="15.75" customHeight="1" x14ac:dyDescent="0.2">
      <c r="L913" s="38"/>
    </row>
    <row r="914" spans="12:12" ht="15.75" customHeight="1" x14ac:dyDescent="0.2">
      <c r="L914" s="38"/>
    </row>
    <row r="915" spans="12:12" ht="15.75" customHeight="1" x14ac:dyDescent="0.2">
      <c r="L915" s="38"/>
    </row>
    <row r="916" spans="12:12" ht="15.75" customHeight="1" x14ac:dyDescent="0.2">
      <c r="L916" s="38"/>
    </row>
    <row r="917" spans="12:12" ht="15.75" customHeight="1" x14ac:dyDescent="0.2">
      <c r="L917" s="38"/>
    </row>
    <row r="918" spans="12:12" ht="15.75" customHeight="1" x14ac:dyDescent="0.2">
      <c r="L918" s="38"/>
    </row>
    <row r="919" spans="12:12" ht="15.75" customHeight="1" x14ac:dyDescent="0.2">
      <c r="L919" s="38"/>
    </row>
    <row r="920" spans="12:12" ht="15.75" customHeight="1" x14ac:dyDescent="0.2">
      <c r="L920" s="38"/>
    </row>
    <row r="921" spans="12:12" ht="15.75" customHeight="1" x14ac:dyDescent="0.2">
      <c r="L921" s="38"/>
    </row>
    <row r="922" spans="12:12" ht="15.75" customHeight="1" x14ac:dyDescent="0.2">
      <c r="L922" s="38"/>
    </row>
    <row r="923" spans="12:12" ht="15.75" customHeight="1" x14ac:dyDescent="0.2">
      <c r="L923" s="38"/>
    </row>
    <row r="924" spans="12:12" ht="15.75" customHeight="1" x14ac:dyDescent="0.2">
      <c r="L924" s="38"/>
    </row>
    <row r="925" spans="12:12" ht="15.75" customHeight="1" x14ac:dyDescent="0.2">
      <c r="L925" s="38"/>
    </row>
    <row r="926" spans="12:12" ht="15.75" customHeight="1" x14ac:dyDescent="0.2">
      <c r="L926" s="38"/>
    </row>
    <row r="927" spans="12:12" ht="15.75" customHeight="1" x14ac:dyDescent="0.2">
      <c r="L927" s="38"/>
    </row>
    <row r="928" spans="12:12" ht="15.75" customHeight="1" x14ac:dyDescent="0.2">
      <c r="L928" s="38"/>
    </row>
    <row r="929" spans="12:12" ht="15.75" customHeight="1" x14ac:dyDescent="0.2">
      <c r="L929" s="38"/>
    </row>
    <row r="930" spans="12:12" ht="15.75" customHeight="1" x14ac:dyDescent="0.2">
      <c r="L930" s="38"/>
    </row>
    <row r="931" spans="12:12" ht="15.75" customHeight="1" x14ac:dyDescent="0.2">
      <c r="L931" s="38"/>
    </row>
    <row r="932" spans="12:12" ht="15.75" customHeight="1" x14ac:dyDescent="0.2">
      <c r="L932" s="38"/>
    </row>
    <row r="933" spans="12:12" ht="15.75" customHeight="1" x14ac:dyDescent="0.2">
      <c r="L933" s="38"/>
    </row>
    <row r="934" spans="12:12" ht="15.75" customHeight="1" x14ac:dyDescent="0.2">
      <c r="L934" s="38"/>
    </row>
    <row r="935" spans="12:12" ht="15.75" customHeight="1" x14ac:dyDescent="0.2">
      <c r="L935" s="38"/>
    </row>
    <row r="936" spans="12:12" ht="15.75" customHeight="1" x14ac:dyDescent="0.2">
      <c r="L936" s="38"/>
    </row>
    <row r="937" spans="12:12" ht="15.75" customHeight="1" x14ac:dyDescent="0.2">
      <c r="L937" s="38"/>
    </row>
    <row r="938" spans="12:12" ht="15.75" customHeight="1" x14ac:dyDescent="0.2">
      <c r="L938" s="38"/>
    </row>
    <row r="939" spans="12:12" ht="15.75" customHeight="1" x14ac:dyDescent="0.2">
      <c r="L939" s="38"/>
    </row>
    <row r="940" spans="12:12" ht="15.75" customHeight="1" x14ac:dyDescent="0.2">
      <c r="L940" s="38"/>
    </row>
    <row r="941" spans="12:12" ht="15.75" customHeight="1" x14ac:dyDescent="0.2">
      <c r="L941" s="38"/>
    </row>
    <row r="942" spans="12:12" ht="15.75" customHeight="1" x14ac:dyDescent="0.2">
      <c r="L942" s="38"/>
    </row>
    <row r="943" spans="12:12" ht="15.75" customHeight="1" x14ac:dyDescent="0.2">
      <c r="L943" s="38"/>
    </row>
    <row r="944" spans="12:12" ht="15.75" customHeight="1" x14ac:dyDescent="0.2">
      <c r="L944" s="38"/>
    </row>
    <row r="945" spans="12:12" ht="15.75" customHeight="1" x14ac:dyDescent="0.2">
      <c r="L945" s="38"/>
    </row>
    <row r="946" spans="12:12" ht="15.75" customHeight="1" x14ac:dyDescent="0.2">
      <c r="L946" s="38"/>
    </row>
    <row r="947" spans="12:12" ht="15.75" customHeight="1" x14ac:dyDescent="0.2">
      <c r="L947" s="38"/>
    </row>
    <row r="948" spans="12:12" ht="15.75" customHeight="1" x14ac:dyDescent="0.2">
      <c r="L948" s="38"/>
    </row>
    <row r="949" spans="12:12" ht="15.75" customHeight="1" x14ac:dyDescent="0.2">
      <c r="L949" s="38"/>
    </row>
    <row r="950" spans="12:12" ht="15.75" customHeight="1" x14ac:dyDescent="0.2">
      <c r="L950" s="38"/>
    </row>
    <row r="951" spans="12:12" ht="15.75" customHeight="1" x14ac:dyDescent="0.2">
      <c r="L951" s="38"/>
    </row>
    <row r="952" spans="12:12" ht="15.75" customHeight="1" x14ac:dyDescent="0.2">
      <c r="L952" s="38"/>
    </row>
    <row r="953" spans="12:12" ht="15.75" customHeight="1" x14ac:dyDescent="0.2">
      <c r="L953" s="38"/>
    </row>
    <row r="954" spans="12:12" ht="15.75" customHeight="1" x14ac:dyDescent="0.2">
      <c r="L954" s="38"/>
    </row>
    <row r="955" spans="12:12" ht="15.75" customHeight="1" x14ac:dyDescent="0.2">
      <c r="L955" s="38"/>
    </row>
    <row r="956" spans="12:12" ht="15.75" customHeight="1" x14ac:dyDescent="0.2">
      <c r="L956" s="38"/>
    </row>
    <row r="957" spans="12:12" ht="15.75" customHeight="1" x14ac:dyDescent="0.2">
      <c r="L957" s="38"/>
    </row>
    <row r="958" spans="12:12" ht="15.75" customHeight="1" x14ac:dyDescent="0.2">
      <c r="L958" s="38"/>
    </row>
    <row r="959" spans="12:12" ht="15.75" customHeight="1" x14ac:dyDescent="0.2">
      <c r="L959" s="38"/>
    </row>
    <row r="960" spans="12:12" ht="15.75" customHeight="1" x14ac:dyDescent="0.2">
      <c r="L960" s="38"/>
    </row>
    <row r="961" spans="12:12" ht="15.75" customHeight="1" x14ac:dyDescent="0.2">
      <c r="L961" s="38"/>
    </row>
    <row r="962" spans="12:12" ht="15.75" customHeight="1" x14ac:dyDescent="0.2">
      <c r="L962" s="38"/>
    </row>
    <row r="963" spans="12:12" ht="15.75" customHeight="1" x14ac:dyDescent="0.2">
      <c r="L963" s="38"/>
    </row>
    <row r="964" spans="12:12" ht="15.75" customHeight="1" x14ac:dyDescent="0.2">
      <c r="L964" s="38"/>
    </row>
    <row r="965" spans="12:12" ht="15.75" customHeight="1" x14ac:dyDescent="0.2">
      <c r="L965" s="38"/>
    </row>
    <row r="966" spans="12:12" ht="15.75" customHeight="1" x14ac:dyDescent="0.2">
      <c r="L966" s="38"/>
    </row>
    <row r="967" spans="12:12" ht="15.75" customHeight="1" x14ac:dyDescent="0.2">
      <c r="L967" s="38"/>
    </row>
    <row r="968" spans="12:12" ht="15.75" customHeight="1" x14ac:dyDescent="0.2">
      <c r="L968" s="38"/>
    </row>
    <row r="969" spans="12:12" ht="15.75" customHeight="1" x14ac:dyDescent="0.2">
      <c r="L969" s="38"/>
    </row>
    <row r="970" spans="12:12" ht="15.75" customHeight="1" x14ac:dyDescent="0.2">
      <c r="L970" s="38"/>
    </row>
    <row r="971" spans="12:12" ht="15.75" customHeight="1" x14ac:dyDescent="0.2">
      <c r="L971" s="38"/>
    </row>
    <row r="972" spans="12:12" ht="15.75" customHeight="1" x14ac:dyDescent="0.2">
      <c r="L972" s="38"/>
    </row>
    <row r="973" spans="12:12" ht="15.75" customHeight="1" x14ac:dyDescent="0.2">
      <c r="L973" s="38"/>
    </row>
    <row r="974" spans="12:12" ht="15.75" customHeight="1" x14ac:dyDescent="0.2">
      <c r="L974" s="38"/>
    </row>
    <row r="975" spans="12:12" ht="15.75" customHeight="1" x14ac:dyDescent="0.2">
      <c r="L975" s="38"/>
    </row>
    <row r="976" spans="12:12" ht="15.75" customHeight="1" x14ac:dyDescent="0.2">
      <c r="L976" s="38"/>
    </row>
    <row r="977" spans="12:12" ht="15.75" customHeight="1" x14ac:dyDescent="0.2">
      <c r="L977" s="38"/>
    </row>
    <row r="978" spans="12:12" ht="15.75" customHeight="1" x14ac:dyDescent="0.2">
      <c r="L978" s="38"/>
    </row>
    <row r="979" spans="12:12" ht="15.75" customHeight="1" x14ac:dyDescent="0.2">
      <c r="L979" s="38"/>
    </row>
    <row r="980" spans="12:12" ht="15.75" customHeight="1" x14ac:dyDescent="0.2">
      <c r="L980" s="38"/>
    </row>
    <row r="981" spans="12:12" ht="15.75" customHeight="1" x14ac:dyDescent="0.2">
      <c r="L981" s="38"/>
    </row>
    <row r="982" spans="12:12" ht="15.75" customHeight="1" x14ac:dyDescent="0.2">
      <c r="L982" s="38"/>
    </row>
    <row r="983" spans="12:12" ht="15.75" customHeight="1" x14ac:dyDescent="0.2">
      <c r="L983" s="38"/>
    </row>
    <row r="984" spans="12:12" ht="15.75" customHeight="1" x14ac:dyDescent="0.2">
      <c r="L984" s="38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37"/>
  <sheetViews>
    <sheetView workbookViewId="0">
      <selection activeCell="C14" sqref="C14"/>
    </sheetView>
  </sheetViews>
  <sheetFormatPr baseColWidth="10" defaultColWidth="11.1640625" defaultRowHeight="15" customHeight="1" x14ac:dyDescent="0.2"/>
  <cols>
    <col min="2" max="7" width="27.6640625" customWidth="1"/>
    <col min="8" max="8" width="10.5" customWidth="1"/>
    <col min="9" max="9" width="13.5" customWidth="1"/>
    <col min="10" max="10" width="10.5" customWidth="1"/>
    <col min="11" max="11" width="19.83203125" customWidth="1"/>
    <col min="12" max="12" width="10.5" customWidth="1"/>
    <col min="13" max="13" width="14.83203125" customWidth="1"/>
    <col min="14" max="27" width="10.5" customWidth="1"/>
  </cols>
  <sheetData>
    <row r="1" spans="2:6" ht="15.75" customHeight="1" x14ac:dyDescent="0.2">
      <c r="B1" s="4"/>
      <c r="C1" s="6"/>
    </row>
    <row r="2" spans="2:6" ht="15.75" customHeight="1" x14ac:dyDescent="0.2">
      <c r="B2" s="4"/>
      <c r="C2" s="6"/>
      <c r="E2" s="71" t="s">
        <v>32</v>
      </c>
      <c r="F2" s="71" t="s">
        <v>33</v>
      </c>
    </row>
    <row r="3" spans="2:6" ht="15.75" customHeight="1" x14ac:dyDescent="0.2">
      <c r="B3" s="4"/>
      <c r="C3" s="6"/>
      <c r="E3" s="20">
        <v>12</v>
      </c>
      <c r="F3" s="20">
        <v>5</v>
      </c>
    </row>
    <row r="4" spans="2:6" ht="15.75" customHeight="1" x14ac:dyDescent="0.2">
      <c r="B4" s="4"/>
      <c r="C4" s="6"/>
      <c r="E4" s="20">
        <v>23</v>
      </c>
      <c r="F4" s="20">
        <v>9</v>
      </c>
    </row>
    <row r="5" spans="2:6" ht="15.75" customHeight="1" x14ac:dyDescent="0.2">
      <c r="B5" s="4"/>
      <c r="C5" s="6"/>
      <c r="E5" s="20">
        <v>13</v>
      </c>
      <c r="F5" s="20">
        <v>2</v>
      </c>
    </row>
    <row r="6" spans="2:6" ht="15.75" customHeight="1" x14ac:dyDescent="0.2">
      <c r="B6" s="4"/>
      <c r="C6" s="6"/>
      <c r="E6" s="20">
        <v>24</v>
      </c>
      <c r="F6" s="20">
        <v>6</v>
      </c>
    </row>
    <row r="7" spans="2:6" ht="15.75" customHeight="1" x14ac:dyDescent="0.2">
      <c r="B7" s="4"/>
      <c r="C7" s="6"/>
      <c r="E7" s="20">
        <v>18</v>
      </c>
      <c r="F7" s="20">
        <v>8</v>
      </c>
    </row>
    <row r="8" spans="2:6" ht="15.75" customHeight="1" x14ac:dyDescent="0.2">
      <c r="B8" s="4"/>
      <c r="C8" s="6"/>
    </row>
    <row r="9" spans="2:6" ht="15.75" customHeight="1" x14ac:dyDescent="0.2">
      <c r="B9" s="4"/>
      <c r="C9" s="6"/>
    </row>
    <row r="10" spans="2:6" ht="15.75" customHeight="1" x14ac:dyDescent="0.2">
      <c r="B10" s="4"/>
      <c r="C10" s="6"/>
    </row>
    <row r="11" spans="2:6" ht="15.75" customHeight="1" x14ac:dyDescent="0.2">
      <c r="B11" s="4"/>
      <c r="C11" s="6"/>
    </row>
    <row r="12" spans="2:6" ht="15.75" customHeight="1" x14ac:dyDescent="0.2">
      <c r="B12" s="4"/>
      <c r="C12" s="6"/>
    </row>
    <row r="13" spans="2:6" ht="15.75" customHeight="1" x14ac:dyDescent="0.2">
      <c r="B13" s="4"/>
      <c r="C13" s="6"/>
    </row>
    <row r="14" spans="2:6" ht="15.75" customHeight="1" x14ac:dyDescent="0.2">
      <c r="B14" s="20" t="s">
        <v>34</v>
      </c>
      <c r="C14" s="74">
        <f>_xlfn.STDEV.S(E3:E7)</f>
        <v>5.5226805085936306</v>
      </c>
      <c r="D14" s="74">
        <f>_xlfn.STDEV.S(F3:F7)</f>
        <v>2.7386127875258306</v>
      </c>
    </row>
    <row r="15" spans="2:6" ht="15.75" customHeight="1" x14ac:dyDescent="0.2">
      <c r="B15" s="20" t="s">
        <v>35</v>
      </c>
      <c r="C15" s="74">
        <f>AVERAGE(E3:E7)</f>
        <v>18</v>
      </c>
      <c r="D15" s="74">
        <f>AVERAGE(F3:F7)</f>
        <v>6</v>
      </c>
    </row>
    <row r="16" spans="2:6" ht="15.75" customHeight="1" x14ac:dyDescent="0.2">
      <c r="B16" s="20" t="s">
        <v>36</v>
      </c>
      <c r="C16" s="74">
        <f t="shared" ref="C16:D16" si="0">(C14/C15)*100</f>
        <v>30.681558381075725</v>
      </c>
      <c r="D16" s="74">
        <f t="shared" si="0"/>
        <v>45.643546458763844</v>
      </c>
    </row>
    <row r="17" spans="2:4" ht="15.75" customHeight="1" x14ac:dyDescent="0.2">
      <c r="B17" s="58" t="s">
        <v>163</v>
      </c>
      <c r="C17" s="148">
        <f>_xlfn.COVARIANCE.S(E3:E7,F3:F7)</f>
        <v>10.25</v>
      </c>
      <c r="D17" s="149"/>
    </row>
    <row r="18" spans="2:4" ht="15.75" customHeight="1" x14ac:dyDescent="0.2">
      <c r="B18" s="58" t="s">
        <v>164</v>
      </c>
      <c r="C18" s="148">
        <f>CORREL(E3:E7,F3:F7)</f>
        <v>0.67770909502996846</v>
      </c>
      <c r="D18" s="149"/>
    </row>
    <row r="19" spans="2:4" ht="15.75" customHeight="1" x14ac:dyDescent="0.2">
      <c r="B19" s="3"/>
      <c r="C19" s="6"/>
      <c r="D19" s="6"/>
    </row>
    <row r="20" spans="2:4" ht="15.75" customHeight="1" x14ac:dyDescent="0.2">
      <c r="B20" s="3"/>
      <c r="C20" s="6"/>
      <c r="D20" s="6"/>
    </row>
    <row r="21" spans="2:4" ht="15.75" customHeight="1" x14ac:dyDescent="0.2">
      <c r="B21" s="4"/>
      <c r="C21" s="6"/>
    </row>
    <row r="22" spans="2:4" ht="15.75" customHeight="1" x14ac:dyDescent="0.2">
      <c r="B22" s="4"/>
      <c r="C22" s="6"/>
    </row>
    <row r="23" spans="2:4" ht="15.75" customHeight="1" x14ac:dyDescent="0.2">
      <c r="B23" s="4"/>
      <c r="C23" s="6"/>
    </row>
    <row r="24" spans="2:4" ht="15.75" customHeight="1" x14ac:dyDescent="0.2">
      <c r="B24" s="4"/>
      <c r="C24" s="6"/>
    </row>
    <row r="25" spans="2:4" ht="15.75" customHeight="1" x14ac:dyDescent="0.2">
      <c r="B25" s="4"/>
      <c r="C25" s="6"/>
    </row>
    <row r="26" spans="2:4" ht="15.75" customHeight="1" x14ac:dyDescent="0.2">
      <c r="B26" s="4"/>
      <c r="C26" s="6"/>
    </row>
    <row r="27" spans="2:4" ht="15.75" customHeight="1" x14ac:dyDescent="0.2">
      <c r="B27" s="4"/>
      <c r="C27" s="6"/>
    </row>
    <row r="28" spans="2:4" ht="15.75" customHeight="1" x14ac:dyDescent="0.2">
      <c r="B28" s="4"/>
      <c r="C28" s="6"/>
    </row>
    <row r="29" spans="2:4" ht="15.75" customHeight="1" x14ac:dyDescent="0.2">
      <c r="B29" s="4"/>
      <c r="C29" s="6"/>
    </row>
    <row r="30" spans="2:4" ht="15.75" customHeight="1" x14ac:dyDescent="0.2">
      <c r="B30" s="4"/>
      <c r="C30" s="6"/>
    </row>
    <row r="31" spans="2:4" ht="15.75" customHeight="1" x14ac:dyDescent="0.2">
      <c r="B31" s="4"/>
      <c r="C31" s="6"/>
    </row>
    <row r="32" spans="2:4" ht="15.75" customHeight="1" x14ac:dyDescent="0.2">
      <c r="B32" s="4"/>
      <c r="C32" s="6"/>
    </row>
    <row r="33" spans="2:3" ht="15.75" customHeight="1" x14ac:dyDescent="0.2">
      <c r="B33" s="4"/>
      <c r="C33" s="6"/>
    </row>
    <row r="34" spans="2:3" ht="15.75" customHeight="1" x14ac:dyDescent="0.2">
      <c r="B34" s="4"/>
      <c r="C34" s="6"/>
    </row>
    <row r="35" spans="2:3" ht="15.75" customHeight="1" x14ac:dyDescent="0.2">
      <c r="B35" s="4"/>
      <c r="C35" s="6"/>
    </row>
    <row r="36" spans="2:3" ht="15.75" customHeight="1" x14ac:dyDescent="0.2">
      <c r="B36" s="4"/>
      <c r="C36" s="6"/>
    </row>
    <row r="37" spans="2:3" ht="15.75" customHeight="1" x14ac:dyDescent="0.2">
      <c r="B37" s="4"/>
      <c r="C37" s="6"/>
    </row>
    <row r="38" spans="2:3" ht="15.75" customHeight="1" x14ac:dyDescent="0.2">
      <c r="B38" s="4"/>
      <c r="C38" s="6"/>
    </row>
    <row r="39" spans="2:3" ht="15.75" customHeight="1" x14ac:dyDescent="0.2">
      <c r="B39" s="4"/>
      <c r="C39" s="6"/>
    </row>
    <row r="40" spans="2:3" ht="15.75" customHeight="1" x14ac:dyDescent="0.2">
      <c r="B40" s="4"/>
      <c r="C40" s="6"/>
    </row>
    <row r="41" spans="2:3" ht="15.75" customHeight="1" x14ac:dyDescent="0.2">
      <c r="B41" s="4"/>
      <c r="C41" s="6"/>
    </row>
    <row r="42" spans="2:3" ht="15.75" customHeight="1" x14ac:dyDescent="0.2">
      <c r="B42" s="3" t="s">
        <v>35</v>
      </c>
      <c r="C42" s="6">
        <v>725</v>
      </c>
    </row>
    <row r="43" spans="2:3" ht="15.75" customHeight="1" x14ac:dyDescent="0.2">
      <c r="B43" s="3" t="s">
        <v>37</v>
      </c>
      <c r="C43" s="6">
        <v>75</v>
      </c>
    </row>
    <row r="44" spans="2:3" ht="15.75" customHeight="1" x14ac:dyDescent="0.2">
      <c r="B44" s="4"/>
      <c r="C44" s="6"/>
    </row>
    <row r="45" spans="2:3" ht="15.75" customHeight="1" x14ac:dyDescent="0.2">
      <c r="B45" s="4"/>
      <c r="C45" s="6">
        <f>STANDARDIZE(646, $C$42, $C$43)</f>
        <v>-1.0533333333333332</v>
      </c>
    </row>
    <row r="46" spans="2:3" ht="15.75" customHeight="1" x14ac:dyDescent="0.2">
      <c r="B46" s="4"/>
      <c r="C46" s="6"/>
    </row>
    <row r="47" spans="2:3" ht="15.75" customHeight="1" x14ac:dyDescent="0.2">
      <c r="B47" s="4"/>
      <c r="C47" s="6">
        <f>STANDARDIZE(870, $C$42, $C$43)</f>
        <v>1.9333333333333333</v>
      </c>
    </row>
    <row r="48" spans="2:3" ht="15.75" customHeight="1" x14ac:dyDescent="0.2">
      <c r="B48" s="4"/>
      <c r="C48" s="6"/>
    </row>
    <row r="49" spans="1:3" ht="15.75" customHeight="1" x14ac:dyDescent="0.2">
      <c r="B49" s="4"/>
      <c r="C49" s="6">
        <f>STANDARDIZE(564, $C$42, $C$43)</f>
        <v>-2.1466666666666665</v>
      </c>
    </row>
    <row r="50" spans="1:3" ht="15.75" customHeight="1" x14ac:dyDescent="0.2">
      <c r="B50" s="4"/>
      <c r="C50" s="6"/>
    </row>
    <row r="51" spans="1:3" ht="15.75" customHeight="1" x14ac:dyDescent="0.2">
      <c r="B51" s="4"/>
      <c r="C51" s="6"/>
    </row>
    <row r="52" spans="1:3" ht="15.75" customHeight="1" x14ac:dyDescent="0.2">
      <c r="B52" s="4"/>
      <c r="C52" s="6">
        <f>STANDARDIZE(774, $C$42, $C$43)</f>
        <v>0.65333333333333332</v>
      </c>
    </row>
    <row r="53" spans="1:3" ht="15.75" customHeight="1" x14ac:dyDescent="0.2">
      <c r="B53" s="4"/>
      <c r="C53" s="6"/>
    </row>
    <row r="54" spans="1:3" ht="15.75" customHeight="1" x14ac:dyDescent="0.2">
      <c r="B54" s="4"/>
      <c r="C54" s="6">
        <f>STANDARDIZE(918, $C$42, $C$43)</f>
        <v>2.5733333333333333</v>
      </c>
    </row>
    <row r="55" spans="1:3" ht="15.75" customHeight="1" x14ac:dyDescent="0.2">
      <c r="B55" s="4"/>
      <c r="C55" s="6"/>
    </row>
    <row r="56" spans="1:3" ht="15.75" customHeight="1" x14ac:dyDescent="0.2"/>
    <row r="57" spans="1:3" ht="15.75" customHeight="1" x14ac:dyDescent="0.2">
      <c r="A57" s="72" t="s">
        <v>27</v>
      </c>
    </row>
    <row r="58" spans="1:3" ht="15.75" customHeight="1" x14ac:dyDescent="0.2">
      <c r="A58" s="73">
        <v>9</v>
      </c>
    </row>
    <row r="59" spans="1:3" ht="15.75" customHeight="1" x14ac:dyDescent="0.2">
      <c r="A59" s="73">
        <v>40</v>
      </c>
    </row>
    <row r="60" spans="1:3" ht="15.75" customHeight="1" x14ac:dyDescent="0.2">
      <c r="A60" s="73">
        <v>24</v>
      </c>
    </row>
    <row r="61" spans="1:3" ht="15.75" customHeight="1" x14ac:dyDescent="0.2">
      <c r="A61" s="73">
        <v>18</v>
      </c>
    </row>
    <row r="62" spans="1:3" ht="15.75" customHeight="1" x14ac:dyDescent="0.2">
      <c r="A62" s="73">
        <v>32</v>
      </c>
    </row>
    <row r="63" spans="1:3" ht="15.75" customHeight="1" x14ac:dyDescent="0.2">
      <c r="A63" s="73">
        <v>20</v>
      </c>
    </row>
    <row r="64" spans="1:3" ht="15.75" customHeight="1" x14ac:dyDescent="0.2">
      <c r="A64" s="73">
        <v>35</v>
      </c>
    </row>
    <row r="65" spans="1:5" ht="15.75" customHeight="1" x14ac:dyDescent="0.2">
      <c r="A65" s="73">
        <v>6</v>
      </c>
    </row>
    <row r="66" spans="1:5" ht="15.75" customHeight="1" x14ac:dyDescent="0.2">
      <c r="A66" s="73">
        <v>37</v>
      </c>
      <c r="B66" s="4" t="s">
        <v>38</v>
      </c>
      <c r="C66" s="8">
        <f>_xlfn.PERCENTILE.INC(A58:A66, 0.15)</f>
        <v>10.8</v>
      </c>
    </row>
    <row r="67" spans="1:5" ht="15.75" customHeight="1" x14ac:dyDescent="0.2">
      <c r="B67" s="4" t="s">
        <v>39</v>
      </c>
      <c r="C67" s="8">
        <f>_xlfn.PERCENTILE.INC(A58:A66, 0.45)</f>
        <v>22.4</v>
      </c>
    </row>
    <row r="68" spans="1:5" ht="15.75" customHeight="1" x14ac:dyDescent="0.2">
      <c r="B68" s="4" t="s">
        <v>40</v>
      </c>
      <c r="C68" s="8">
        <f>_xlfn.PERCENTILE.EXC(A58:A66, 0.85)</f>
        <v>38.5</v>
      </c>
    </row>
    <row r="69" spans="1:5" ht="15.75" customHeight="1" x14ac:dyDescent="0.2"/>
    <row r="70" spans="1:5" ht="15.75" customHeight="1" x14ac:dyDescent="0.2"/>
    <row r="71" spans="1:5" ht="15.75" customHeight="1" x14ac:dyDescent="0.2"/>
    <row r="72" spans="1:5" ht="15.75" customHeight="1" x14ac:dyDescent="0.2"/>
    <row r="73" spans="1:5" ht="15.75" customHeight="1" x14ac:dyDescent="0.2"/>
    <row r="74" spans="1:5" ht="15.75" customHeight="1" x14ac:dyDescent="0.2"/>
    <row r="75" spans="1:5" ht="15.75" customHeight="1" x14ac:dyDescent="0.2"/>
    <row r="76" spans="1:5" ht="15.75" customHeight="1" x14ac:dyDescent="0.2"/>
    <row r="77" spans="1:5" ht="15.75" customHeight="1" x14ac:dyDescent="0.2">
      <c r="E77" s="9">
        <f>_xlfn.PERCENTRANK.EXC(C83:C112, C106)*100</f>
        <v>3.2</v>
      </c>
    </row>
    <row r="78" spans="1:5" ht="15.75" customHeight="1" x14ac:dyDescent="0.2"/>
    <row r="79" spans="1:5" ht="15.75" customHeight="1" x14ac:dyDescent="0.2">
      <c r="E79" s="3">
        <f>_xlfn.PERCENTRANK.EXC(D83:D112, D105)*100</f>
        <v>77.400000000000006</v>
      </c>
    </row>
    <row r="80" spans="1:5" ht="15.75" customHeight="1" x14ac:dyDescent="0.2"/>
    <row r="81" spans="2:4" ht="15.75" customHeight="1" x14ac:dyDescent="0.2"/>
    <row r="82" spans="2:4" ht="15.75" customHeight="1" x14ac:dyDescent="0.2">
      <c r="B82" s="20" t="s">
        <v>41</v>
      </c>
      <c r="C82" s="20" t="s">
        <v>42</v>
      </c>
      <c r="D82" s="20" t="s">
        <v>43</v>
      </c>
    </row>
    <row r="83" spans="2:4" ht="15.75" customHeight="1" x14ac:dyDescent="0.2">
      <c r="B83" s="20" t="s">
        <v>44</v>
      </c>
      <c r="C83" s="20">
        <v>93</v>
      </c>
      <c r="D83" s="20">
        <v>69</v>
      </c>
    </row>
    <row r="84" spans="2:4" ht="15.75" customHeight="1" x14ac:dyDescent="0.2">
      <c r="B84" s="20" t="s">
        <v>45</v>
      </c>
      <c r="C84" s="20">
        <v>72</v>
      </c>
      <c r="D84" s="20">
        <v>90</v>
      </c>
    </row>
    <row r="85" spans="2:4" ht="15.75" customHeight="1" x14ac:dyDescent="0.2">
      <c r="B85" s="20" t="s">
        <v>46</v>
      </c>
      <c r="C85" s="20">
        <v>75</v>
      </c>
      <c r="D85" s="20">
        <v>87</v>
      </c>
    </row>
    <row r="86" spans="2:4" ht="15.75" customHeight="1" x14ac:dyDescent="0.2">
      <c r="B86" s="20" t="s">
        <v>47</v>
      </c>
      <c r="C86" s="20">
        <v>93</v>
      </c>
      <c r="D86" s="20">
        <v>69</v>
      </c>
    </row>
    <row r="87" spans="2:4" ht="15.75" customHeight="1" x14ac:dyDescent="0.2">
      <c r="B87" s="20" t="s">
        <v>48</v>
      </c>
      <c r="C87" s="20">
        <v>92</v>
      </c>
      <c r="D87" s="20">
        <v>70</v>
      </c>
    </row>
    <row r="88" spans="2:4" ht="15.75" customHeight="1" x14ac:dyDescent="0.2">
      <c r="B88" s="20" t="s">
        <v>49</v>
      </c>
      <c r="C88" s="20">
        <v>67</v>
      </c>
      <c r="D88" s="20">
        <v>95</v>
      </c>
    </row>
    <row r="89" spans="2:4" ht="15.75" customHeight="1" x14ac:dyDescent="0.2">
      <c r="B89" s="20" t="s">
        <v>50</v>
      </c>
      <c r="C89" s="20">
        <v>68</v>
      </c>
      <c r="D89" s="20">
        <v>94</v>
      </c>
    </row>
    <row r="90" spans="2:4" ht="15.75" customHeight="1" x14ac:dyDescent="0.2">
      <c r="B90" s="20" t="s">
        <v>51</v>
      </c>
      <c r="C90" s="20">
        <v>102</v>
      </c>
      <c r="D90" s="20">
        <v>60</v>
      </c>
    </row>
    <row r="91" spans="2:4" ht="15.75" customHeight="1" x14ac:dyDescent="0.2">
      <c r="B91" s="20" t="s">
        <v>52</v>
      </c>
      <c r="C91" s="20">
        <v>87</v>
      </c>
      <c r="D91" s="20">
        <v>75</v>
      </c>
    </row>
    <row r="92" spans="2:4" ht="15.75" customHeight="1" x14ac:dyDescent="0.2">
      <c r="B92" s="20" t="s">
        <v>53</v>
      </c>
      <c r="C92" s="20">
        <v>64</v>
      </c>
      <c r="D92" s="20">
        <v>98</v>
      </c>
    </row>
    <row r="93" spans="2:4" ht="15.75" customHeight="1" x14ac:dyDescent="0.2">
      <c r="B93" s="20" t="s">
        <v>54</v>
      </c>
      <c r="C93" s="20">
        <v>101</v>
      </c>
      <c r="D93" s="20">
        <v>61</v>
      </c>
    </row>
    <row r="94" spans="2:4" ht="15.75" customHeight="1" x14ac:dyDescent="0.2">
      <c r="B94" s="20" t="s">
        <v>55</v>
      </c>
      <c r="C94" s="20">
        <v>80</v>
      </c>
      <c r="D94" s="20">
        <v>82</v>
      </c>
    </row>
    <row r="95" spans="2:4" ht="15.75" customHeight="1" x14ac:dyDescent="0.2">
      <c r="B95" s="20" t="s">
        <v>56</v>
      </c>
      <c r="C95" s="20">
        <v>80</v>
      </c>
      <c r="D95" s="20">
        <v>82</v>
      </c>
    </row>
    <row r="96" spans="2:4" ht="15.75" customHeight="1" x14ac:dyDescent="0.2">
      <c r="B96" s="20" t="s">
        <v>57</v>
      </c>
      <c r="C96" s="20">
        <v>104</v>
      </c>
      <c r="D96" s="20">
        <v>58</v>
      </c>
    </row>
    <row r="97" spans="2:9" ht="15.75" customHeight="1" x14ac:dyDescent="0.2">
      <c r="B97" s="20" t="s">
        <v>58</v>
      </c>
      <c r="C97" s="20">
        <v>77</v>
      </c>
      <c r="D97" s="20">
        <v>85</v>
      </c>
    </row>
    <row r="98" spans="2:9" ht="15.75" customHeight="1" x14ac:dyDescent="0.2">
      <c r="B98" s="20" t="s">
        <v>59</v>
      </c>
      <c r="C98" s="20">
        <v>86</v>
      </c>
      <c r="D98" s="20">
        <v>76</v>
      </c>
    </row>
    <row r="99" spans="2:9" ht="15.75" customHeight="1" x14ac:dyDescent="0.2">
      <c r="B99" s="20" t="s">
        <v>60</v>
      </c>
      <c r="C99" s="20">
        <v>85</v>
      </c>
      <c r="D99" s="20">
        <v>77</v>
      </c>
    </row>
    <row r="100" spans="2:9" ht="15.75" customHeight="1" x14ac:dyDescent="0.2">
      <c r="B100" s="20" t="s">
        <v>61</v>
      </c>
      <c r="C100" s="20">
        <v>70</v>
      </c>
      <c r="D100" s="20">
        <v>92</v>
      </c>
    </row>
    <row r="101" spans="2:9" ht="15.75" customHeight="1" x14ac:dyDescent="0.2">
      <c r="B101" s="20" t="s">
        <v>62</v>
      </c>
      <c r="C101" s="20">
        <v>91</v>
      </c>
      <c r="D101" s="20">
        <v>71</v>
      </c>
      <c r="G101" s="28"/>
      <c r="H101" s="28"/>
      <c r="I101" s="28"/>
    </row>
    <row r="102" spans="2:9" ht="15.75" customHeight="1" x14ac:dyDescent="0.2">
      <c r="B102" s="20" t="s">
        <v>63</v>
      </c>
      <c r="C102" s="20">
        <v>75</v>
      </c>
      <c r="D102" s="20">
        <v>87</v>
      </c>
      <c r="G102" s="28"/>
      <c r="H102" s="28"/>
      <c r="I102" s="28"/>
    </row>
    <row r="103" spans="2:9" ht="15.75" customHeight="1" x14ac:dyDescent="0.2">
      <c r="B103" s="20" t="s">
        <v>64</v>
      </c>
      <c r="C103" s="20">
        <v>66</v>
      </c>
      <c r="D103" s="20">
        <v>96</v>
      </c>
      <c r="G103" s="28"/>
      <c r="H103" s="28"/>
      <c r="I103" s="28"/>
    </row>
    <row r="104" spans="2:9" ht="15.75" customHeight="1" x14ac:dyDescent="0.2">
      <c r="B104" s="20" t="s">
        <v>65</v>
      </c>
      <c r="C104" s="20">
        <v>75</v>
      </c>
      <c r="D104" s="20">
        <v>87</v>
      </c>
      <c r="G104" s="28"/>
      <c r="H104" s="28"/>
      <c r="I104" s="28"/>
    </row>
    <row r="105" spans="2:9" ht="15.75" customHeight="1" x14ac:dyDescent="0.2">
      <c r="B105" s="20" t="s">
        <v>66</v>
      </c>
      <c r="C105" s="20">
        <v>71</v>
      </c>
      <c r="D105" s="20">
        <v>91</v>
      </c>
      <c r="G105" s="28"/>
      <c r="H105" s="28"/>
      <c r="I105" s="28"/>
    </row>
    <row r="106" spans="2:9" ht="15.75" customHeight="1" x14ac:dyDescent="0.2">
      <c r="B106" s="20" t="s">
        <v>67</v>
      </c>
      <c r="C106" s="20">
        <v>64</v>
      </c>
      <c r="D106" s="20">
        <v>98</v>
      </c>
      <c r="G106" s="28"/>
      <c r="H106" s="28"/>
      <c r="I106" s="28"/>
    </row>
    <row r="107" spans="2:9" ht="15.75" customHeight="1" x14ac:dyDescent="0.2">
      <c r="B107" s="20" t="s">
        <v>68</v>
      </c>
      <c r="C107" s="20">
        <v>78</v>
      </c>
      <c r="D107" s="20">
        <v>84</v>
      </c>
      <c r="G107" s="28"/>
      <c r="H107" s="28"/>
      <c r="I107" s="28"/>
    </row>
    <row r="108" spans="2:9" ht="15.75" customHeight="1" x14ac:dyDescent="0.2">
      <c r="B108" s="20" t="s">
        <v>69</v>
      </c>
      <c r="C108" s="20">
        <v>83</v>
      </c>
      <c r="D108" s="20">
        <v>79</v>
      </c>
      <c r="G108" s="28"/>
      <c r="H108" s="28"/>
      <c r="I108" s="28"/>
    </row>
    <row r="109" spans="2:9" ht="15.75" customHeight="1" x14ac:dyDescent="0.2">
      <c r="B109" s="20" t="s">
        <v>70</v>
      </c>
      <c r="C109" s="20">
        <v>80</v>
      </c>
      <c r="D109" s="20">
        <v>82</v>
      </c>
      <c r="G109" s="28"/>
      <c r="H109" s="28"/>
      <c r="I109" s="28"/>
    </row>
    <row r="110" spans="2:9" ht="15.75" customHeight="1" x14ac:dyDescent="0.2">
      <c r="B110" s="20" t="s">
        <v>71</v>
      </c>
      <c r="C110" s="20">
        <v>78</v>
      </c>
      <c r="D110" s="20">
        <v>84</v>
      </c>
      <c r="G110" s="28"/>
      <c r="H110" s="28"/>
      <c r="I110" s="28"/>
    </row>
    <row r="111" spans="2:9" ht="15.75" customHeight="1" x14ac:dyDescent="0.2">
      <c r="B111" s="20" t="s">
        <v>72</v>
      </c>
      <c r="C111" s="20">
        <v>76</v>
      </c>
      <c r="D111" s="20">
        <v>86</v>
      </c>
      <c r="G111" s="28"/>
      <c r="H111" s="28"/>
      <c r="I111" s="28"/>
    </row>
    <row r="112" spans="2:9" ht="15.75" customHeight="1" x14ac:dyDescent="0.2">
      <c r="B112" s="20" t="s">
        <v>73</v>
      </c>
      <c r="C112" s="20">
        <v>97</v>
      </c>
      <c r="D112" s="20">
        <v>65</v>
      </c>
      <c r="G112" s="28"/>
      <c r="H112" s="28"/>
      <c r="I112" s="28"/>
    </row>
    <row r="113" spans="1:9" ht="15.75" customHeight="1" x14ac:dyDescent="0.2">
      <c r="G113" s="28"/>
      <c r="H113" s="28"/>
      <c r="I113" s="28"/>
    </row>
    <row r="114" spans="1:9" ht="15.75" customHeight="1" x14ac:dyDescent="0.2">
      <c r="G114" s="28"/>
      <c r="H114" s="28"/>
      <c r="I114" s="28"/>
    </row>
    <row r="115" spans="1:9" ht="15.75" customHeight="1" x14ac:dyDescent="0.2"/>
    <row r="116" spans="1:9" ht="15.75" customHeight="1" x14ac:dyDescent="0.2"/>
    <row r="117" spans="1:9" ht="15.75" customHeight="1" x14ac:dyDescent="0.2">
      <c r="A117" s="1" t="s">
        <v>27</v>
      </c>
    </row>
    <row r="118" spans="1:9" ht="15.75" customHeight="1" x14ac:dyDescent="0.2">
      <c r="A118" s="70">
        <v>68</v>
      </c>
    </row>
    <row r="119" spans="1:9" ht="15.75" customHeight="1" x14ac:dyDescent="0.2">
      <c r="A119" s="70">
        <v>50</v>
      </c>
    </row>
    <row r="120" spans="1:9" ht="15.75" customHeight="1" x14ac:dyDescent="0.2">
      <c r="A120" s="70">
        <v>13</v>
      </c>
    </row>
    <row r="121" spans="1:9" ht="15.75" customHeight="1" x14ac:dyDescent="0.2">
      <c r="A121" s="70">
        <v>61</v>
      </c>
    </row>
    <row r="122" spans="1:9" ht="15.75" customHeight="1" x14ac:dyDescent="0.2">
      <c r="A122" s="70">
        <v>80</v>
      </c>
    </row>
    <row r="123" spans="1:9" ht="15.75" customHeight="1" x14ac:dyDescent="0.2">
      <c r="A123" s="70">
        <v>39</v>
      </c>
    </row>
    <row r="124" spans="1:9" ht="15.75" customHeight="1" x14ac:dyDescent="0.2">
      <c r="A124" s="70">
        <v>41</v>
      </c>
    </row>
    <row r="125" spans="1:9" ht="15.75" customHeight="1" x14ac:dyDescent="0.2">
      <c r="A125" s="70">
        <v>30</v>
      </c>
    </row>
    <row r="126" spans="1:9" ht="15.75" customHeight="1" x14ac:dyDescent="0.2">
      <c r="A126" s="70">
        <v>88</v>
      </c>
    </row>
    <row r="127" spans="1:9" ht="15.75" customHeight="1" x14ac:dyDescent="0.2">
      <c r="A127" s="70">
        <v>88</v>
      </c>
    </row>
    <row r="128" spans="1:9" ht="15.75" customHeight="1" x14ac:dyDescent="0.2">
      <c r="A128" s="70">
        <v>36</v>
      </c>
    </row>
    <row r="129" spans="1:4" ht="15.75" customHeight="1" x14ac:dyDescent="0.2">
      <c r="A129" s="70">
        <v>15</v>
      </c>
      <c r="B129" s="3">
        <f>_xlfn.QUARTILE.EXC(A118:A137, 1)</f>
        <v>15</v>
      </c>
      <c r="C129" s="3">
        <f>_xlfn.QUARTILE.EXC(A118:A137, 2)</f>
        <v>36</v>
      </c>
      <c r="D129" s="10">
        <f>_xlfn.QUARTILE.EXC(A118:A137, 3)</f>
        <v>66.25</v>
      </c>
    </row>
    <row r="130" spans="1:4" ht="15.75" customHeight="1" x14ac:dyDescent="0.2">
      <c r="A130" s="70">
        <v>11</v>
      </c>
    </row>
    <row r="131" spans="1:4" ht="15.75" customHeight="1" x14ac:dyDescent="0.2">
      <c r="A131" s="70">
        <v>14</v>
      </c>
      <c r="C131" s="10">
        <f>D129-B129</f>
        <v>51.25</v>
      </c>
    </row>
    <row r="132" spans="1:4" ht="15.75" customHeight="1" x14ac:dyDescent="0.2">
      <c r="A132" s="70">
        <v>36</v>
      </c>
    </row>
    <row r="133" spans="1:4" ht="15.75" customHeight="1" x14ac:dyDescent="0.2">
      <c r="A133" s="70">
        <v>20</v>
      </c>
    </row>
    <row r="134" spans="1:4" ht="15.75" customHeight="1" x14ac:dyDescent="0.2">
      <c r="A134" s="70">
        <v>8</v>
      </c>
    </row>
    <row r="135" spans="1:4" ht="15.75" customHeight="1" x14ac:dyDescent="0.2">
      <c r="A135" s="70">
        <v>71</v>
      </c>
    </row>
    <row r="136" spans="1:4" ht="15.75" customHeight="1" x14ac:dyDescent="0.2">
      <c r="A136" s="70">
        <v>15</v>
      </c>
    </row>
    <row r="137" spans="1:4" ht="15.75" customHeight="1" x14ac:dyDescent="0.2">
      <c r="A137" s="70">
        <v>32</v>
      </c>
    </row>
    <row r="138" spans="1:4" ht="15.75" customHeight="1" x14ac:dyDescent="0.2"/>
    <row r="139" spans="1:4" ht="15.75" customHeight="1" x14ac:dyDescent="0.2">
      <c r="A139" s="1" t="s">
        <v>27</v>
      </c>
    </row>
    <row r="140" spans="1:4" ht="15.75" customHeight="1" x14ac:dyDescent="0.2">
      <c r="A140" s="70">
        <v>267</v>
      </c>
    </row>
    <row r="141" spans="1:4" ht="15.75" customHeight="1" x14ac:dyDescent="0.2">
      <c r="A141" s="70">
        <v>261</v>
      </c>
    </row>
    <row r="142" spans="1:4" ht="15.75" customHeight="1" x14ac:dyDescent="0.2">
      <c r="A142" s="70">
        <v>255</v>
      </c>
    </row>
    <row r="143" spans="1:4" ht="15.75" customHeight="1" x14ac:dyDescent="0.2">
      <c r="A143" s="70">
        <v>249</v>
      </c>
    </row>
    <row r="144" spans="1:4" ht="15.75" customHeight="1" x14ac:dyDescent="0.2">
      <c r="A144" s="70">
        <v>241</v>
      </c>
    </row>
    <row r="145" spans="1:6" ht="15.75" customHeight="1" x14ac:dyDescent="0.2">
      <c r="A145" s="70">
        <v>234</v>
      </c>
    </row>
    <row r="146" spans="1:6" ht="15.75" customHeight="1" x14ac:dyDescent="0.2">
      <c r="A146" s="70">
        <v>228</v>
      </c>
    </row>
    <row r="147" spans="1:6" ht="15.75" customHeight="1" x14ac:dyDescent="0.2">
      <c r="A147" s="70">
        <v>223</v>
      </c>
    </row>
    <row r="148" spans="1:6" ht="15.75" customHeight="1" x14ac:dyDescent="0.2">
      <c r="A148" s="70">
        <v>215</v>
      </c>
    </row>
    <row r="149" spans="1:6" ht="15.75" customHeight="1" x14ac:dyDescent="0.2">
      <c r="A149" s="70">
        <v>208</v>
      </c>
    </row>
    <row r="150" spans="1:6" ht="15.75" customHeight="1" x14ac:dyDescent="0.2">
      <c r="A150" s="70">
        <v>202</v>
      </c>
    </row>
    <row r="151" spans="1:6" ht="15.75" customHeight="1" x14ac:dyDescent="0.2">
      <c r="A151" s="70">
        <v>196</v>
      </c>
    </row>
    <row r="152" spans="1:6" ht="15.75" customHeight="1" x14ac:dyDescent="0.2">
      <c r="A152" s="70">
        <v>191</v>
      </c>
      <c r="B152" s="3">
        <f>MIN(A140:A154)</f>
        <v>179</v>
      </c>
      <c r="C152" s="3">
        <f>_xlfn.QUARTILE.EXC(A140:A154, 1)</f>
        <v>196</v>
      </c>
      <c r="D152" s="3">
        <f>_xlfn.QUARTILE.EXC(A140:A154, 2)</f>
        <v>223</v>
      </c>
      <c r="E152" s="3">
        <f>_xlfn.QUARTILE.EXC(A140:A154, 3)</f>
        <v>249</v>
      </c>
      <c r="F152" s="3">
        <f>MAX(A140:A154)</f>
        <v>267</v>
      </c>
    </row>
    <row r="153" spans="1:6" ht="15.75" customHeight="1" x14ac:dyDescent="0.2">
      <c r="A153" s="70">
        <v>185</v>
      </c>
      <c r="D153" s="7">
        <f>AVERAGE(A140:A154)</f>
        <v>222.26666666666668</v>
      </c>
    </row>
    <row r="154" spans="1:6" ht="15.75" customHeight="1" x14ac:dyDescent="0.2">
      <c r="A154" s="70">
        <v>179</v>
      </c>
    </row>
    <row r="155" spans="1:6" ht="15.75" customHeight="1" x14ac:dyDescent="0.2"/>
    <row r="156" spans="1:6" ht="15.75" customHeight="1" x14ac:dyDescent="0.2"/>
    <row r="157" spans="1:6" ht="15.75" customHeight="1" x14ac:dyDescent="0.2"/>
    <row r="158" spans="1:6" ht="15.75" customHeight="1" x14ac:dyDescent="0.2"/>
    <row r="159" spans="1:6" ht="15.75" customHeight="1" x14ac:dyDescent="0.2">
      <c r="A159" s="68" t="s">
        <v>27</v>
      </c>
      <c r="C159" s="22" t="s">
        <v>120</v>
      </c>
      <c r="D159" s="29" t="s">
        <v>165</v>
      </c>
    </row>
    <row r="160" spans="1:6" ht="15.75" customHeight="1" x14ac:dyDescent="0.2">
      <c r="A160" s="69">
        <v>87</v>
      </c>
      <c r="C160" s="22" t="s">
        <v>119</v>
      </c>
      <c r="D160" s="29" t="s">
        <v>166</v>
      </c>
    </row>
    <row r="161" spans="1:8" ht="15.75" customHeight="1" x14ac:dyDescent="0.2">
      <c r="A161" s="69">
        <v>72</v>
      </c>
      <c r="C161" s="22" t="s">
        <v>111</v>
      </c>
      <c r="D161" s="21">
        <f ca="1">COUNT(INDIRECT(D159&amp;":"&amp;D160))</f>
        <v>17</v>
      </c>
    </row>
    <row r="162" spans="1:8" ht="15.75" customHeight="1" x14ac:dyDescent="0.2">
      <c r="A162" s="69">
        <v>67</v>
      </c>
      <c r="C162" s="22" t="s">
        <v>35</v>
      </c>
      <c r="D162" s="23">
        <f ca="1">AVERAGE(INDIRECT(D159&amp;":"&amp;D160))</f>
        <v>70.352941176470594</v>
      </c>
    </row>
    <row r="163" spans="1:8" ht="15.75" customHeight="1" x14ac:dyDescent="0.2">
      <c r="A163" s="69">
        <v>88</v>
      </c>
      <c r="C163" s="22" t="s">
        <v>123</v>
      </c>
      <c r="D163" s="21">
        <f ca="1">MEDIAN(INDIRECT(D159&amp;":"&amp;D160))</f>
        <v>72</v>
      </c>
    </row>
    <row r="164" spans="1:8" ht="15.75" customHeight="1" x14ac:dyDescent="0.2">
      <c r="A164" s="69">
        <v>56</v>
      </c>
      <c r="C164" s="22" t="s">
        <v>138</v>
      </c>
      <c r="D164" s="21">
        <f ca="1">_xlfn.MODE.SNGL(INDIRECT(D159&amp;":"&amp;D160))</f>
        <v>72</v>
      </c>
    </row>
    <row r="165" spans="1:8" ht="15.75" customHeight="1" x14ac:dyDescent="0.2">
      <c r="A165" s="69">
        <v>51</v>
      </c>
      <c r="C165" s="22" t="s">
        <v>34</v>
      </c>
      <c r="D165" s="23">
        <f ca="1">_xlfn.STDEV.P(INDIRECT(D159&amp;":"&amp;D160))</f>
        <v>30.056693834995517</v>
      </c>
    </row>
    <row r="166" spans="1:8" ht="15.75" customHeight="1" x14ac:dyDescent="0.2">
      <c r="A166" s="69">
        <v>64</v>
      </c>
      <c r="C166" s="22" t="s">
        <v>162</v>
      </c>
      <c r="D166" s="23">
        <f ca="1">_xlfn.VAR.P(INDIRECT(D159&amp;":"&amp;D160))</f>
        <v>903.40484429065748</v>
      </c>
    </row>
    <row r="167" spans="1:8" ht="15.75" customHeight="1" x14ac:dyDescent="0.2">
      <c r="A167" s="69">
        <v>43</v>
      </c>
      <c r="C167" s="22" t="s">
        <v>31</v>
      </c>
      <c r="D167" s="21">
        <f ca="1">MAX(INDIRECT(D159&amp;":"&amp;D160)) - MIN(INDIRECT(D159&amp;":"&amp;D160))</f>
        <v>147</v>
      </c>
    </row>
    <row r="168" spans="1:8" ht="15.75" customHeight="1" x14ac:dyDescent="0.2">
      <c r="A168" s="69">
        <v>12</v>
      </c>
      <c r="B168" s="27"/>
      <c r="C168" s="27"/>
      <c r="D168" s="27"/>
    </row>
    <row r="169" spans="1:8" ht="15.75" customHeight="1" x14ac:dyDescent="0.2">
      <c r="A169" s="69">
        <v>72</v>
      </c>
      <c r="B169" s="27"/>
      <c r="C169" s="27"/>
      <c r="D169" s="27"/>
    </row>
    <row r="170" spans="1:8" ht="15.75" customHeight="1" x14ac:dyDescent="0.2">
      <c r="A170" s="69">
        <v>95</v>
      </c>
      <c r="B170" s="27"/>
      <c r="C170" s="27"/>
      <c r="D170" s="27"/>
    </row>
    <row r="171" spans="1:8" ht="15.75" customHeight="1" x14ac:dyDescent="0.2">
      <c r="A171" s="69">
        <v>82</v>
      </c>
      <c r="B171" s="27"/>
      <c r="C171" s="27"/>
      <c r="D171" s="27"/>
      <c r="G171" s="1"/>
      <c r="H171" s="1"/>
    </row>
    <row r="172" spans="1:8" ht="15.75" customHeight="1" x14ac:dyDescent="0.2">
      <c r="A172" s="69">
        <v>44</v>
      </c>
      <c r="B172" s="27"/>
      <c r="C172" s="27"/>
      <c r="D172" s="27"/>
      <c r="G172" s="3"/>
      <c r="H172" s="3"/>
    </row>
    <row r="173" spans="1:8" ht="15.75" customHeight="1" x14ac:dyDescent="0.2">
      <c r="A173" s="69">
        <v>159</v>
      </c>
      <c r="B173" s="27"/>
      <c r="C173" s="27"/>
      <c r="D173" s="27"/>
      <c r="G173" s="3"/>
      <c r="H173" s="3"/>
    </row>
    <row r="174" spans="1:8" ht="15.75" customHeight="1" x14ac:dyDescent="0.2">
      <c r="A174" s="69">
        <v>80</v>
      </c>
      <c r="B174" s="27"/>
      <c r="C174" s="27"/>
      <c r="D174" s="27"/>
      <c r="G174" s="3"/>
      <c r="H174" s="3"/>
    </row>
    <row r="175" spans="1:8" ht="15.75" customHeight="1" x14ac:dyDescent="0.2">
      <c r="A175" s="69">
        <v>47</v>
      </c>
      <c r="G175" s="3"/>
      <c r="H175" s="3"/>
    </row>
    <row r="176" spans="1:8" ht="15.75" customHeight="1" x14ac:dyDescent="0.2">
      <c r="A176" s="69">
        <v>77</v>
      </c>
    </row>
    <row r="177" spans="4:5" ht="15.75" customHeight="1" x14ac:dyDescent="0.2"/>
    <row r="178" spans="4:5" ht="15.75" customHeight="1" x14ac:dyDescent="0.2"/>
    <row r="179" spans="4:5" ht="15.75" customHeight="1" x14ac:dyDescent="0.2"/>
    <row r="180" spans="4:5" ht="15.75" customHeight="1" x14ac:dyDescent="0.2"/>
    <row r="181" spans="4:5" ht="15.75" customHeight="1" x14ac:dyDescent="0.2"/>
    <row r="182" spans="4:5" ht="15.75" customHeight="1" x14ac:dyDescent="0.2">
      <c r="D182" s="6"/>
    </row>
    <row r="183" spans="4:5" ht="15.75" customHeight="1" x14ac:dyDescent="0.2"/>
    <row r="184" spans="4:5" ht="15.75" customHeight="1" x14ac:dyDescent="0.2">
      <c r="E184" s="6"/>
    </row>
    <row r="185" spans="4:5" ht="15.75" customHeight="1" x14ac:dyDescent="0.2"/>
    <row r="186" spans="4:5" ht="15.75" customHeight="1" x14ac:dyDescent="0.2"/>
    <row r="187" spans="4:5" ht="15.75" customHeight="1" x14ac:dyDescent="0.2"/>
    <row r="188" spans="4:5" ht="15.75" customHeight="1" x14ac:dyDescent="0.2"/>
    <row r="189" spans="4:5" ht="15.75" customHeight="1" x14ac:dyDescent="0.2"/>
    <row r="190" spans="4:5" ht="15.75" customHeight="1" x14ac:dyDescent="0.2"/>
    <row r="191" spans="4:5" ht="15.75" customHeight="1" x14ac:dyDescent="0.2"/>
    <row r="192" spans="4:5" ht="15.75" customHeight="1" x14ac:dyDescent="0.2"/>
    <row r="193" spans="1:5" ht="15.75" customHeight="1" x14ac:dyDescent="0.2"/>
    <row r="194" spans="1:5" ht="15.75" customHeight="1" x14ac:dyDescent="0.2"/>
    <row r="195" spans="1:5" ht="15.75" customHeight="1" x14ac:dyDescent="0.2"/>
    <row r="196" spans="1:5" ht="15.75" customHeight="1" x14ac:dyDescent="0.2"/>
    <row r="197" spans="1:5" ht="15.75" customHeight="1" x14ac:dyDescent="0.2"/>
    <row r="198" spans="1:5" ht="15.75" customHeight="1" x14ac:dyDescent="0.2"/>
    <row r="199" spans="1:5" ht="15.75" customHeight="1" x14ac:dyDescent="0.2">
      <c r="A199" s="1"/>
    </row>
    <row r="200" spans="1:5" ht="15.75" customHeight="1" x14ac:dyDescent="0.2"/>
    <row r="201" spans="1:5" ht="15.75" customHeight="1" x14ac:dyDescent="0.2"/>
    <row r="202" spans="1:5" ht="15.75" customHeight="1" x14ac:dyDescent="0.2"/>
    <row r="203" spans="1:5" ht="15.75" customHeight="1" x14ac:dyDescent="0.2"/>
    <row r="204" spans="1:5" ht="15.75" customHeight="1" x14ac:dyDescent="0.2"/>
    <row r="205" spans="1:5" ht="15.75" customHeight="1" x14ac:dyDescent="0.2"/>
    <row r="206" spans="1:5" ht="15.75" customHeight="1" x14ac:dyDescent="0.2"/>
    <row r="207" spans="1:5" ht="15.75" customHeight="1" x14ac:dyDescent="0.2"/>
    <row r="208" spans="1:5" ht="15.75" customHeight="1" x14ac:dyDescent="0.2">
      <c r="E208" s="33"/>
    </row>
    <row r="209" spans="5:5" ht="15.75" customHeight="1" x14ac:dyDescent="0.2">
      <c r="E209" s="27"/>
    </row>
    <row r="210" spans="5:5" ht="15.75" customHeight="1" x14ac:dyDescent="0.2">
      <c r="E210" s="27"/>
    </row>
    <row r="211" spans="5:5" ht="15.75" customHeight="1" x14ac:dyDescent="0.2">
      <c r="E211" s="27"/>
    </row>
    <row r="212" spans="5:5" ht="15.75" customHeight="1" x14ac:dyDescent="0.2">
      <c r="E212" s="27"/>
    </row>
    <row r="213" spans="5:5" ht="15.75" customHeight="1" x14ac:dyDescent="0.2">
      <c r="E213" s="27"/>
    </row>
    <row r="214" spans="5:5" ht="15.75" customHeight="1" x14ac:dyDescent="0.2">
      <c r="E214" s="27"/>
    </row>
    <row r="215" spans="5:5" ht="15.75" customHeight="1" x14ac:dyDescent="0.2">
      <c r="E215" s="27"/>
    </row>
    <row r="216" spans="5:5" ht="15.75" customHeight="1" x14ac:dyDescent="0.2"/>
    <row r="217" spans="5:5" ht="15.75" customHeight="1" x14ac:dyDescent="0.2"/>
    <row r="218" spans="5:5" ht="15.75" customHeight="1" x14ac:dyDescent="0.2"/>
    <row r="219" spans="5:5" ht="15.75" customHeight="1" x14ac:dyDescent="0.2"/>
    <row r="220" spans="5:5" ht="15.75" customHeight="1" x14ac:dyDescent="0.2"/>
    <row r="221" spans="5:5" ht="15.75" customHeight="1" x14ac:dyDescent="0.2"/>
    <row r="222" spans="5:5" ht="15.75" customHeight="1" x14ac:dyDescent="0.2"/>
    <row r="223" spans="5:5" ht="15.75" customHeight="1" x14ac:dyDescent="0.2"/>
    <row r="224" spans="5:5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spans="6:8" ht="15.75" customHeight="1" x14ac:dyDescent="0.2"/>
    <row r="242" spans="6:8" ht="15.75" customHeight="1" x14ac:dyDescent="0.2">
      <c r="H242" s="1"/>
    </row>
    <row r="243" spans="6:8" ht="15.75" customHeight="1" x14ac:dyDescent="0.2"/>
    <row r="244" spans="6:8" ht="15.75" customHeight="1" x14ac:dyDescent="0.2"/>
    <row r="245" spans="6:8" ht="15.75" customHeight="1" x14ac:dyDescent="0.2"/>
    <row r="246" spans="6:8" ht="15.75" customHeight="1" x14ac:dyDescent="0.2"/>
    <row r="247" spans="6:8" ht="15.75" customHeight="1" x14ac:dyDescent="0.2"/>
    <row r="248" spans="6:8" ht="15.75" customHeight="1" x14ac:dyDescent="0.2"/>
    <row r="249" spans="6:8" ht="15.75" customHeight="1" x14ac:dyDescent="0.2"/>
    <row r="250" spans="6:8" ht="15.75" customHeight="1" x14ac:dyDescent="0.2"/>
    <row r="251" spans="6:8" ht="15.75" customHeight="1" x14ac:dyDescent="0.2"/>
    <row r="252" spans="6:8" ht="15.75" customHeight="1" x14ac:dyDescent="0.2"/>
    <row r="253" spans="6:8" ht="15.75" customHeight="1" x14ac:dyDescent="0.2"/>
    <row r="254" spans="6:8" ht="15.75" customHeight="1" x14ac:dyDescent="0.2">
      <c r="F254" s="33"/>
    </row>
    <row r="255" spans="6:8" ht="15.75" customHeight="1" x14ac:dyDescent="0.2">
      <c r="F255" s="27"/>
    </row>
    <row r="256" spans="6:8" ht="15.75" customHeight="1" x14ac:dyDescent="0.2">
      <c r="F256" s="27"/>
    </row>
    <row r="257" spans="1:6" ht="15.75" customHeight="1" x14ac:dyDescent="0.2">
      <c r="F257" s="27"/>
    </row>
    <row r="258" spans="1:6" ht="15.75" customHeight="1" x14ac:dyDescent="0.2">
      <c r="F258" s="27"/>
    </row>
    <row r="259" spans="1:6" ht="15.75" customHeight="1" x14ac:dyDescent="0.2">
      <c r="F259" s="27"/>
    </row>
    <row r="260" spans="1:6" ht="15.75" customHeight="1" x14ac:dyDescent="0.2">
      <c r="F260" s="27"/>
    </row>
    <row r="261" spans="1:6" ht="15.75" customHeight="1" x14ac:dyDescent="0.2">
      <c r="F261" s="27"/>
    </row>
    <row r="262" spans="1:6" ht="15.75" customHeight="1" x14ac:dyDescent="0.2"/>
    <row r="263" spans="1:6" ht="15.75" customHeight="1" x14ac:dyDescent="0.2"/>
    <row r="264" spans="1:6" ht="15.75" customHeight="1" x14ac:dyDescent="0.2"/>
    <row r="265" spans="1:6" ht="15.75" customHeight="1" x14ac:dyDescent="0.2">
      <c r="A265" s="69"/>
    </row>
    <row r="266" spans="1:6" ht="15.75" customHeight="1" x14ac:dyDescent="0.2">
      <c r="A266" s="69"/>
    </row>
    <row r="267" spans="1:6" ht="15.75" customHeight="1" x14ac:dyDescent="0.2">
      <c r="A267" s="69"/>
    </row>
    <row r="268" spans="1:6" ht="15.75" customHeight="1" x14ac:dyDescent="0.2">
      <c r="A268" s="69"/>
    </row>
    <row r="269" spans="1:6" ht="15.75" customHeight="1" x14ac:dyDescent="0.2">
      <c r="A269" s="69"/>
    </row>
    <row r="270" spans="1:6" ht="15.75" customHeight="1" x14ac:dyDescent="0.2">
      <c r="A270" s="69"/>
    </row>
    <row r="271" spans="1:6" ht="15.75" customHeight="1" x14ac:dyDescent="0.2">
      <c r="A271" s="69"/>
    </row>
    <row r="272" spans="1:6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</sheetData>
  <mergeCells count="2">
    <mergeCell ref="C17:D17"/>
    <mergeCell ref="C18:D18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96"/>
  <sheetViews>
    <sheetView topLeftCell="A12" workbookViewId="0">
      <selection activeCell="K16" sqref="K16"/>
    </sheetView>
  </sheetViews>
  <sheetFormatPr baseColWidth="10" defaultColWidth="11.1640625" defaultRowHeight="15" customHeight="1" x14ac:dyDescent="0.2"/>
  <cols>
    <col min="1" max="4" width="19.83203125" customWidth="1"/>
    <col min="5" max="5" width="5.6640625" bestFit="1" customWidth="1"/>
    <col min="6" max="7" width="5.33203125" bestFit="1" customWidth="1"/>
    <col min="8" max="8" width="10.83203125" bestFit="1" customWidth="1"/>
    <col min="9" max="10" width="14.5" customWidth="1"/>
    <col min="11" max="12" width="12.83203125" customWidth="1"/>
    <col min="13" max="13" width="11.33203125" bestFit="1" customWidth="1"/>
    <col min="14" max="14" width="10.83203125" bestFit="1" customWidth="1"/>
    <col min="15" max="26" width="10.5" customWidth="1"/>
  </cols>
  <sheetData>
    <row r="1" spans="5:15" ht="15.75" customHeight="1" x14ac:dyDescent="0.2">
      <c r="J1" s="20" t="s">
        <v>75</v>
      </c>
      <c r="K1" s="20" t="s">
        <v>76</v>
      </c>
      <c r="L1" s="20" t="s">
        <v>77</v>
      </c>
      <c r="M1" s="21"/>
    </row>
    <row r="2" spans="5:15" ht="15.75" customHeight="1" x14ac:dyDescent="0.2">
      <c r="J2" s="20" t="s">
        <v>78</v>
      </c>
      <c r="K2" s="20">
        <v>16</v>
      </c>
      <c r="L2" s="20">
        <v>42</v>
      </c>
      <c r="M2" s="20">
        <f t="shared" ref="M2:M5" si="0">SUM(K2:L2)</f>
        <v>58</v>
      </c>
    </row>
    <row r="3" spans="5:15" ht="15.75" customHeight="1" x14ac:dyDescent="0.2">
      <c r="J3" s="20" t="s">
        <v>79</v>
      </c>
      <c r="K3" s="20">
        <v>22</v>
      </c>
      <c r="L3" s="20">
        <v>5</v>
      </c>
      <c r="M3" s="20">
        <f t="shared" si="0"/>
        <v>27</v>
      </c>
    </row>
    <row r="4" spans="5:15" ht="15.75" customHeight="1" x14ac:dyDescent="0.2">
      <c r="J4" s="20" t="s">
        <v>80</v>
      </c>
      <c r="K4" s="20">
        <v>7</v>
      </c>
      <c r="L4" s="20">
        <v>8</v>
      </c>
      <c r="M4" s="20">
        <f t="shared" si="0"/>
        <v>15</v>
      </c>
    </row>
    <row r="5" spans="5:15" ht="15.75" customHeight="1" x14ac:dyDescent="0.2">
      <c r="J5" s="21"/>
      <c r="K5" s="20">
        <f t="shared" ref="K5:L5" si="1">SUM(K2:K4)</f>
        <v>45</v>
      </c>
      <c r="L5" s="20">
        <f t="shared" si="1"/>
        <v>55</v>
      </c>
      <c r="M5" s="71">
        <f t="shared" si="0"/>
        <v>100</v>
      </c>
      <c r="O5" s="4"/>
    </row>
    <row r="6" spans="5:15" ht="15.75" customHeight="1" x14ac:dyDescent="0.2"/>
    <row r="7" spans="5:15" ht="15.75" customHeight="1" x14ac:dyDescent="0.2"/>
    <row r="8" spans="5:15" ht="15.75" customHeight="1" x14ac:dyDescent="0.2">
      <c r="L8" s="6"/>
      <c r="M8" s="6"/>
      <c r="N8" s="6"/>
    </row>
    <row r="9" spans="5:15" ht="15.75" customHeight="1" x14ac:dyDescent="0.2">
      <c r="E9" s="3">
        <f>K2/M5</f>
        <v>0.16</v>
      </c>
      <c r="L9" s="6"/>
      <c r="M9" s="6"/>
      <c r="N9" s="6"/>
    </row>
    <row r="10" spans="5:15" ht="15.75" customHeight="1" x14ac:dyDescent="0.2">
      <c r="E10" s="3">
        <f>K3/M5</f>
        <v>0.22</v>
      </c>
      <c r="L10" s="6"/>
      <c r="M10" s="6"/>
      <c r="N10" s="6"/>
    </row>
    <row r="11" spans="5:15" ht="15.75" customHeight="1" x14ac:dyDescent="0.2">
      <c r="E11" s="3">
        <f>L4/M5</f>
        <v>0.08</v>
      </c>
      <c r="L11" s="6"/>
      <c r="M11" s="6"/>
    </row>
    <row r="12" spans="5:15" ht="15.75" customHeight="1" x14ac:dyDescent="0.2">
      <c r="E12" s="3">
        <f>0/M5</f>
        <v>0</v>
      </c>
    </row>
    <row r="13" spans="5:15" ht="15.75" customHeight="1" x14ac:dyDescent="0.2"/>
    <row r="14" spans="5:15" ht="15.75" customHeight="1" x14ac:dyDescent="0.2"/>
    <row r="15" spans="5:15" ht="15.75" customHeight="1" x14ac:dyDescent="0.2">
      <c r="J15" s="20" t="s">
        <v>75</v>
      </c>
      <c r="K15" s="20" t="s">
        <v>76</v>
      </c>
      <c r="L15" s="20" t="s">
        <v>77</v>
      </c>
      <c r="M15" s="21"/>
    </row>
    <row r="16" spans="5:15" ht="15.75" customHeight="1" x14ac:dyDescent="0.2">
      <c r="J16" s="20" t="s">
        <v>78</v>
      </c>
      <c r="K16" s="20">
        <v>15</v>
      </c>
      <c r="L16" s="20">
        <v>19</v>
      </c>
      <c r="M16" s="20">
        <f t="shared" ref="M16:M19" si="2">SUM(K16:L16)</f>
        <v>34</v>
      </c>
    </row>
    <row r="17" spans="1:15" ht="15.75" customHeight="1" x14ac:dyDescent="0.2">
      <c r="J17" s="20" t="s">
        <v>79</v>
      </c>
      <c r="K17" s="20">
        <v>5</v>
      </c>
      <c r="L17" s="20">
        <v>27</v>
      </c>
      <c r="M17" s="20">
        <f t="shared" si="2"/>
        <v>32</v>
      </c>
    </row>
    <row r="18" spans="1:15" ht="15.75" customHeight="1" x14ac:dyDescent="0.2">
      <c r="J18" s="20" t="s">
        <v>80</v>
      </c>
      <c r="K18" s="20">
        <v>27</v>
      </c>
      <c r="L18" s="20">
        <v>7</v>
      </c>
      <c r="M18" s="20">
        <f t="shared" si="2"/>
        <v>34</v>
      </c>
    </row>
    <row r="19" spans="1:15" ht="15.75" customHeight="1" x14ac:dyDescent="0.2">
      <c r="J19" s="21"/>
      <c r="K19" s="20">
        <f t="shared" ref="K19:L19" si="3">SUM(K16:K18)</f>
        <v>47</v>
      </c>
      <c r="L19" s="20">
        <f t="shared" si="3"/>
        <v>53</v>
      </c>
      <c r="M19" s="71">
        <f t="shared" si="2"/>
        <v>100</v>
      </c>
      <c r="O19" s="4"/>
    </row>
    <row r="20" spans="1:15" ht="15.75" customHeight="1" x14ac:dyDescent="0.2"/>
    <row r="21" spans="1:15" ht="15.75" customHeight="1" x14ac:dyDescent="0.2"/>
    <row r="22" spans="1:15" ht="15.75" customHeight="1" x14ac:dyDescent="0.2">
      <c r="B22" s="6">
        <f>(L17/M19)/(M17/M19)</f>
        <v>0.84375</v>
      </c>
    </row>
    <row r="23" spans="1:15" ht="15.75" customHeight="1" x14ac:dyDescent="0.2"/>
    <row r="24" spans="1:15" ht="15.75" customHeight="1" x14ac:dyDescent="0.2"/>
    <row r="25" spans="1:15" ht="15.75" customHeight="1" x14ac:dyDescent="0.2"/>
    <row r="26" spans="1:15" ht="15.75" customHeight="1" x14ac:dyDescent="0.2"/>
    <row r="27" spans="1:15" ht="15.75" customHeight="1" x14ac:dyDescent="0.2"/>
    <row r="28" spans="1:15" ht="15.75" customHeight="1" x14ac:dyDescent="0.2"/>
    <row r="29" spans="1:15" ht="15.75" customHeight="1" x14ac:dyDescent="0.2">
      <c r="C29" s="3">
        <f>(B31+B32-B33)</f>
        <v>0.84</v>
      </c>
    </row>
    <row r="30" spans="1:15" ht="15.75" customHeight="1" x14ac:dyDescent="0.2"/>
    <row r="31" spans="1:15" ht="15.75" customHeight="1" x14ac:dyDescent="0.2">
      <c r="A31" s="3" t="s">
        <v>81</v>
      </c>
      <c r="B31" s="3">
        <v>0.81</v>
      </c>
    </row>
    <row r="32" spans="1:15" ht="15.75" customHeight="1" x14ac:dyDescent="0.2">
      <c r="A32" s="3" t="s">
        <v>82</v>
      </c>
      <c r="B32" s="3">
        <v>0.71</v>
      </c>
    </row>
    <row r="33" spans="1:5" ht="15.75" customHeight="1" x14ac:dyDescent="0.2">
      <c r="A33" s="3" t="s">
        <v>83</v>
      </c>
      <c r="B33" s="3">
        <v>0.68</v>
      </c>
    </row>
    <row r="34" spans="1:5" ht="15.75" customHeight="1" x14ac:dyDescent="0.2"/>
    <row r="35" spans="1:5" ht="15.75" customHeight="1" x14ac:dyDescent="0.2"/>
    <row r="36" spans="1:5" ht="15.75" customHeight="1" x14ac:dyDescent="0.2"/>
    <row r="37" spans="1:5" ht="15.75" customHeight="1" x14ac:dyDescent="0.2"/>
    <row r="38" spans="1:5" ht="15.75" customHeight="1" x14ac:dyDescent="0.2"/>
    <row r="39" spans="1:5" ht="15.75" customHeight="1" x14ac:dyDescent="0.2">
      <c r="E39" s="3">
        <f>10*9*8*7</f>
        <v>5040</v>
      </c>
    </row>
    <row r="40" spans="1:5" ht="15.75" customHeight="1" x14ac:dyDescent="0.2"/>
    <row r="41" spans="1:5" ht="15.75" customHeight="1" x14ac:dyDescent="0.2"/>
    <row r="42" spans="1:5" ht="15.75" customHeight="1" x14ac:dyDescent="0.2"/>
    <row r="43" spans="1:5" ht="15.75" customHeight="1" x14ac:dyDescent="0.2"/>
    <row r="44" spans="1:5" ht="15.75" customHeight="1" x14ac:dyDescent="0.2"/>
    <row r="45" spans="1:5" ht="15.75" customHeight="1" x14ac:dyDescent="0.2"/>
    <row r="46" spans="1:5" ht="15.75" customHeight="1" x14ac:dyDescent="0.2"/>
    <row r="47" spans="1:5" ht="15.75" customHeight="1" x14ac:dyDescent="0.2"/>
    <row r="48" spans="1:5" ht="15.75" customHeight="1" x14ac:dyDescent="0.2"/>
    <row r="49" spans="8:10" ht="15.75" customHeight="1" x14ac:dyDescent="0.2"/>
    <row r="50" spans="8:10" ht="15.75" customHeight="1" x14ac:dyDescent="0.2"/>
    <row r="51" spans="8:10" ht="15.75" customHeight="1" x14ac:dyDescent="0.2"/>
    <row r="52" spans="8:10" ht="15.75" customHeight="1" x14ac:dyDescent="0.2"/>
    <row r="53" spans="8:10" ht="15.75" customHeight="1" x14ac:dyDescent="0.2"/>
    <row r="54" spans="8:10" ht="15.75" customHeight="1" x14ac:dyDescent="0.2"/>
    <row r="55" spans="8:10" ht="15.75" customHeight="1" x14ac:dyDescent="0.2"/>
    <row r="56" spans="8:10" ht="15.75" customHeight="1" x14ac:dyDescent="0.2"/>
    <row r="57" spans="8:10" ht="15.75" customHeight="1" x14ac:dyDescent="0.2"/>
    <row r="58" spans="8:10" ht="15.75" customHeight="1" x14ac:dyDescent="0.2"/>
    <row r="59" spans="8:10" ht="15.75" customHeight="1" x14ac:dyDescent="0.2"/>
    <row r="60" spans="8:10" ht="15.75" customHeight="1" x14ac:dyDescent="0.2"/>
    <row r="61" spans="8:10" ht="15.75" customHeight="1" x14ac:dyDescent="0.2">
      <c r="H61" s="4" t="s">
        <v>84</v>
      </c>
      <c r="I61" s="3">
        <v>36</v>
      </c>
    </row>
    <row r="62" spans="8:10" ht="15.75" customHeight="1" x14ac:dyDescent="0.2"/>
    <row r="63" spans="8:10" ht="15.75" customHeight="1" x14ac:dyDescent="0.2"/>
    <row r="64" spans="8:10" ht="15.75" customHeight="1" x14ac:dyDescent="0.2">
      <c r="I64" s="1"/>
      <c r="J64" s="1"/>
    </row>
    <row r="65" spans="8:11" ht="15.75" customHeight="1" x14ac:dyDescent="0.2">
      <c r="H65" s="3" t="s">
        <v>85</v>
      </c>
      <c r="I65" s="5">
        <f>4/I61</f>
        <v>0.1111111111111111</v>
      </c>
      <c r="J65" s="3" t="s">
        <v>86</v>
      </c>
    </row>
    <row r="66" spans="8:11" ht="15.75" customHeight="1" x14ac:dyDescent="0.2"/>
    <row r="67" spans="8:11" ht="15.75" customHeight="1" x14ac:dyDescent="0.2">
      <c r="H67" s="11"/>
      <c r="I67" s="7"/>
      <c r="J67" s="7"/>
      <c r="K67" s="2"/>
    </row>
    <row r="68" spans="8:11" ht="15.75" customHeight="1" x14ac:dyDescent="0.2">
      <c r="I68" s="7"/>
      <c r="J68" s="7"/>
      <c r="K68" s="2"/>
    </row>
    <row r="69" spans="8:11" ht="15.75" customHeight="1" x14ac:dyDescent="0.2"/>
    <row r="70" spans="8:11" ht="15.75" customHeight="1" x14ac:dyDescent="0.2"/>
    <row r="71" spans="8:11" ht="15.75" customHeight="1" x14ac:dyDescent="0.2">
      <c r="H71" s="3" t="s">
        <v>87</v>
      </c>
      <c r="I71" s="12">
        <v>0</v>
      </c>
    </row>
    <row r="72" spans="8:11" ht="15.75" customHeight="1" x14ac:dyDescent="0.2">
      <c r="H72" s="3" t="s">
        <v>88</v>
      </c>
      <c r="I72" s="12">
        <f>1/I61</f>
        <v>2.7777777777777776E-2</v>
      </c>
      <c r="J72" s="3" t="s">
        <v>89</v>
      </c>
    </row>
    <row r="73" spans="8:11" ht="15.75" customHeight="1" x14ac:dyDescent="0.2">
      <c r="H73" s="3" t="s">
        <v>90</v>
      </c>
      <c r="I73" s="12">
        <f>2/I61</f>
        <v>5.5555555555555552E-2</v>
      </c>
      <c r="J73" s="3" t="s">
        <v>91</v>
      </c>
    </row>
    <row r="74" spans="8:11" ht="15.75" customHeight="1" x14ac:dyDescent="0.2">
      <c r="I74" s="5">
        <f>SUM(I71:I73)</f>
        <v>8.3333333333333329E-2</v>
      </c>
    </row>
    <row r="75" spans="8:11" ht="15.75" customHeight="1" x14ac:dyDescent="0.2">
      <c r="I75" s="1"/>
      <c r="J75" s="1"/>
    </row>
    <row r="76" spans="8:11" ht="15.75" customHeight="1" x14ac:dyDescent="0.2"/>
    <row r="77" spans="8:11" ht="15.75" customHeight="1" x14ac:dyDescent="0.2"/>
    <row r="78" spans="8:11" ht="15.75" customHeight="1" x14ac:dyDescent="0.2">
      <c r="J78" s="7"/>
    </row>
    <row r="79" spans="8:11" ht="15.75" customHeight="1" x14ac:dyDescent="0.2">
      <c r="H79" s="3" t="s">
        <v>92</v>
      </c>
      <c r="I79" s="2">
        <f>4/I61</f>
        <v>0.1111111111111111</v>
      </c>
      <c r="J79" s="7" t="s">
        <v>93</v>
      </c>
    </row>
    <row r="80" spans="8:11" ht="15.75" customHeight="1" x14ac:dyDescent="0.2">
      <c r="H80" s="13" t="s">
        <v>94</v>
      </c>
      <c r="I80" s="2">
        <f>3/I61</f>
        <v>8.3333333333333329E-2</v>
      </c>
      <c r="J80" s="3" t="s">
        <v>95</v>
      </c>
    </row>
    <row r="81" spans="8:10" ht="15.75" customHeight="1" x14ac:dyDescent="0.2">
      <c r="H81" s="13" t="s">
        <v>96</v>
      </c>
      <c r="I81" s="2">
        <f>2/I61</f>
        <v>5.5555555555555552E-2</v>
      </c>
      <c r="J81" s="3" t="s">
        <v>97</v>
      </c>
    </row>
    <row r="82" spans="8:10" ht="15.75" customHeight="1" x14ac:dyDescent="0.2">
      <c r="H82" s="13" t="s">
        <v>98</v>
      </c>
      <c r="I82" s="2">
        <f>1/I61</f>
        <v>2.7777777777777776E-2</v>
      </c>
      <c r="J82" s="3" t="s">
        <v>99</v>
      </c>
    </row>
    <row r="83" spans="8:10" ht="15.75" customHeight="1" x14ac:dyDescent="0.2">
      <c r="I83" s="14">
        <f>SUM(I79:I82)</f>
        <v>0.27777777777777773</v>
      </c>
    </row>
    <row r="84" spans="8:10" ht="15.75" customHeight="1" x14ac:dyDescent="0.2"/>
    <row r="85" spans="8:10" ht="15.75" customHeight="1" x14ac:dyDescent="0.2"/>
    <row r="86" spans="8:10" ht="15.75" customHeight="1" x14ac:dyDescent="0.2"/>
    <row r="87" spans="8:10" ht="15.75" customHeight="1" x14ac:dyDescent="0.2"/>
    <row r="88" spans="8:10" ht="15.75" customHeight="1" x14ac:dyDescent="0.2"/>
    <row r="89" spans="8:10" ht="15.75" customHeight="1" x14ac:dyDescent="0.2"/>
    <row r="90" spans="8:10" ht="15.75" customHeight="1" x14ac:dyDescent="0.2"/>
    <row r="91" spans="8:10" ht="15.75" customHeight="1" x14ac:dyDescent="0.2"/>
    <row r="92" spans="8:10" ht="15.75" customHeight="1" x14ac:dyDescent="0.2"/>
    <row r="93" spans="8:10" ht="15.75" customHeight="1" x14ac:dyDescent="0.2"/>
    <row r="94" spans="8:10" ht="15.75" customHeight="1" x14ac:dyDescent="0.2"/>
    <row r="95" spans="8:10" ht="15.75" customHeight="1" x14ac:dyDescent="0.2"/>
    <row r="96" spans="8:10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0:11" ht="15.75" customHeight="1" x14ac:dyDescent="0.2">
      <c r="J129" s="71" t="s">
        <v>100</v>
      </c>
      <c r="K129" s="71" t="s">
        <v>5</v>
      </c>
    </row>
    <row r="130" spans="10:11" ht="15.75" customHeight="1" x14ac:dyDescent="0.2">
      <c r="J130" s="20" t="s">
        <v>101</v>
      </c>
      <c r="K130" s="20">
        <v>4</v>
      </c>
    </row>
    <row r="131" spans="10:11" ht="15.75" customHeight="1" x14ac:dyDescent="0.2">
      <c r="J131" s="20" t="s">
        <v>102</v>
      </c>
      <c r="K131" s="20">
        <v>5</v>
      </c>
    </row>
    <row r="132" spans="10:11" ht="15.75" customHeight="1" x14ac:dyDescent="0.2">
      <c r="J132" s="20" t="s">
        <v>103</v>
      </c>
      <c r="K132" s="20">
        <v>9</v>
      </c>
    </row>
    <row r="133" spans="10:11" ht="15.75" customHeight="1" x14ac:dyDescent="0.2">
      <c r="J133" s="20" t="s">
        <v>104</v>
      </c>
      <c r="K133" s="20">
        <v>6</v>
      </c>
    </row>
    <row r="134" spans="10:11" ht="15.75" customHeight="1" x14ac:dyDescent="0.2">
      <c r="J134" s="20" t="s">
        <v>105</v>
      </c>
      <c r="K134" s="20">
        <v>7</v>
      </c>
    </row>
    <row r="135" spans="10:11" ht="15.75" customHeight="1" x14ac:dyDescent="0.2">
      <c r="J135" s="20" t="s">
        <v>106</v>
      </c>
      <c r="K135" s="20" t="s">
        <v>107</v>
      </c>
    </row>
    <row r="136" spans="10:11" ht="15.75" customHeight="1" x14ac:dyDescent="0.2">
      <c r="J136" s="71" t="s">
        <v>108</v>
      </c>
      <c r="K136" s="71">
        <v>33</v>
      </c>
    </row>
    <row r="137" spans="10:11" ht="15.75" customHeight="1" x14ac:dyDescent="0.2"/>
    <row r="138" spans="10:11" ht="15.75" customHeight="1" x14ac:dyDescent="0.2"/>
    <row r="139" spans="10:11" ht="15.75" customHeight="1" x14ac:dyDescent="0.2"/>
    <row r="140" spans="10:11" ht="15.75" customHeight="1" x14ac:dyDescent="0.2"/>
    <row r="141" spans="10:11" ht="15.75" customHeight="1" x14ac:dyDescent="0.2"/>
    <row r="142" spans="10:11" ht="15.75" customHeight="1" x14ac:dyDescent="0.2"/>
    <row r="143" spans="10:11" ht="15.75" customHeight="1" x14ac:dyDescent="0.2"/>
    <row r="144" spans="10:11" ht="15.75" customHeight="1" x14ac:dyDescent="0.2"/>
    <row r="145" spans="1:10" ht="15.75" customHeight="1" x14ac:dyDescent="0.2">
      <c r="H145" s="15">
        <f>K136-SUM(K130:K134)</f>
        <v>2</v>
      </c>
    </row>
    <row r="146" spans="1:10" ht="15.75" customHeight="1" x14ac:dyDescent="0.2"/>
    <row r="147" spans="1:10" ht="15.75" customHeight="1" x14ac:dyDescent="0.2">
      <c r="J147" s="16">
        <f>H145/K136</f>
        <v>6.0606060606060608E-2</v>
      </c>
    </row>
    <row r="148" spans="1:10" ht="15.75" customHeight="1" x14ac:dyDescent="0.2"/>
    <row r="149" spans="1:10" ht="15.75" customHeight="1" x14ac:dyDescent="0.2"/>
    <row r="150" spans="1:10" ht="15.75" customHeight="1" x14ac:dyDescent="0.2"/>
    <row r="151" spans="1:10" ht="15.75" customHeight="1" x14ac:dyDescent="0.2">
      <c r="J151" s="16">
        <f>1-(K130/K136)</f>
        <v>0.87878787878787878</v>
      </c>
    </row>
    <row r="152" spans="1:10" ht="15.75" customHeight="1" x14ac:dyDescent="0.2"/>
    <row r="153" spans="1:10" ht="15.75" customHeight="1" x14ac:dyDescent="0.2"/>
    <row r="154" spans="1:10" ht="15.75" customHeight="1" x14ac:dyDescent="0.2"/>
    <row r="155" spans="1:10" ht="15.75" customHeight="1" x14ac:dyDescent="0.2">
      <c r="J155" s="16">
        <f>(K132/K136)+(K133/K136)</f>
        <v>0.45454545454545453</v>
      </c>
    </row>
    <row r="156" spans="1:10" ht="15.75" customHeight="1" x14ac:dyDescent="0.2"/>
    <row r="157" spans="1:10" ht="15.75" customHeight="1" x14ac:dyDescent="0.2"/>
    <row r="158" spans="1:10" ht="15.75" customHeight="1" x14ac:dyDescent="0.2"/>
    <row r="159" spans="1:10" ht="15.7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</row>
    <row r="160" spans="1:10" ht="15.75" customHeight="1" x14ac:dyDescent="0.2">
      <c r="A160" s="35"/>
      <c r="B160" s="35"/>
      <c r="C160" s="35"/>
      <c r="D160" s="35"/>
      <c r="E160" s="35"/>
      <c r="F160" s="27"/>
      <c r="G160" s="27"/>
      <c r="H160" s="27"/>
      <c r="I160" s="27"/>
    </row>
    <row r="161" spans="1:13" ht="15.75" customHeight="1" x14ac:dyDescent="0.2">
      <c r="A161" s="35"/>
      <c r="B161" s="56"/>
      <c r="C161" s="56"/>
      <c r="D161" s="28"/>
      <c r="E161" s="28"/>
      <c r="F161" s="27"/>
      <c r="G161" s="27"/>
      <c r="H161" s="27"/>
      <c r="I161" s="27"/>
    </row>
    <row r="162" spans="1:13" ht="15.75" customHeight="1" x14ac:dyDescent="0.2">
      <c r="A162" s="35"/>
      <c r="B162" s="56"/>
      <c r="C162" s="56"/>
      <c r="D162" s="28"/>
      <c r="E162" s="28"/>
      <c r="F162" s="27"/>
      <c r="G162" s="27"/>
      <c r="H162" s="27"/>
      <c r="I162" s="27"/>
    </row>
    <row r="163" spans="1:13" ht="15.75" customHeight="1" x14ac:dyDescent="0.2">
      <c r="A163" s="35"/>
      <c r="B163" s="56"/>
      <c r="C163" s="56"/>
      <c r="D163" s="28"/>
      <c r="E163" s="28"/>
      <c r="F163" s="27"/>
      <c r="G163" s="27"/>
      <c r="H163" s="27"/>
      <c r="I163" s="27"/>
    </row>
    <row r="164" spans="1:13" ht="15.75" customHeight="1" x14ac:dyDescent="0.2">
      <c r="A164" s="35"/>
      <c r="B164" s="56"/>
      <c r="C164" s="56"/>
      <c r="D164" s="28"/>
      <c r="E164" s="28"/>
      <c r="F164" s="27"/>
      <c r="G164" s="27"/>
      <c r="H164" s="27"/>
      <c r="I164" s="27"/>
    </row>
    <row r="165" spans="1:13" ht="15.75" customHeight="1" x14ac:dyDescent="0.2">
      <c r="A165" s="35"/>
      <c r="B165" s="56"/>
      <c r="C165" s="56"/>
      <c r="D165" s="28"/>
      <c r="E165" s="28"/>
      <c r="F165" s="27"/>
      <c r="G165" s="27"/>
      <c r="H165" s="27"/>
      <c r="I165" s="27"/>
      <c r="L165" s="31"/>
      <c r="M165" s="31"/>
    </row>
    <row r="166" spans="1:13" ht="15.75" customHeight="1" x14ac:dyDescent="0.2">
      <c r="A166" s="35"/>
      <c r="B166" s="56"/>
      <c r="C166" s="27"/>
      <c r="D166" s="28"/>
      <c r="E166" s="28"/>
      <c r="F166" s="27"/>
      <c r="G166" s="27"/>
      <c r="H166" s="27"/>
      <c r="I166" s="27"/>
      <c r="L166" s="31"/>
      <c r="M166" s="31"/>
    </row>
    <row r="167" spans="1:13" ht="15.75" customHeight="1" x14ac:dyDescent="0.2">
      <c r="A167" s="58" t="s">
        <v>140</v>
      </c>
      <c r="B167" s="58" t="s">
        <v>141</v>
      </c>
      <c r="C167" s="58" t="s">
        <v>142</v>
      </c>
      <c r="D167" s="58" t="s">
        <v>108</v>
      </c>
      <c r="E167" s="28"/>
      <c r="F167" s="27"/>
      <c r="G167" s="27"/>
      <c r="H167" s="27"/>
      <c r="I167" s="27"/>
      <c r="L167" s="31"/>
      <c r="M167" s="31"/>
    </row>
    <row r="168" spans="1:13" ht="15.75" customHeight="1" x14ac:dyDescent="0.2">
      <c r="A168" s="58" t="s">
        <v>159</v>
      </c>
      <c r="B168" s="20">
        <v>7</v>
      </c>
      <c r="C168" s="20">
        <v>7</v>
      </c>
      <c r="D168" s="20">
        <v>14</v>
      </c>
      <c r="E168" s="28"/>
      <c r="F168" s="27"/>
      <c r="G168" s="27"/>
      <c r="H168" s="27"/>
      <c r="I168" s="27"/>
      <c r="L168" s="31"/>
      <c r="M168" s="31"/>
    </row>
    <row r="169" spans="1:13" ht="15.75" customHeight="1" x14ac:dyDescent="0.2">
      <c r="A169" s="58" t="s">
        <v>160</v>
      </c>
      <c r="B169" s="20">
        <v>15</v>
      </c>
      <c r="C169" s="20">
        <v>1</v>
      </c>
      <c r="D169" s="20">
        <v>16</v>
      </c>
      <c r="E169" s="28"/>
      <c r="F169" s="27"/>
      <c r="G169" s="27"/>
      <c r="H169" s="27"/>
      <c r="I169" s="27"/>
      <c r="L169" s="31"/>
      <c r="M169" s="31"/>
    </row>
    <row r="170" spans="1:13" ht="15.75" customHeight="1" x14ac:dyDescent="0.2">
      <c r="A170" s="58" t="s">
        <v>161</v>
      </c>
      <c r="B170" s="20">
        <v>7</v>
      </c>
      <c r="C170" s="20">
        <v>2</v>
      </c>
      <c r="D170" s="20">
        <v>9</v>
      </c>
      <c r="E170" s="28"/>
      <c r="F170" s="27"/>
      <c r="G170" s="27"/>
      <c r="H170" s="27"/>
      <c r="I170" s="27"/>
      <c r="L170" s="31"/>
    </row>
    <row r="171" spans="1:13" ht="15.75" customHeight="1" x14ac:dyDescent="0.2">
      <c r="A171" s="22" t="s">
        <v>108</v>
      </c>
      <c r="B171" s="21">
        <v>29</v>
      </c>
      <c r="C171" s="21">
        <v>10</v>
      </c>
      <c r="D171" s="21">
        <v>39</v>
      </c>
      <c r="E171" s="27"/>
      <c r="F171" s="27"/>
      <c r="G171" s="27"/>
      <c r="H171" s="27"/>
      <c r="I171" s="27"/>
    </row>
    <row r="172" spans="1:13" ht="15.7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</row>
    <row r="173" spans="1:13" ht="15.75" customHeight="1" x14ac:dyDescent="0.2">
      <c r="A173" s="27"/>
      <c r="B173" s="27"/>
      <c r="C173" s="27"/>
      <c r="D173" s="27"/>
      <c r="E173" s="27"/>
      <c r="F173" s="27"/>
      <c r="G173" s="27"/>
      <c r="H173" s="59"/>
      <c r="I173" s="27"/>
    </row>
    <row r="174" spans="1:13" ht="15.75" customHeight="1" x14ac:dyDescent="0.2">
      <c r="A174" s="27"/>
      <c r="B174" s="27"/>
      <c r="C174" s="27"/>
      <c r="D174" s="27"/>
      <c r="E174" s="27"/>
      <c r="F174" s="27"/>
      <c r="G174" s="27"/>
      <c r="H174" s="59"/>
      <c r="I174" s="27"/>
      <c r="J174" s="27"/>
      <c r="K174" s="27"/>
      <c r="L174" s="27"/>
    </row>
    <row r="175" spans="1:13" ht="15.7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61"/>
      <c r="K175" s="61"/>
      <c r="L175" s="27"/>
    </row>
    <row r="176" spans="1:13" ht="15.75" customHeight="1" x14ac:dyDescent="0.2">
      <c r="A176" s="27"/>
      <c r="B176" s="27"/>
      <c r="C176" s="27"/>
      <c r="D176" s="27"/>
      <c r="E176" s="27"/>
      <c r="F176" s="27"/>
      <c r="G176" s="27"/>
      <c r="H176" s="59"/>
      <c r="I176" s="61"/>
      <c r="J176" s="61"/>
      <c r="K176" s="61"/>
      <c r="L176" s="27"/>
    </row>
    <row r="177" spans="1:12" ht="15.75" customHeight="1" x14ac:dyDescent="0.2">
      <c r="A177" s="27"/>
      <c r="B177" s="27"/>
      <c r="C177" s="27"/>
      <c r="D177" s="27"/>
      <c r="E177" s="27"/>
      <c r="F177" s="27"/>
      <c r="G177" s="27"/>
      <c r="J177" s="61"/>
      <c r="K177" s="61"/>
      <c r="L177" s="27"/>
    </row>
    <row r="178" spans="1:12" ht="15.75" customHeight="1" x14ac:dyDescent="0.2">
      <c r="A178" s="27"/>
      <c r="B178" s="27"/>
      <c r="C178" s="27"/>
      <c r="D178" s="27"/>
      <c r="E178" s="27"/>
      <c r="F178" s="27"/>
      <c r="G178" s="27"/>
      <c r="J178" s="61"/>
      <c r="K178" s="61"/>
      <c r="L178" s="27"/>
    </row>
    <row r="179" spans="1:12" ht="15.75" customHeight="1" x14ac:dyDescent="0.2">
      <c r="A179" s="27"/>
      <c r="B179" s="27"/>
      <c r="C179" s="27"/>
      <c r="D179" s="27"/>
      <c r="E179" s="27"/>
      <c r="F179" s="27"/>
      <c r="G179" s="27"/>
      <c r="L179" s="27"/>
    </row>
    <row r="180" spans="1:12" ht="15.75" customHeight="1" x14ac:dyDescent="0.2">
      <c r="A180" s="27"/>
      <c r="B180" s="27"/>
      <c r="C180" s="27"/>
      <c r="D180" s="27"/>
      <c r="E180" s="27"/>
      <c r="F180" s="27"/>
      <c r="G180" s="27"/>
      <c r="J180" s="61"/>
      <c r="K180" s="61"/>
      <c r="L180" s="27"/>
    </row>
    <row r="181" spans="1:12" ht="15.75" customHeight="1" x14ac:dyDescent="0.2">
      <c r="A181" s="27"/>
      <c r="B181" s="27"/>
      <c r="C181" s="27"/>
      <c r="D181" s="27"/>
      <c r="E181" s="27"/>
      <c r="F181" s="27"/>
      <c r="G181" s="27"/>
      <c r="J181" s="61"/>
      <c r="K181" s="61"/>
      <c r="L181" s="27"/>
    </row>
    <row r="182" spans="1:12" ht="15.75" customHeight="1" x14ac:dyDescent="0.2">
      <c r="A182" s="27"/>
      <c r="B182" s="27"/>
      <c r="C182" s="27"/>
      <c r="D182" s="27"/>
      <c r="E182" s="27"/>
      <c r="F182" s="27"/>
      <c r="G182" s="27"/>
      <c r="J182" s="61"/>
      <c r="K182" s="61"/>
      <c r="L182" s="27"/>
    </row>
    <row r="183" spans="1:12" ht="15.75" customHeight="1" x14ac:dyDescent="0.2">
      <c r="A183" s="27"/>
      <c r="B183" s="27"/>
      <c r="C183" s="27"/>
      <c r="D183" s="27"/>
      <c r="E183" s="27"/>
      <c r="F183" s="27"/>
      <c r="G183" s="27"/>
      <c r="H183" s="29" t="s">
        <v>143</v>
      </c>
      <c r="I183" s="36">
        <f>D170/D171</f>
        <v>0.23076923076923078</v>
      </c>
      <c r="J183" s="61"/>
      <c r="K183" s="61"/>
      <c r="L183" s="27"/>
    </row>
    <row r="184" spans="1:12" ht="15.75" customHeight="1" x14ac:dyDescent="0.2">
      <c r="A184" s="27"/>
      <c r="B184" s="27"/>
      <c r="C184" s="27"/>
      <c r="D184" s="27"/>
      <c r="E184" s="27"/>
      <c r="F184" s="27"/>
      <c r="G184" s="27"/>
      <c r="H184" s="29" t="s">
        <v>144</v>
      </c>
      <c r="I184" s="63">
        <f>10/D171</f>
        <v>0.25641025641025639</v>
      </c>
      <c r="J184" s="61"/>
      <c r="K184" s="61"/>
      <c r="L184" s="27"/>
    </row>
    <row r="185" spans="1:12" ht="15.75" customHeight="1" x14ac:dyDescent="0.2">
      <c r="A185" s="27"/>
      <c r="B185" s="27"/>
      <c r="C185" s="27"/>
      <c r="D185" s="27"/>
      <c r="E185" s="27"/>
      <c r="F185" s="27"/>
      <c r="G185" s="27"/>
      <c r="H185" s="29" t="s">
        <v>145</v>
      </c>
      <c r="I185" s="63">
        <f>K185+J185</f>
        <v>0.76923076923076927</v>
      </c>
      <c r="J185" s="61">
        <f>B169/D171</f>
        <v>0.38461538461538464</v>
      </c>
      <c r="K185" s="61">
        <f>B169/D171</f>
        <v>0.38461538461538464</v>
      </c>
      <c r="L185" s="27"/>
    </row>
    <row r="186" spans="1:12" ht="15.75" customHeight="1" x14ac:dyDescent="0.2">
      <c r="A186" s="27"/>
      <c r="B186" s="27"/>
      <c r="C186" s="27"/>
      <c r="D186" s="27"/>
      <c r="E186" s="27"/>
      <c r="F186" s="27"/>
      <c r="G186" s="27"/>
      <c r="H186" s="29" t="s">
        <v>146</v>
      </c>
      <c r="I186" s="63">
        <f>C168/D171</f>
        <v>0.17948717948717949</v>
      </c>
      <c r="J186" s="61"/>
      <c r="K186" s="61"/>
      <c r="L186" s="27"/>
    </row>
    <row r="187" spans="1:12" ht="15.75" customHeight="1" x14ac:dyDescent="0.2">
      <c r="A187" s="35"/>
      <c r="B187" s="35"/>
      <c r="C187" s="35"/>
      <c r="D187" s="35"/>
      <c r="E187" s="35"/>
      <c r="F187" s="27"/>
      <c r="G187" s="27"/>
      <c r="H187" s="29" t="s">
        <v>147</v>
      </c>
      <c r="I187" s="63">
        <f>B170/B171</f>
        <v>0.2413793103448276</v>
      </c>
      <c r="J187" s="27"/>
      <c r="K187" s="27"/>
      <c r="L187" s="27"/>
    </row>
    <row r="188" spans="1:12" ht="15.75" customHeight="1" x14ac:dyDescent="0.2">
      <c r="A188" s="35"/>
      <c r="B188" s="56"/>
      <c r="C188" s="56"/>
      <c r="D188" s="57"/>
      <c r="E188" s="28"/>
      <c r="F188" s="27"/>
      <c r="G188" s="27"/>
      <c r="H188" s="29" t="s">
        <v>148</v>
      </c>
      <c r="I188" s="63">
        <f>C169/D169</f>
        <v>6.25E-2</v>
      </c>
      <c r="J188" s="61"/>
      <c r="K188" s="61"/>
      <c r="L188" s="27"/>
    </row>
    <row r="189" spans="1:12" ht="15.75" customHeight="1" x14ac:dyDescent="0.2">
      <c r="A189" s="35"/>
      <c r="B189" s="56"/>
      <c r="C189" s="56"/>
      <c r="D189" s="57"/>
      <c r="E189" s="28"/>
      <c r="F189" s="27"/>
      <c r="G189" s="27"/>
      <c r="H189" s="59"/>
      <c r="I189" s="61"/>
      <c r="J189" s="61"/>
      <c r="K189" s="61"/>
      <c r="L189" s="27"/>
    </row>
    <row r="190" spans="1:12" ht="15.75" customHeight="1" x14ac:dyDescent="0.2">
      <c r="A190" s="35"/>
      <c r="B190" s="56"/>
      <c r="C190" s="56"/>
      <c r="D190" s="57"/>
      <c r="E190" s="28"/>
      <c r="F190" s="27"/>
      <c r="G190" s="27"/>
      <c r="H190" s="59"/>
      <c r="I190" s="61"/>
      <c r="J190" s="61"/>
      <c r="K190" s="61"/>
      <c r="L190" s="27"/>
    </row>
    <row r="191" spans="1:12" ht="15.75" customHeight="1" x14ac:dyDescent="0.2">
      <c r="A191" s="35"/>
      <c r="B191" s="56"/>
      <c r="C191" s="56"/>
      <c r="D191" s="57"/>
      <c r="E191" s="28"/>
      <c r="F191" s="27"/>
      <c r="G191" s="27"/>
      <c r="H191" s="27"/>
      <c r="I191" s="27"/>
      <c r="J191" s="27"/>
      <c r="K191" s="27"/>
      <c r="L191" s="27"/>
    </row>
    <row r="192" spans="1:12" ht="15.75" customHeight="1" x14ac:dyDescent="0.2">
      <c r="A192" s="35"/>
      <c r="B192" s="56"/>
      <c r="C192" s="56"/>
      <c r="D192" s="57"/>
      <c r="E192" s="28"/>
      <c r="F192" s="27"/>
      <c r="G192" s="27"/>
      <c r="H192" s="59"/>
      <c r="I192" s="61"/>
      <c r="J192" s="61"/>
      <c r="K192" s="61"/>
      <c r="L192" s="27"/>
    </row>
    <row r="193" spans="1:12" ht="15.75" customHeight="1" x14ac:dyDescent="0.2">
      <c r="A193" s="35"/>
      <c r="B193" s="56"/>
      <c r="C193" s="27"/>
      <c r="D193" s="57"/>
      <c r="E193" s="28"/>
      <c r="F193" s="27"/>
      <c r="G193" s="27"/>
      <c r="H193" s="59"/>
      <c r="I193" s="61"/>
      <c r="J193" s="61"/>
      <c r="K193" s="61"/>
      <c r="L193" s="27"/>
    </row>
    <row r="194" spans="1:12" ht="15.75" customHeight="1" x14ac:dyDescent="0.2">
      <c r="A194" s="27"/>
      <c r="B194" s="27"/>
      <c r="C194" s="27"/>
      <c r="D194" s="27"/>
      <c r="E194" s="27"/>
      <c r="F194" s="27"/>
      <c r="G194" s="27"/>
      <c r="H194" s="59"/>
      <c r="I194" s="61"/>
      <c r="J194" s="61"/>
      <c r="K194" s="61"/>
      <c r="L194" s="27"/>
    </row>
    <row r="195" spans="1:12" ht="15.7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</row>
    <row r="196" spans="1:12" ht="15.75" customHeight="1" x14ac:dyDescent="0.2">
      <c r="A196" s="27"/>
      <c r="B196" s="27"/>
      <c r="C196" s="27"/>
      <c r="D196" s="27"/>
      <c r="E196" s="27"/>
      <c r="F196" s="27"/>
      <c r="G196" s="27"/>
      <c r="H196" s="59"/>
      <c r="I196" s="61"/>
      <c r="J196" s="61"/>
      <c r="K196" s="61"/>
      <c r="L196" s="27"/>
    </row>
    <row r="197" spans="1:12" ht="15.75" customHeight="1" x14ac:dyDescent="0.2">
      <c r="H197" s="59"/>
      <c r="I197" s="61"/>
      <c r="J197" s="61"/>
      <c r="K197" s="61"/>
      <c r="L197" s="27"/>
    </row>
    <row r="198" spans="1:12" ht="15.75" customHeight="1" x14ac:dyDescent="0.2">
      <c r="H198" s="60"/>
      <c r="I198" s="62"/>
      <c r="J198" s="62"/>
      <c r="K198" s="62"/>
    </row>
    <row r="199" spans="1:12" ht="15.75" customHeight="1" x14ac:dyDescent="0.2">
      <c r="H199" s="60"/>
      <c r="I199" s="62"/>
      <c r="J199" s="62"/>
      <c r="K199" s="62"/>
    </row>
    <row r="200" spans="1:12" ht="15.75" customHeight="1" x14ac:dyDescent="0.2"/>
    <row r="201" spans="1:12" ht="15.75" customHeight="1" x14ac:dyDescent="0.2"/>
    <row r="202" spans="1:12" ht="15.75" customHeight="1" x14ac:dyDescent="0.2"/>
    <row r="203" spans="1:12" ht="15.75" customHeight="1" x14ac:dyDescent="0.2"/>
    <row r="204" spans="1:12" ht="15.75" customHeight="1" x14ac:dyDescent="0.2"/>
    <row r="205" spans="1:12" ht="15.75" customHeight="1" x14ac:dyDescent="0.2"/>
    <row r="206" spans="1:12" ht="15.75" customHeight="1" x14ac:dyDescent="0.2"/>
    <row r="207" spans="1:12" ht="15.75" customHeight="1" x14ac:dyDescent="0.2"/>
    <row r="208" spans="1:12" ht="15.75" customHeight="1" x14ac:dyDescent="0.2"/>
    <row r="209" spans="8:9" ht="15.75" customHeight="1" x14ac:dyDescent="0.2"/>
    <row r="210" spans="8:9" ht="15.75" customHeight="1" x14ac:dyDescent="0.2">
      <c r="H210" s="64" t="s">
        <v>149</v>
      </c>
      <c r="I210" s="64" t="s">
        <v>150</v>
      </c>
    </row>
    <row r="211" spans="8:9" ht="15.75" customHeight="1" x14ac:dyDescent="0.2">
      <c r="H211" s="65">
        <f>C171/D171</f>
        <v>0.25641025641025639</v>
      </c>
      <c r="I211" s="65">
        <f>B171/D171</f>
        <v>0.74358974358974361</v>
      </c>
    </row>
    <row r="212" spans="8:9" ht="15.75" customHeight="1" x14ac:dyDescent="0.2">
      <c r="H212" s="65">
        <f>C168/D171</f>
        <v>0.17948717948717949</v>
      </c>
      <c r="I212" s="65">
        <f>B168/D171</f>
        <v>0.17948717948717949</v>
      </c>
    </row>
    <row r="213" spans="8:9" ht="15.75" customHeight="1" x14ac:dyDescent="0.2">
      <c r="H213" s="65">
        <f>C169/D171</f>
        <v>2.564102564102564E-2</v>
      </c>
      <c r="I213" s="65">
        <f>B169/D171</f>
        <v>0.38461538461538464</v>
      </c>
    </row>
    <row r="214" spans="8:9" ht="15.75" customHeight="1" x14ac:dyDescent="0.2">
      <c r="H214" s="65">
        <f>C170/D171</f>
        <v>5.128205128205128E-2</v>
      </c>
      <c r="I214" s="65">
        <f>B170/D171</f>
        <v>0.17948717948717949</v>
      </c>
    </row>
    <row r="215" spans="8:9" ht="15.75" customHeight="1" x14ac:dyDescent="0.2">
      <c r="H215" s="62"/>
    </row>
    <row r="216" spans="8:9" ht="15.75" customHeight="1" x14ac:dyDescent="0.2">
      <c r="H216" s="62"/>
    </row>
    <row r="217" spans="8:9" ht="15.75" customHeight="1" x14ac:dyDescent="0.2">
      <c r="H217" s="62"/>
    </row>
    <row r="218" spans="8:9" ht="15.75" customHeight="1" x14ac:dyDescent="0.2"/>
    <row r="219" spans="8:9" ht="15.75" customHeight="1" x14ac:dyDescent="0.2"/>
    <row r="220" spans="8:9" ht="15.75" customHeight="1" x14ac:dyDescent="0.2"/>
    <row r="221" spans="8:9" ht="15.75" customHeight="1" x14ac:dyDescent="0.2"/>
    <row r="222" spans="8:9" ht="15.75" customHeight="1" x14ac:dyDescent="0.2"/>
    <row r="223" spans="8:9" ht="15.75" customHeight="1" x14ac:dyDescent="0.2"/>
    <row r="224" spans="8:9" ht="15.75" customHeight="1" x14ac:dyDescent="0.2"/>
    <row r="225" spans="1:14" ht="15.75" customHeight="1" x14ac:dyDescent="0.2"/>
    <row r="226" spans="1:14" ht="15.75" customHeight="1" x14ac:dyDescent="0.2"/>
    <row r="227" spans="1:14" ht="15.75" customHeight="1" x14ac:dyDescent="0.2"/>
    <row r="228" spans="1:14" ht="15.75" customHeight="1" x14ac:dyDescent="0.2"/>
    <row r="229" spans="1:14" ht="15.75" customHeight="1" x14ac:dyDescent="0.2"/>
    <row r="230" spans="1:14" ht="15.75" customHeight="1" x14ac:dyDescent="0.2">
      <c r="A230" s="21" t="s">
        <v>75</v>
      </c>
      <c r="B230" s="21" t="s">
        <v>151</v>
      </c>
      <c r="C230" s="21" t="s">
        <v>152</v>
      </c>
      <c r="D230" s="21" t="s">
        <v>108</v>
      </c>
    </row>
    <row r="231" spans="1:14" ht="15.75" customHeight="1" x14ac:dyDescent="0.2">
      <c r="A231" s="21" t="s">
        <v>153</v>
      </c>
      <c r="B231" s="55">
        <v>67289</v>
      </c>
      <c r="C231" s="55">
        <v>7106</v>
      </c>
      <c r="D231" s="55">
        <f>SUM(B231:C231)</f>
        <v>74395</v>
      </c>
    </row>
    <row r="232" spans="1:14" ht="15.75" customHeight="1" x14ac:dyDescent="0.2">
      <c r="A232" s="21" t="s">
        <v>154</v>
      </c>
      <c r="B232" s="55">
        <v>21816</v>
      </c>
      <c r="C232" s="55">
        <v>8717</v>
      </c>
      <c r="D232" s="55">
        <f t="shared" ref="D232:D236" si="4">SUM(B232:C232)</f>
        <v>30533</v>
      </c>
    </row>
    <row r="233" spans="1:14" ht="15.75" customHeight="1" x14ac:dyDescent="0.2">
      <c r="A233" s="21" t="s">
        <v>155</v>
      </c>
      <c r="B233" s="55">
        <v>29890</v>
      </c>
      <c r="C233" s="55">
        <v>11193</v>
      </c>
      <c r="D233" s="55">
        <f t="shared" si="4"/>
        <v>41083</v>
      </c>
    </row>
    <row r="234" spans="1:14" ht="15.75" customHeight="1" x14ac:dyDescent="0.2">
      <c r="A234" s="21" t="s">
        <v>156</v>
      </c>
      <c r="B234" s="55">
        <v>31362</v>
      </c>
      <c r="C234" s="55">
        <v>8543</v>
      </c>
      <c r="D234" s="55">
        <f t="shared" si="4"/>
        <v>39905</v>
      </c>
    </row>
    <row r="235" spans="1:14" ht="15.75" customHeight="1" x14ac:dyDescent="0.2">
      <c r="A235" s="21" t="s">
        <v>157</v>
      </c>
      <c r="B235" s="55">
        <v>67855</v>
      </c>
      <c r="C235" s="55">
        <v>13982</v>
      </c>
      <c r="D235" s="55">
        <f t="shared" si="4"/>
        <v>81837</v>
      </c>
    </row>
    <row r="236" spans="1:14" ht="15.75" customHeight="1" x14ac:dyDescent="0.2">
      <c r="A236" s="21" t="s">
        <v>158</v>
      </c>
      <c r="B236" s="55">
        <v>38036</v>
      </c>
      <c r="C236" s="21">
        <v>759</v>
      </c>
      <c r="D236" s="55">
        <f t="shared" si="4"/>
        <v>38795</v>
      </c>
    </row>
    <row r="237" spans="1:14" ht="15.75" customHeight="1" x14ac:dyDescent="0.2">
      <c r="A237" s="21" t="s">
        <v>108</v>
      </c>
      <c r="B237" s="66">
        <f>SUM(B231:B236)</f>
        <v>256248</v>
      </c>
      <c r="C237" s="66">
        <f>SUM(C231:C236)</f>
        <v>50300</v>
      </c>
      <c r="D237" s="66">
        <f>SUM(D231:D236)</f>
        <v>306548</v>
      </c>
    </row>
    <row r="238" spans="1:14" ht="15.75" customHeight="1" x14ac:dyDescent="0.2"/>
    <row r="239" spans="1:14" ht="15.75" customHeight="1" x14ac:dyDescent="0.2">
      <c r="I239" s="22" t="s">
        <v>143</v>
      </c>
      <c r="J239" s="67">
        <f>C232/D237</f>
        <v>2.8436003497005362E-2</v>
      </c>
    </row>
    <row r="240" spans="1:14" ht="15.75" customHeight="1" x14ac:dyDescent="0.2">
      <c r="I240" s="22" t="s">
        <v>144</v>
      </c>
      <c r="J240" s="67">
        <f>K240+L240</f>
        <v>0.17053120555345327</v>
      </c>
      <c r="K240">
        <f>C233/D237</f>
        <v>3.6513042003209935E-2</v>
      </c>
      <c r="L240">
        <f>D233/D237</f>
        <v>0.13401816355024335</v>
      </c>
      <c r="M240">
        <f>C237/D237</f>
        <v>0.16408523298145805</v>
      </c>
      <c r="N240">
        <f>D233/C237</f>
        <v>0.8167594433399602</v>
      </c>
    </row>
    <row r="241" spans="9:10" ht="15.75" customHeight="1" x14ac:dyDescent="0.2">
      <c r="I241" s="22" t="s">
        <v>145</v>
      </c>
      <c r="J241" s="67">
        <f>B236/D236</f>
        <v>0.98043562314731281</v>
      </c>
    </row>
    <row r="242" spans="9:10" ht="15.75" customHeight="1" x14ac:dyDescent="0.2"/>
    <row r="243" spans="9:10" ht="15.75" customHeight="1" x14ac:dyDescent="0.2"/>
    <row r="244" spans="9:10" ht="15.75" customHeight="1" x14ac:dyDescent="0.2"/>
    <row r="245" spans="9:10" ht="15.75" customHeight="1" x14ac:dyDescent="0.2"/>
    <row r="246" spans="9:10" ht="15.75" customHeight="1" x14ac:dyDescent="0.2"/>
    <row r="247" spans="9:10" ht="15.75" customHeight="1" x14ac:dyDescent="0.2"/>
    <row r="248" spans="9:10" ht="15.75" customHeight="1" x14ac:dyDescent="0.2"/>
    <row r="249" spans="9:10" ht="15.75" customHeight="1" x14ac:dyDescent="0.2"/>
    <row r="250" spans="9:10" ht="15.75" customHeight="1" x14ac:dyDescent="0.2"/>
    <row r="251" spans="9:10" ht="15.75" customHeight="1" x14ac:dyDescent="0.2"/>
    <row r="252" spans="9:10" ht="15.75" customHeight="1" x14ac:dyDescent="0.2"/>
    <row r="253" spans="9:10" ht="15.75" customHeight="1" x14ac:dyDescent="0.2"/>
    <row r="254" spans="9:10" ht="15.75" customHeight="1" x14ac:dyDescent="0.2"/>
    <row r="255" spans="9:10" ht="15.75" customHeight="1" x14ac:dyDescent="0.2"/>
    <row r="256" spans="9:10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4EF6-892A-F84F-8FD1-A47C9BD9CBDB}">
  <dimension ref="A1:H118"/>
  <sheetViews>
    <sheetView workbookViewId="0">
      <selection activeCell="D22" sqref="D22"/>
    </sheetView>
  </sheetViews>
  <sheetFormatPr baseColWidth="10" defaultRowHeight="16" x14ac:dyDescent="0.2"/>
  <cols>
    <col min="1" max="3" width="25.1640625" style="75" customWidth="1"/>
    <col min="4" max="5" width="25.1640625" style="76" customWidth="1"/>
    <col min="6" max="7" width="25.1640625" style="75" customWidth="1"/>
    <col min="8" max="16384" width="10.83203125" style="75"/>
  </cols>
  <sheetData>
    <row r="1" spans="1:8" ht="25" x14ac:dyDescent="0.25">
      <c r="A1" s="155" t="s">
        <v>195</v>
      </c>
      <c r="B1" s="155"/>
      <c r="C1" s="155"/>
      <c r="D1" s="155"/>
      <c r="E1" s="155"/>
      <c r="F1" s="155"/>
      <c r="G1" s="155"/>
    </row>
    <row r="3" spans="1:8" x14ac:dyDescent="0.2">
      <c r="A3" s="77" t="s">
        <v>167</v>
      </c>
      <c r="B3" s="77" t="s">
        <v>172</v>
      </c>
      <c r="C3" s="109" t="s">
        <v>109</v>
      </c>
      <c r="D3" s="108" t="s">
        <v>35</v>
      </c>
      <c r="E3" s="108" t="s">
        <v>168</v>
      </c>
      <c r="F3" s="79"/>
      <c r="G3" s="80"/>
      <c r="H3" s="79"/>
    </row>
    <row r="4" spans="1:8" x14ac:dyDescent="0.2">
      <c r="A4" s="81">
        <v>1</v>
      </c>
      <c r="B4" s="78">
        <v>75</v>
      </c>
      <c r="C4" s="114">
        <f>B4/$B$9</f>
        <v>0.75</v>
      </c>
      <c r="D4" s="125">
        <f>A4*C4</f>
        <v>0.75</v>
      </c>
      <c r="E4" s="125">
        <f>((A4-$D$9)^2)*C4</f>
        <v>3.2448000000000006</v>
      </c>
      <c r="F4" s="79"/>
      <c r="G4" s="80"/>
      <c r="H4" s="79"/>
    </row>
    <row r="5" spans="1:8" x14ac:dyDescent="0.2">
      <c r="A5" s="81">
        <v>2</v>
      </c>
      <c r="B5" s="78">
        <v>13</v>
      </c>
      <c r="C5" s="114">
        <f t="shared" ref="C5:C8" si="0">B5/$B$9</f>
        <v>0.13</v>
      </c>
      <c r="D5" s="125">
        <f t="shared" ref="D5:D8" si="1">A5*C5</f>
        <v>0.26</v>
      </c>
      <c r="E5" s="125">
        <f t="shared" ref="E5:E8" si="2">((A5-$D$9)^2)*C5</f>
        <v>0.15163200000000002</v>
      </c>
      <c r="F5" s="79"/>
      <c r="G5" s="79"/>
      <c r="H5" s="79"/>
    </row>
    <row r="6" spans="1:8" x14ac:dyDescent="0.2">
      <c r="A6" s="81">
        <v>3</v>
      </c>
      <c r="B6" s="78">
        <v>18</v>
      </c>
      <c r="C6" s="114">
        <f t="shared" si="0"/>
        <v>0.18</v>
      </c>
      <c r="D6" s="125">
        <f t="shared" si="1"/>
        <v>0.54</v>
      </c>
      <c r="E6" s="125">
        <f t="shared" si="2"/>
        <v>1.152000000000002E-3</v>
      </c>
      <c r="F6" s="79"/>
      <c r="G6" s="79"/>
      <c r="H6" s="79"/>
    </row>
    <row r="7" spans="1:8" x14ac:dyDescent="0.2">
      <c r="A7" s="81">
        <v>4</v>
      </c>
      <c r="B7" s="78">
        <v>17</v>
      </c>
      <c r="C7" s="114">
        <f t="shared" si="0"/>
        <v>0.17</v>
      </c>
      <c r="D7" s="125">
        <f t="shared" si="1"/>
        <v>0.68</v>
      </c>
      <c r="E7" s="125">
        <f t="shared" si="2"/>
        <v>0.14388799999999999</v>
      </c>
      <c r="F7" s="79"/>
      <c r="G7" s="82"/>
      <c r="H7" s="79"/>
    </row>
    <row r="8" spans="1:8" x14ac:dyDescent="0.2">
      <c r="A8" s="81">
        <v>5</v>
      </c>
      <c r="B8" s="78">
        <v>17</v>
      </c>
      <c r="C8" s="114">
        <f t="shared" si="0"/>
        <v>0.17</v>
      </c>
      <c r="D8" s="125">
        <f t="shared" si="1"/>
        <v>0.85000000000000009</v>
      </c>
      <c r="E8" s="125">
        <f t="shared" si="2"/>
        <v>0.62668800000000002</v>
      </c>
      <c r="F8" s="79"/>
      <c r="G8" s="82"/>
      <c r="H8" s="79"/>
    </row>
    <row r="9" spans="1:8" x14ac:dyDescent="0.2">
      <c r="B9" s="85">
        <v>100</v>
      </c>
      <c r="C9" s="123">
        <f t="shared" ref="C9" si="3">SUM(C4:C8)</f>
        <v>1.4</v>
      </c>
      <c r="D9" s="125">
        <f>SUM(D4:D8)</f>
        <v>3.08</v>
      </c>
      <c r="E9" s="125">
        <f>SQRT(SUM(E4:E8))</f>
        <v>2.0416072100186167</v>
      </c>
      <c r="F9" s="79"/>
      <c r="G9" s="82"/>
      <c r="H9" s="79"/>
    </row>
    <row r="10" spans="1:8" x14ac:dyDescent="0.2">
      <c r="B10" s="93"/>
      <c r="C10" s="93"/>
      <c r="D10" s="94"/>
      <c r="E10" s="94"/>
      <c r="F10" s="79"/>
      <c r="G10" s="82"/>
      <c r="H10" s="79"/>
    </row>
    <row r="11" spans="1:8" x14ac:dyDescent="0.2">
      <c r="B11" s="93"/>
      <c r="C11" s="93"/>
      <c r="D11" s="94"/>
      <c r="E11" s="94"/>
      <c r="F11" s="79"/>
      <c r="G11" s="82"/>
      <c r="H11" s="79"/>
    </row>
    <row r="12" spans="1:8" x14ac:dyDescent="0.2">
      <c r="B12" s="93"/>
      <c r="C12" s="93"/>
      <c r="D12" s="94"/>
      <c r="E12" s="94"/>
      <c r="F12" s="79"/>
      <c r="G12" s="82"/>
      <c r="H12" s="79"/>
    </row>
    <row r="13" spans="1:8" x14ac:dyDescent="0.2">
      <c r="B13" s="93"/>
      <c r="C13" s="93"/>
      <c r="D13" s="94"/>
      <c r="E13" s="94"/>
      <c r="F13" s="79"/>
      <c r="G13" s="82"/>
      <c r="H13" s="79"/>
    </row>
    <row r="14" spans="1:8" ht="25" x14ac:dyDescent="0.25">
      <c r="A14" s="155" t="s">
        <v>194</v>
      </c>
      <c r="B14" s="155"/>
      <c r="C14" s="155"/>
      <c r="D14" s="155"/>
      <c r="E14" s="155"/>
      <c r="F14" s="155"/>
      <c r="G14" s="155"/>
      <c r="H14" s="79"/>
    </row>
    <row r="15" spans="1:8" x14ac:dyDescent="0.2">
      <c r="B15" s="93"/>
      <c r="C15" s="93"/>
      <c r="D15" s="94"/>
      <c r="E15" s="94"/>
      <c r="F15" s="79"/>
      <c r="G15" s="82"/>
      <c r="H15" s="79"/>
    </row>
    <row r="16" spans="1:8" x14ac:dyDescent="0.2">
      <c r="A16" s="83" t="s">
        <v>191</v>
      </c>
      <c r="B16" s="83">
        <v>20</v>
      </c>
      <c r="C16" s="93"/>
      <c r="D16" s="94"/>
      <c r="E16" s="94"/>
      <c r="F16" s="79"/>
      <c r="G16" s="82"/>
      <c r="H16" s="79"/>
    </row>
    <row r="17" spans="1:8" x14ac:dyDescent="0.2">
      <c r="A17" s="83" t="s">
        <v>192</v>
      </c>
      <c r="B17" s="95">
        <v>42</v>
      </c>
      <c r="C17" s="93"/>
      <c r="D17" s="94"/>
      <c r="E17" s="94"/>
      <c r="F17" s="79"/>
      <c r="G17" s="82"/>
      <c r="H17" s="79"/>
    </row>
    <row r="18" spans="1:8" x14ac:dyDescent="0.2">
      <c r="A18" s="83" t="s">
        <v>202</v>
      </c>
      <c r="B18" s="88">
        <f>1/(B17-B16)</f>
        <v>4.5454545454545456E-2</v>
      </c>
      <c r="C18" s="93"/>
      <c r="D18" s="94"/>
      <c r="E18" s="94"/>
      <c r="F18" s="79"/>
      <c r="G18" s="82"/>
      <c r="H18" s="79"/>
    </row>
    <row r="19" spans="1:8" x14ac:dyDescent="0.2">
      <c r="A19" s="83" t="s">
        <v>74</v>
      </c>
      <c r="B19" s="86">
        <f>(B17+B16)/2</f>
        <v>31</v>
      </c>
      <c r="C19" s="93"/>
      <c r="D19" s="94"/>
      <c r="E19" s="94"/>
      <c r="F19" s="79"/>
      <c r="G19" s="82"/>
      <c r="H19" s="79"/>
    </row>
    <row r="20" spans="1:8" x14ac:dyDescent="0.2">
      <c r="A20" s="83" t="s">
        <v>170</v>
      </c>
      <c r="B20" s="86">
        <f>(B17-B16)/SQRT(12)</f>
        <v>6.3508529610858835</v>
      </c>
      <c r="C20" s="93"/>
      <c r="D20" s="94"/>
      <c r="E20" s="94"/>
      <c r="F20" s="79"/>
      <c r="G20" s="82"/>
      <c r="H20" s="79"/>
    </row>
    <row r="21" spans="1:8" x14ac:dyDescent="0.2">
      <c r="B21" s="93"/>
      <c r="C21" s="97" t="s">
        <v>205</v>
      </c>
      <c r="D21" s="94"/>
      <c r="E21" s="94"/>
      <c r="F21" s="79"/>
      <c r="G21" s="82"/>
      <c r="H21" s="79"/>
    </row>
    <row r="22" spans="1:8" x14ac:dyDescent="0.2">
      <c r="A22" s="109" t="s">
        <v>187</v>
      </c>
      <c r="B22" s="77" t="s">
        <v>182</v>
      </c>
      <c r="C22" s="109" t="s">
        <v>189</v>
      </c>
      <c r="D22" s="94"/>
      <c r="E22" s="124" t="s">
        <v>200</v>
      </c>
      <c r="F22" s="124" t="s">
        <v>203</v>
      </c>
      <c r="G22" s="82"/>
      <c r="H22" s="79"/>
    </row>
    <row r="23" spans="1:8" x14ac:dyDescent="0.2">
      <c r="A23" s="112" t="s">
        <v>184</v>
      </c>
      <c r="B23" s="83">
        <v>24</v>
      </c>
      <c r="C23" s="115">
        <f>$B$18*0</f>
        <v>0</v>
      </c>
      <c r="D23" s="94"/>
      <c r="E23" s="124">
        <v>70</v>
      </c>
      <c r="F23" s="113">
        <f>((E23/100)/B18) + B16</f>
        <v>35.4</v>
      </c>
      <c r="G23" s="82"/>
      <c r="H23" s="79"/>
    </row>
    <row r="24" spans="1:8" x14ac:dyDescent="0.2">
      <c r="A24" s="116" t="s">
        <v>185</v>
      </c>
      <c r="B24" s="83">
        <v>31</v>
      </c>
      <c r="C24" s="115">
        <f>$B$18*(B24-B16)</f>
        <v>0.5</v>
      </c>
      <c r="F24" s="79"/>
      <c r="G24" s="82"/>
      <c r="H24" s="79"/>
    </row>
    <row r="25" spans="1:8" x14ac:dyDescent="0.2">
      <c r="A25" s="112" t="s">
        <v>186</v>
      </c>
      <c r="B25" s="83">
        <v>28</v>
      </c>
      <c r="C25" s="115">
        <f>$B$18*($B$17-B25)</f>
        <v>0.63636363636363635</v>
      </c>
      <c r="F25" s="79"/>
      <c r="G25" s="82"/>
      <c r="H25" s="79"/>
    </row>
    <row r="26" spans="1:8" x14ac:dyDescent="0.2">
      <c r="A26" s="151" t="s">
        <v>201</v>
      </c>
      <c r="B26" s="83">
        <v>29</v>
      </c>
      <c r="C26" s="153">
        <f>$B$18*($B$17-B26) - $B$18*($B$17-B27)</f>
        <v>0.36363636363636365</v>
      </c>
      <c r="F26" s="79"/>
      <c r="G26" s="82"/>
      <c r="H26" s="79"/>
    </row>
    <row r="27" spans="1:8" x14ac:dyDescent="0.2">
      <c r="A27" s="152"/>
      <c r="B27" s="81">
        <v>37</v>
      </c>
      <c r="C27" s="154"/>
      <c r="F27" s="79"/>
      <c r="G27" s="82"/>
      <c r="H27" s="79"/>
    </row>
    <row r="28" spans="1:8" x14ac:dyDescent="0.2">
      <c r="F28" s="79"/>
      <c r="G28" s="82"/>
      <c r="H28" s="79"/>
    </row>
    <row r="29" spans="1:8" x14ac:dyDescent="0.2">
      <c r="F29" s="79"/>
      <c r="G29" s="82"/>
      <c r="H29" s="79"/>
    </row>
    <row r="30" spans="1:8" ht="25" x14ac:dyDescent="0.25">
      <c r="A30" s="150" t="s">
        <v>197</v>
      </c>
      <c r="B30" s="150"/>
      <c r="C30" s="150"/>
      <c r="D30" s="150"/>
      <c r="E30" s="150"/>
      <c r="F30" s="150"/>
      <c r="G30" s="150"/>
      <c r="H30" s="79"/>
    </row>
    <row r="31" spans="1:8" x14ac:dyDescent="0.2">
      <c r="F31" s="79"/>
      <c r="G31" s="82"/>
      <c r="H31" s="79"/>
    </row>
    <row r="32" spans="1:8" x14ac:dyDescent="0.2">
      <c r="A32" s="83" t="s">
        <v>74</v>
      </c>
      <c r="B32" s="84">
        <v>692</v>
      </c>
      <c r="F32" s="79"/>
      <c r="G32" s="82"/>
      <c r="H32" s="79"/>
    </row>
    <row r="33" spans="1:8" x14ac:dyDescent="0.2">
      <c r="A33" s="83" t="s">
        <v>170</v>
      </c>
      <c r="B33" s="84">
        <v>49</v>
      </c>
      <c r="C33" s="79"/>
      <c r="F33" s="79"/>
      <c r="G33" s="82"/>
      <c r="H33" s="79"/>
    </row>
    <row r="34" spans="1:8" x14ac:dyDescent="0.2">
      <c r="A34" s="83" t="s">
        <v>237</v>
      </c>
      <c r="B34" s="84">
        <v>1</v>
      </c>
      <c r="C34" s="79"/>
      <c r="F34" s="79"/>
      <c r="G34" s="82"/>
      <c r="H34" s="79"/>
    </row>
    <row r="35" spans="1:8" x14ac:dyDescent="0.2">
      <c r="A35" s="79"/>
      <c r="B35" s="79"/>
      <c r="C35" s="79"/>
      <c r="F35" s="79"/>
      <c r="G35" s="82"/>
      <c r="H35" s="79"/>
    </row>
    <row r="36" spans="1:8" x14ac:dyDescent="0.2">
      <c r="A36" s="109" t="s">
        <v>187</v>
      </c>
      <c r="B36" s="77" t="s">
        <v>182</v>
      </c>
      <c r="C36" s="109" t="s">
        <v>189</v>
      </c>
      <c r="E36" s="124" t="s">
        <v>200</v>
      </c>
      <c r="F36" s="124" t="s">
        <v>204</v>
      </c>
      <c r="G36" s="82"/>
      <c r="H36" s="79"/>
    </row>
    <row r="37" spans="1:8" x14ac:dyDescent="0.2">
      <c r="A37" s="112" t="s">
        <v>184</v>
      </c>
      <c r="B37" s="83">
        <v>170</v>
      </c>
      <c r="C37" s="115">
        <f>_xlfn.NORM.DIST(B37,$B$32,$B$33,FALSE)</f>
        <v>1.849993181041472E-27</v>
      </c>
      <c r="E37" s="124">
        <v>35</v>
      </c>
      <c r="F37" s="113">
        <f>_xlfn.NORM.INV(E37/100, B32, B33)</f>
        <v>673.11929714602923</v>
      </c>
      <c r="G37" s="82"/>
      <c r="H37" s="79"/>
    </row>
    <row r="38" spans="1:8" x14ac:dyDescent="0.2">
      <c r="A38" s="116" t="s">
        <v>185</v>
      </c>
      <c r="B38" s="83">
        <v>170</v>
      </c>
      <c r="C38" s="115">
        <f>_xlfn.NORM.DIST(B38,$B$32,$B$33,TRUE)</f>
        <v>8.4361799794053529E-27</v>
      </c>
      <c r="E38" s="123" t="s">
        <v>235</v>
      </c>
      <c r="F38" s="113">
        <f>B32 - (B34 * B33)</f>
        <v>643</v>
      </c>
      <c r="G38" s="82"/>
      <c r="H38" s="79"/>
    </row>
    <row r="39" spans="1:8" x14ac:dyDescent="0.2">
      <c r="A39" s="112" t="s">
        <v>186</v>
      </c>
      <c r="B39" s="83">
        <v>2300</v>
      </c>
      <c r="C39" s="115">
        <f>(1-_xlfn.NORM.DIST(B39,$B$32,$B$33,TRUE))</f>
        <v>0</v>
      </c>
      <c r="D39" s="91"/>
      <c r="E39" s="119" t="s">
        <v>236</v>
      </c>
      <c r="F39" s="113">
        <f>B32 + (B34 * B33)</f>
        <v>741</v>
      </c>
      <c r="G39" s="82"/>
      <c r="H39" s="79"/>
    </row>
    <row r="40" spans="1:8" x14ac:dyDescent="0.2">
      <c r="A40" s="151" t="s">
        <v>201</v>
      </c>
      <c r="B40" s="83">
        <v>3300</v>
      </c>
      <c r="C40" s="153">
        <f>_xlfn.NORM.DIST(B41,$B$32,$B$33,TRUE) - _xlfn.NORM.DIST(B40,$B$32,$B$33,TRUE)</f>
        <v>0</v>
      </c>
      <c r="F40" s="91"/>
      <c r="G40" s="82"/>
      <c r="H40" s="79"/>
    </row>
    <row r="41" spans="1:8" x14ac:dyDescent="0.2">
      <c r="A41" s="152"/>
      <c r="B41" s="81">
        <v>4200</v>
      </c>
      <c r="C41" s="154"/>
      <c r="F41" s="79"/>
      <c r="G41" s="79"/>
      <c r="H41" s="79"/>
    </row>
    <row r="42" spans="1:8" x14ac:dyDescent="0.2">
      <c r="A42" s="93"/>
      <c r="B42" s="79"/>
      <c r="C42" s="96"/>
      <c r="F42" s="79"/>
      <c r="G42" s="79"/>
      <c r="H42" s="79"/>
    </row>
    <row r="43" spans="1:8" x14ac:dyDescent="0.2">
      <c r="A43" s="93"/>
      <c r="B43" s="79"/>
      <c r="C43" s="96"/>
      <c r="F43" s="79"/>
      <c r="G43" s="79"/>
      <c r="H43" s="79"/>
    </row>
    <row r="44" spans="1:8" x14ac:dyDescent="0.2">
      <c r="F44" s="79"/>
      <c r="G44" s="79"/>
      <c r="H44" s="79"/>
    </row>
    <row r="46" spans="1:8" ht="25" x14ac:dyDescent="0.25">
      <c r="A46" s="150" t="s">
        <v>196</v>
      </c>
      <c r="B46" s="150"/>
      <c r="C46" s="150"/>
      <c r="D46" s="150"/>
      <c r="E46" s="150"/>
      <c r="F46" s="150"/>
      <c r="G46" s="150"/>
    </row>
    <row r="48" spans="1:8" x14ac:dyDescent="0.2">
      <c r="A48" s="83" t="s">
        <v>30</v>
      </c>
      <c r="B48" s="83">
        <v>7</v>
      </c>
    </row>
    <row r="49" spans="1:7" x14ac:dyDescent="0.2">
      <c r="A49" s="83" t="s">
        <v>169</v>
      </c>
      <c r="B49" s="83">
        <v>0.95</v>
      </c>
    </row>
    <row r="50" spans="1:7" x14ac:dyDescent="0.2">
      <c r="A50" s="83" t="s">
        <v>74</v>
      </c>
      <c r="B50" s="83">
        <f>B48*B49</f>
        <v>6.6499999999999995</v>
      </c>
    </row>
    <row r="51" spans="1:7" x14ac:dyDescent="0.2">
      <c r="A51" s="83" t="s">
        <v>171</v>
      </c>
      <c r="B51" s="83">
        <f>B48*(1-B49)*B49</f>
        <v>0.3325000000000003</v>
      </c>
    </row>
    <row r="52" spans="1:7" x14ac:dyDescent="0.2">
      <c r="A52" s="83" t="s">
        <v>170</v>
      </c>
      <c r="B52" s="84">
        <f>SQRT(B51)</f>
        <v>0.57662812973354005</v>
      </c>
    </row>
    <row r="54" spans="1:7" x14ac:dyDescent="0.2">
      <c r="A54" s="109" t="s">
        <v>187</v>
      </c>
      <c r="B54" s="77" t="s">
        <v>182</v>
      </c>
      <c r="C54" s="109" t="s">
        <v>183</v>
      </c>
    </row>
    <row r="55" spans="1:7" x14ac:dyDescent="0.2">
      <c r="A55" s="112" t="s">
        <v>184</v>
      </c>
      <c r="B55" s="83">
        <v>6</v>
      </c>
      <c r="C55" s="115">
        <f>_xlfn.BINOM.DIST(B55,$B$48,$B$49,FALSE)</f>
        <v>0.25728216171875024</v>
      </c>
    </row>
    <row r="56" spans="1:7" x14ac:dyDescent="0.2">
      <c r="A56" s="116" t="s">
        <v>185</v>
      </c>
      <c r="B56" s="83">
        <v>2</v>
      </c>
      <c r="C56" s="115">
        <f>_xlfn.BINOM.DIST(B56,$B$48,$B$49,TRUE)</f>
        <v>6.0273437500000207E-6</v>
      </c>
    </row>
    <row r="57" spans="1:7" x14ac:dyDescent="0.2">
      <c r="A57" s="112" t="s">
        <v>186</v>
      </c>
      <c r="B57" s="83">
        <v>6</v>
      </c>
      <c r="C57" s="115">
        <f>1 - _xlfn.BINOM.DIST(B57,$B$48,$B$49,TRUE)</f>
        <v>0.69833729609374973</v>
      </c>
    </row>
    <row r="58" spans="1:7" x14ac:dyDescent="0.2">
      <c r="A58" s="151" t="s">
        <v>201</v>
      </c>
      <c r="B58" s="83">
        <v>2</v>
      </c>
      <c r="C58" s="153">
        <f>_xlfn.BINOM.DIST(B59,$B$48,$B$49,TRUE) - _xlfn.BINOM.DIST(B58,$B$48,$B$49,TRUE)</f>
        <v>0.30165667656250023</v>
      </c>
    </row>
    <row r="59" spans="1:7" x14ac:dyDescent="0.2">
      <c r="A59" s="152"/>
      <c r="B59" s="81">
        <v>6</v>
      </c>
      <c r="C59" s="154"/>
    </row>
    <row r="60" spans="1:7" x14ac:dyDescent="0.2">
      <c r="A60" s="93"/>
      <c r="B60" s="79"/>
      <c r="C60" s="96"/>
    </row>
    <row r="61" spans="1:7" x14ac:dyDescent="0.2">
      <c r="A61" s="93"/>
      <c r="B61" s="79"/>
      <c r="C61" s="96"/>
    </row>
    <row r="62" spans="1:7" x14ac:dyDescent="0.2">
      <c r="A62" s="80"/>
      <c r="B62" s="80"/>
      <c r="C62" s="91"/>
    </row>
    <row r="64" spans="1:7" ht="25" x14ac:dyDescent="0.25">
      <c r="A64" s="150" t="s">
        <v>198</v>
      </c>
      <c r="B64" s="150"/>
      <c r="C64" s="150"/>
      <c r="D64" s="150"/>
      <c r="E64" s="150"/>
      <c r="F64" s="150"/>
      <c r="G64" s="150"/>
    </row>
    <row r="66" spans="1:7" x14ac:dyDescent="0.2">
      <c r="A66" s="83" t="s">
        <v>193</v>
      </c>
      <c r="B66" s="83">
        <v>14.5</v>
      </c>
    </row>
    <row r="67" spans="1:7" x14ac:dyDescent="0.2">
      <c r="A67" s="83" t="s">
        <v>170</v>
      </c>
      <c r="B67" s="87">
        <f>SQRT(B66)</f>
        <v>3.8078865529319543</v>
      </c>
    </row>
    <row r="69" spans="1:7" x14ac:dyDescent="0.2">
      <c r="A69" s="109" t="s">
        <v>187</v>
      </c>
      <c r="B69" s="77" t="s">
        <v>182</v>
      </c>
      <c r="C69" s="109" t="s">
        <v>188</v>
      </c>
    </row>
    <row r="70" spans="1:7" x14ac:dyDescent="0.2">
      <c r="A70" s="112" t="s">
        <v>184</v>
      </c>
      <c r="B70" s="83">
        <v>5</v>
      </c>
      <c r="C70" s="115">
        <f>_xlfn.POISSON.DIST(B70,$B$66,FALSE)</f>
        <v>2.6939453267530375E-3</v>
      </c>
    </row>
    <row r="71" spans="1:7" x14ac:dyDescent="0.2">
      <c r="A71" s="116" t="s">
        <v>185</v>
      </c>
      <c r="B71" s="83">
        <v>3</v>
      </c>
      <c r="C71" s="115">
        <f>_xlfn.POISSON.DIST(B71,$B$66,TRUE)</f>
        <v>3.1709808559658942E-4</v>
      </c>
    </row>
    <row r="72" spans="1:7" x14ac:dyDescent="0.2">
      <c r="A72" s="112" t="s">
        <v>186</v>
      </c>
      <c r="B72" s="83">
        <v>6</v>
      </c>
      <c r="C72" s="115">
        <f>(1 - _xlfn.POISSON.DIST(B72,$B$66,TRUE))</f>
        <v>0.9895496420502663</v>
      </c>
    </row>
    <row r="73" spans="1:7" x14ac:dyDescent="0.2">
      <c r="A73" s="151" t="s">
        <v>201</v>
      </c>
      <c r="B73" s="83">
        <v>2</v>
      </c>
      <c r="C73" s="153">
        <f>_xlfn.POISSON.DIST(B74,$B$66,TRUE) - _xlfn.POISSON.DIST(B73,$B$66,TRUE)</f>
        <v>3.8791531399499785E-3</v>
      </c>
    </row>
    <row r="74" spans="1:7" x14ac:dyDescent="0.2">
      <c r="A74" s="152"/>
      <c r="B74" s="81">
        <v>5</v>
      </c>
      <c r="C74" s="154"/>
    </row>
    <row r="75" spans="1:7" x14ac:dyDescent="0.2">
      <c r="A75" s="93"/>
      <c r="B75" s="79"/>
      <c r="C75" s="96"/>
    </row>
    <row r="76" spans="1:7" x14ac:dyDescent="0.2">
      <c r="A76" s="93"/>
      <c r="B76" s="79"/>
      <c r="C76" s="96"/>
    </row>
    <row r="77" spans="1:7" x14ac:dyDescent="0.2">
      <c r="A77" s="80"/>
      <c r="B77" s="80"/>
      <c r="C77" s="91"/>
    </row>
    <row r="78" spans="1:7" x14ac:dyDescent="0.2">
      <c r="A78" s="80"/>
      <c r="B78" s="80"/>
      <c r="C78" s="91"/>
    </row>
    <row r="79" spans="1:7" ht="25" x14ac:dyDescent="0.25">
      <c r="A79" s="150" t="s">
        <v>199</v>
      </c>
      <c r="B79" s="150"/>
      <c r="C79" s="150"/>
      <c r="D79" s="150"/>
      <c r="E79" s="150"/>
      <c r="F79" s="150"/>
      <c r="G79" s="150"/>
    </row>
    <row r="80" spans="1:7" x14ac:dyDescent="0.2">
      <c r="B80" s="80"/>
      <c r="C80" s="91"/>
    </row>
    <row r="81" spans="1:7" x14ac:dyDescent="0.2">
      <c r="A81" s="83" t="s">
        <v>74</v>
      </c>
      <c r="B81" s="84">
        <f>6/5</f>
        <v>1.2</v>
      </c>
      <c r="C81" s="91"/>
    </row>
    <row r="82" spans="1:7" x14ac:dyDescent="0.2">
      <c r="B82" s="80"/>
      <c r="C82" s="91"/>
    </row>
    <row r="83" spans="1:7" x14ac:dyDescent="0.2">
      <c r="A83" s="109" t="s">
        <v>187</v>
      </c>
      <c r="B83" s="77" t="s">
        <v>182</v>
      </c>
      <c r="C83" s="109" t="s">
        <v>190</v>
      </c>
    </row>
    <row r="84" spans="1:7" x14ac:dyDescent="0.2">
      <c r="A84" s="112" t="s">
        <v>184</v>
      </c>
      <c r="B84" s="84">
        <v>1</v>
      </c>
      <c r="C84" s="115">
        <f>_xlfn.EXPON.DIST(B84,$B$81,FALSE)</f>
        <v>0.36143305429464256</v>
      </c>
    </row>
    <row r="85" spans="1:7" x14ac:dyDescent="0.2">
      <c r="A85" s="116" t="s">
        <v>185</v>
      </c>
      <c r="B85" s="84">
        <f>2.2/6</f>
        <v>0.3666666666666667</v>
      </c>
      <c r="C85" s="115">
        <f>_xlfn.EXPON.DIST(B85,$B$81,TRUE)</f>
        <v>0.35596357891685859</v>
      </c>
      <c r="E85" s="92"/>
    </row>
    <row r="86" spans="1:7" x14ac:dyDescent="0.2">
      <c r="A86" s="112" t="s">
        <v>186</v>
      </c>
      <c r="B86" s="84">
        <f>2.7/6</f>
        <v>0.45</v>
      </c>
      <c r="C86" s="115">
        <f>1 - _xlfn.EXPON.DIST(B86,$B$81,TRUE)</f>
        <v>0.58274825237398964</v>
      </c>
    </row>
    <row r="87" spans="1:7" x14ac:dyDescent="0.2">
      <c r="A87" s="151" t="s">
        <v>201</v>
      </c>
      <c r="B87" s="84">
        <f>2.1/6</f>
        <v>0.35000000000000003</v>
      </c>
      <c r="C87" s="153">
        <f>_xlfn.EXPON.DIST(B88,$B$81,TRUE) - _xlfn.EXPON.DIST(B87,$B$81,TRUE)</f>
        <v>0.25047716007445753</v>
      </c>
    </row>
    <row r="88" spans="1:7" x14ac:dyDescent="0.2">
      <c r="A88" s="152"/>
      <c r="B88" s="81">
        <f>4.5/6</f>
        <v>0.75</v>
      </c>
      <c r="C88" s="154"/>
    </row>
    <row r="89" spans="1:7" x14ac:dyDescent="0.2">
      <c r="A89" s="93"/>
      <c r="B89" s="79"/>
      <c r="C89" s="96"/>
    </row>
    <row r="90" spans="1:7" x14ac:dyDescent="0.2">
      <c r="A90" s="93"/>
      <c r="B90" s="79"/>
      <c r="C90" s="96"/>
    </row>
    <row r="91" spans="1:7" x14ac:dyDescent="0.2">
      <c r="A91" s="93"/>
      <c r="B91" s="79"/>
      <c r="C91" s="96"/>
    </row>
    <row r="92" spans="1:7" x14ac:dyDescent="0.2">
      <c r="A92" s="80"/>
      <c r="B92" s="80"/>
      <c r="C92" s="91"/>
    </row>
    <row r="93" spans="1:7" ht="25" x14ac:dyDescent="0.25">
      <c r="A93" s="150" t="s">
        <v>181</v>
      </c>
      <c r="B93" s="150"/>
      <c r="C93" s="150"/>
      <c r="D93" s="150"/>
      <c r="E93" s="150"/>
      <c r="F93" s="150"/>
      <c r="G93" s="150"/>
    </row>
    <row r="94" spans="1:7" x14ac:dyDescent="0.2">
      <c r="D94" s="75"/>
      <c r="E94" s="75"/>
    </row>
    <row r="95" spans="1:7" x14ac:dyDescent="0.2">
      <c r="A95" s="75" t="s">
        <v>175</v>
      </c>
    </row>
    <row r="96" spans="1:7" x14ac:dyDescent="0.2">
      <c r="A96" s="79" t="s">
        <v>174</v>
      </c>
      <c r="B96" s="79"/>
      <c r="C96" s="79"/>
      <c r="D96" s="89"/>
      <c r="E96" s="89"/>
      <c r="F96" s="79"/>
    </row>
    <row r="97" spans="1:7" x14ac:dyDescent="0.2">
      <c r="A97" s="75" t="s">
        <v>173</v>
      </c>
      <c r="B97" s="79"/>
      <c r="C97" s="79"/>
      <c r="D97" s="89"/>
      <c r="E97" s="89"/>
      <c r="F97" s="79"/>
    </row>
    <row r="98" spans="1:7" x14ac:dyDescent="0.2">
      <c r="B98" s="79"/>
      <c r="C98" s="79"/>
      <c r="D98" s="89"/>
      <c r="E98" s="89"/>
      <c r="F98" s="79"/>
    </row>
    <row r="99" spans="1:7" x14ac:dyDescent="0.2">
      <c r="A99" s="78" t="s">
        <v>206</v>
      </c>
      <c r="B99" s="78" t="s">
        <v>176</v>
      </c>
      <c r="C99" s="108" t="s">
        <v>109</v>
      </c>
      <c r="D99" s="108" t="s">
        <v>181</v>
      </c>
      <c r="E99" s="89"/>
      <c r="F99" s="79"/>
    </row>
    <row r="100" spans="1:7" x14ac:dyDescent="0.2">
      <c r="A100" s="83" t="s">
        <v>178</v>
      </c>
      <c r="B100" s="81">
        <v>7000</v>
      </c>
      <c r="C100" s="113">
        <v>0.3</v>
      </c>
      <c r="D100" s="108">
        <f>B100*C100</f>
        <v>2100</v>
      </c>
    </row>
    <row r="101" spans="1:7" x14ac:dyDescent="0.2">
      <c r="A101" s="83" t="s">
        <v>179</v>
      </c>
      <c r="B101" s="81">
        <v>19000</v>
      </c>
      <c r="C101" s="113">
        <v>0.45</v>
      </c>
      <c r="D101" s="108">
        <f t="shared" ref="D101:D102" si="4">B101*C101</f>
        <v>8550</v>
      </c>
      <c r="E101" s="89"/>
      <c r="F101" s="79"/>
    </row>
    <row r="102" spans="1:7" x14ac:dyDescent="0.2">
      <c r="A102" s="83" t="s">
        <v>180</v>
      </c>
      <c r="B102" s="81">
        <v>37000</v>
      </c>
      <c r="C102" s="113">
        <v>0.25</v>
      </c>
      <c r="D102" s="108">
        <f t="shared" si="4"/>
        <v>9250</v>
      </c>
      <c r="E102" s="89"/>
      <c r="F102" s="79"/>
    </row>
    <row r="103" spans="1:7" x14ac:dyDescent="0.2">
      <c r="A103" s="79"/>
      <c r="B103" s="79"/>
      <c r="C103" s="79"/>
      <c r="D103" s="108">
        <f>SUM(D100:D102)</f>
        <v>19900</v>
      </c>
      <c r="E103" s="89"/>
      <c r="F103" s="79"/>
    </row>
    <row r="104" spans="1:7" x14ac:dyDescent="0.2">
      <c r="A104" s="79"/>
      <c r="B104" s="79"/>
      <c r="C104" s="79"/>
      <c r="D104" s="89"/>
      <c r="E104" s="89"/>
      <c r="F104" s="79"/>
    </row>
    <row r="105" spans="1:7" x14ac:dyDescent="0.2">
      <c r="A105" s="79" t="s">
        <v>207</v>
      </c>
      <c r="B105" s="79"/>
      <c r="C105" s="79"/>
      <c r="D105" s="79"/>
      <c r="E105" s="79"/>
      <c r="F105" s="79"/>
      <c r="G105" s="79"/>
    </row>
    <row r="106" spans="1:7" x14ac:dyDescent="0.2">
      <c r="A106" s="79" t="s">
        <v>208</v>
      </c>
      <c r="B106" s="79"/>
      <c r="C106" s="79"/>
      <c r="D106" s="79"/>
      <c r="E106" s="79"/>
      <c r="F106" s="79"/>
      <c r="G106" s="79"/>
    </row>
    <row r="107" spans="1:7" x14ac:dyDescent="0.2">
      <c r="A107" s="79" t="s">
        <v>209</v>
      </c>
      <c r="B107" s="79"/>
      <c r="C107" s="79"/>
      <c r="D107" s="79"/>
      <c r="E107" s="79"/>
      <c r="F107" s="79"/>
      <c r="G107" s="79"/>
    </row>
    <row r="108" spans="1:7" x14ac:dyDescent="0.2">
      <c r="A108" s="99"/>
      <c r="B108" s="79"/>
      <c r="C108" s="79"/>
      <c r="D108" s="79"/>
      <c r="E108" s="79"/>
      <c r="F108" s="79"/>
      <c r="G108" s="79"/>
    </row>
    <row r="109" spans="1:7" x14ac:dyDescent="0.2">
      <c r="A109" s="83" t="s">
        <v>210</v>
      </c>
      <c r="B109" s="98">
        <v>4</v>
      </c>
      <c r="C109" s="79"/>
      <c r="D109" s="79"/>
      <c r="E109" s="79"/>
      <c r="F109" s="79"/>
      <c r="G109" s="79"/>
    </row>
    <row r="110" spans="1:7" x14ac:dyDescent="0.2">
      <c r="A110" s="83" t="s">
        <v>211</v>
      </c>
      <c r="B110" s="98">
        <v>7</v>
      </c>
      <c r="C110" s="79"/>
      <c r="D110" s="79"/>
      <c r="E110" s="79"/>
      <c r="F110" s="79"/>
      <c r="G110" s="79"/>
    </row>
    <row r="111" spans="1:7" x14ac:dyDescent="0.2">
      <c r="A111" s="83" t="s">
        <v>213</v>
      </c>
      <c r="B111" s="81">
        <v>75</v>
      </c>
      <c r="C111" s="79"/>
      <c r="D111" s="79"/>
      <c r="E111" s="79"/>
      <c r="F111" s="79"/>
      <c r="G111" s="79"/>
    </row>
    <row r="112" spans="1:7" x14ac:dyDescent="0.2">
      <c r="A112" s="83" t="s">
        <v>212</v>
      </c>
      <c r="B112" s="98">
        <f>B111*B109</f>
        <v>300</v>
      </c>
      <c r="C112" s="79"/>
      <c r="D112" s="79"/>
      <c r="E112" s="79"/>
      <c r="F112" s="79"/>
      <c r="G112" s="79"/>
    </row>
    <row r="114" spans="1:4" x14ac:dyDescent="0.2">
      <c r="A114" s="78" t="s">
        <v>206</v>
      </c>
      <c r="B114" s="78" t="s">
        <v>177</v>
      </c>
      <c r="C114" s="108" t="s">
        <v>109</v>
      </c>
      <c r="D114" s="108" t="s">
        <v>181</v>
      </c>
    </row>
    <row r="115" spans="1:4" x14ac:dyDescent="0.2">
      <c r="A115" s="83" t="s">
        <v>178</v>
      </c>
      <c r="B115" s="81">
        <v>25</v>
      </c>
      <c r="C115" s="113">
        <v>0.35</v>
      </c>
      <c r="D115" s="126">
        <f>C115*($B$110*MIN($B$111, B115) - $B$112)</f>
        <v>-43.75</v>
      </c>
    </row>
    <row r="116" spans="1:4" x14ac:dyDescent="0.2">
      <c r="A116" s="83" t="s">
        <v>179</v>
      </c>
      <c r="B116" s="81">
        <v>50</v>
      </c>
      <c r="C116" s="113">
        <v>0.2</v>
      </c>
      <c r="D116" s="126">
        <f t="shared" ref="D116:D117" si="5">C116*($B$110*MIN($B$111, B116) - $B$112)</f>
        <v>10</v>
      </c>
    </row>
    <row r="117" spans="1:4" x14ac:dyDescent="0.2">
      <c r="A117" s="83" t="s">
        <v>180</v>
      </c>
      <c r="B117" s="81">
        <v>75</v>
      </c>
      <c r="C117" s="113">
        <v>0.45</v>
      </c>
      <c r="D117" s="126">
        <f t="shared" si="5"/>
        <v>101.25</v>
      </c>
    </row>
    <row r="118" spans="1:4" x14ac:dyDescent="0.2">
      <c r="A118" s="79"/>
      <c r="B118" s="79"/>
      <c r="C118" s="79"/>
      <c r="D118" s="127">
        <f>SUM(D115:D117)</f>
        <v>67.5</v>
      </c>
    </row>
  </sheetData>
  <mergeCells count="17">
    <mergeCell ref="A1:G1"/>
    <mergeCell ref="A14:G14"/>
    <mergeCell ref="A30:G30"/>
    <mergeCell ref="A46:G46"/>
    <mergeCell ref="A64:G64"/>
    <mergeCell ref="A26:A27"/>
    <mergeCell ref="C26:C27"/>
    <mergeCell ref="A93:G93"/>
    <mergeCell ref="A40:A41"/>
    <mergeCell ref="C40:C41"/>
    <mergeCell ref="A58:A59"/>
    <mergeCell ref="C58:C59"/>
    <mergeCell ref="A73:A74"/>
    <mergeCell ref="C73:C74"/>
    <mergeCell ref="A87:A88"/>
    <mergeCell ref="C87:C88"/>
    <mergeCell ref="A79:G79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9595A-CDC1-E441-A6DF-F172F4F13CC6}">
  <dimension ref="A1:G61"/>
  <sheetViews>
    <sheetView workbookViewId="0">
      <selection activeCell="G59" sqref="G59"/>
    </sheetView>
  </sheetViews>
  <sheetFormatPr baseColWidth="10" defaultRowHeight="16" x14ac:dyDescent="0.2"/>
  <cols>
    <col min="1" max="1" width="21" style="76" customWidth="1"/>
    <col min="2" max="7" width="21" style="75" customWidth="1"/>
    <col min="8" max="16384" width="10.83203125" style="75"/>
  </cols>
  <sheetData>
    <row r="1" spans="1:7" ht="25" x14ac:dyDescent="0.25">
      <c r="A1" s="150" t="s">
        <v>214</v>
      </c>
      <c r="B1" s="155"/>
      <c r="C1" s="155"/>
      <c r="D1" s="155"/>
      <c r="E1" s="155"/>
      <c r="F1" s="155"/>
      <c r="G1" s="155"/>
    </row>
    <row r="3" spans="1:7" x14ac:dyDescent="0.2">
      <c r="A3" s="76" t="s">
        <v>27</v>
      </c>
      <c r="B3" s="107" t="s">
        <v>238</v>
      </c>
      <c r="C3" s="83" t="s">
        <v>74</v>
      </c>
      <c r="D3" s="102">
        <f>AVERAGE(A4:A23)</f>
        <v>34.6</v>
      </c>
    </row>
    <row r="4" spans="1:7" x14ac:dyDescent="0.2">
      <c r="A4" s="103">
        <v>25</v>
      </c>
      <c r="B4" s="107" cm="1">
        <f t="array" ref="B4:B23">_xlfn._xlws.SORT(A4:A23)</f>
        <v>5</v>
      </c>
      <c r="C4" s="107"/>
    </row>
    <row r="5" spans="1:7" x14ac:dyDescent="0.2">
      <c r="A5" s="103">
        <v>20</v>
      </c>
      <c r="B5" s="107">
        <v>10</v>
      </c>
      <c r="C5" s="108" t="s">
        <v>217</v>
      </c>
      <c r="D5" s="109" t="s">
        <v>233</v>
      </c>
      <c r="E5" s="108" t="s">
        <v>216</v>
      </c>
    </row>
    <row r="6" spans="1:7" x14ac:dyDescent="0.2">
      <c r="A6" s="103">
        <v>5</v>
      </c>
      <c r="B6" s="107">
        <v>15</v>
      </c>
      <c r="C6" s="108">
        <v>5</v>
      </c>
      <c r="D6" s="110">
        <f>AVERAGE(A4:A8)</f>
        <v>20</v>
      </c>
      <c r="E6" s="111">
        <f>D6-$D$3</f>
        <v>-14.600000000000001</v>
      </c>
      <c r="F6" s="104"/>
    </row>
    <row r="7" spans="1:7" x14ac:dyDescent="0.2">
      <c r="A7" s="103">
        <v>17</v>
      </c>
      <c r="B7" s="107">
        <v>17</v>
      </c>
      <c r="C7" s="109">
        <v>10</v>
      </c>
      <c r="D7" s="110">
        <f>AVERAGE(A4:A13)</f>
        <v>28.8</v>
      </c>
      <c r="E7" s="111">
        <f>D7-$D$3</f>
        <v>-5.8000000000000007</v>
      </c>
    </row>
    <row r="8" spans="1:7" x14ac:dyDescent="0.2">
      <c r="A8" s="103">
        <v>33</v>
      </c>
      <c r="B8" s="107">
        <v>20</v>
      </c>
    </row>
    <row r="9" spans="1:7" x14ac:dyDescent="0.2">
      <c r="A9" s="103">
        <v>20</v>
      </c>
      <c r="B9" s="107">
        <v>20</v>
      </c>
      <c r="C9" s="108" t="s">
        <v>217</v>
      </c>
      <c r="D9" s="109" t="s">
        <v>233</v>
      </c>
      <c r="E9" s="108" t="s">
        <v>216</v>
      </c>
    </row>
    <row r="10" spans="1:7" x14ac:dyDescent="0.2">
      <c r="A10" s="103">
        <v>41</v>
      </c>
      <c r="B10" s="107">
        <v>20</v>
      </c>
      <c r="C10" s="108" t="s">
        <v>240</v>
      </c>
      <c r="D10" s="110">
        <f>AVERAGE(B4:B8)</f>
        <v>13.4</v>
      </c>
      <c r="E10" s="111">
        <f>D10-$D$3</f>
        <v>-21.200000000000003</v>
      </c>
    </row>
    <row r="11" spans="1:7" x14ac:dyDescent="0.2">
      <c r="A11" s="103">
        <v>53</v>
      </c>
      <c r="B11" s="107">
        <v>24</v>
      </c>
      <c r="C11" s="109" t="s">
        <v>241</v>
      </c>
      <c r="D11" s="110">
        <f>AVERAGE(B19:B23)</f>
        <v>58.8</v>
      </c>
      <c r="E11" s="111">
        <f>D11-$D$3</f>
        <v>24.199999999999996</v>
      </c>
    </row>
    <row r="12" spans="1:7" x14ac:dyDescent="0.2">
      <c r="A12" s="103">
        <v>50</v>
      </c>
      <c r="B12" s="107">
        <v>25</v>
      </c>
      <c r="D12" s="112" t="s">
        <v>239</v>
      </c>
      <c r="E12" s="113">
        <f>MAX(ABS(E10), ABS(E11))</f>
        <v>24.199999999999996</v>
      </c>
    </row>
    <row r="13" spans="1:7" x14ac:dyDescent="0.2">
      <c r="A13" s="103">
        <v>24</v>
      </c>
      <c r="B13" s="107">
        <v>33</v>
      </c>
    </row>
    <row r="14" spans="1:7" x14ac:dyDescent="0.2">
      <c r="A14" s="103">
        <v>41</v>
      </c>
      <c r="B14" s="107">
        <v>36</v>
      </c>
    </row>
    <row r="15" spans="1:7" x14ac:dyDescent="0.2">
      <c r="A15" s="103">
        <v>52</v>
      </c>
      <c r="B15" s="107">
        <v>41</v>
      </c>
    </row>
    <row r="16" spans="1:7" x14ac:dyDescent="0.2">
      <c r="A16" s="103">
        <v>47</v>
      </c>
      <c r="B16" s="107">
        <v>41</v>
      </c>
    </row>
    <row r="17" spans="1:7" x14ac:dyDescent="0.2">
      <c r="A17" s="103">
        <v>15</v>
      </c>
      <c r="B17" s="107">
        <v>44</v>
      </c>
    </row>
    <row r="18" spans="1:7" x14ac:dyDescent="0.2">
      <c r="A18" s="103">
        <v>44</v>
      </c>
      <c r="B18" s="107">
        <v>47</v>
      </c>
    </row>
    <row r="19" spans="1:7" x14ac:dyDescent="0.2">
      <c r="A19" s="105">
        <v>10</v>
      </c>
      <c r="B19" s="107">
        <v>50</v>
      </c>
    </row>
    <row r="20" spans="1:7" x14ac:dyDescent="0.2">
      <c r="A20" s="76">
        <v>36</v>
      </c>
      <c r="B20" s="107">
        <v>52</v>
      </c>
    </row>
    <row r="21" spans="1:7" x14ac:dyDescent="0.2">
      <c r="A21" s="76">
        <v>60</v>
      </c>
      <c r="B21" s="107">
        <v>53</v>
      </c>
    </row>
    <row r="22" spans="1:7" x14ac:dyDescent="0.2">
      <c r="A22" s="76">
        <v>20</v>
      </c>
      <c r="B22" s="107">
        <v>60</v>
      </c>
    </row>
    <row r="23" spans="1:7" x14ac:dyDescent="0.2">
      <c r="A23" s="76">
        <v>79</v>
      </c>
      <c r="B23" s="107">
        <v>79</v>
      </c>
    </row>
    <row r="24" spans="1:7" x14ac:dyDescent="0.2">
      <c r="B24" s="107"/>
    </row>
    <row r="25" spans="1:7" x14ac:dyDescent="0.2">
      <c r="B25" s="107"/>
    </row>
    <row r="26" spans="1:7" x14ac:dyDescent="0.2">
      <c r="B26" s="107"/>
    </row>
    <row r="27" spans="1:7" x14ac:dyDescent="0.2">
      <c r="B27" s="107"/>
    </row>
    <row r="28" spans="1:7" ht="25" x14ac:dyDescent="0.25">
      <c r="A28" s="150" t="s">
        <v>242</v>
      </c>
      <c r="B28" s="150"/>
      <c r="C28" s="150"/>
      <c r="D28" s="150"/>
      <c r="E28" s="150"/>
      <c r="F28" s="150"/>
      <c r="G28" s="150"/>
    </row>
    <row r="29" spans="1:7" x14ac:dyDescent="0.2">
      <c r="D29" s="76"/>
      <c r="E29" s="76"/>
      <c r="F29" s="79"/>
      <c r="G29" s="82"/>
    </row>
    <row r="30" spans="1:7" x14ac:dyDescent="0.2">
      <c r="A30" s="83" t="s">
        <v>74</v>
      </c>
      <c r="B30" s="84">
        <v>13</v>
      </c>
      <c r="D30" s="76"/>
      <c r="G30" s="82"/>
    </row>
    <row r="31" spans="1:7" x14ac:dyDescent="0.2">
      <c r="A31" s="83" t="s">
        <v>233</v>
      </c>
      <c r="B31" s="84">
        <v>1</v>
      </c>
      <c r="D31" s="76"/>
      <c r="G31" s="82"/>
    </row>
    <row r="32" spans="1:7" x14ac:dyDescent="0.2">
      <c r="A32" s="83" t="s">
        <v>170</v>
      </c>
      <c r="B32" s="84">
        <v>5.6</v>
      </c>
      <c r="D32" s="76"/>
      <c r="G32" s="82"/>
    </row>
    <row r="33" spans="1:7" x14ac:dyDescent="0.2">
      <c r="A33" s="83" t="s">
        <v>243</v>
      </c>
      <c r="B33" s="84">
        <v>14.3</v>
      </c>
      <c r="D33" s="76"/>
      <c r="G33" s="82"/>
    </row>
    <row r="34" spans="1:7" x14ac:dyDescent="0.2">
      <c r="A34" s="83" t="s">
        <v>222</v>
      </c>
      <c r="B34" s="84">
        <v>0.5</v>
      </c>
      <c r="D34" s="76"/>
      <c r="E34" s="80"/>
      <c r="F34" s="90"/>
      <c r="G34" s="82"/>
    </row>
    <row r="35" spans="1:7" x14ac:dyDescent="0.2">
      <c r="A35" s="83" t="s">
        <v>234</v>
      </c>
      <c r="B35" s="84">
        <v>1</v>
      </c>
      <c r="D35" s="76"/>
      <c r="E35" s="80"/>
      <c r="F35" s="90"/>
      <c r="G35" s="82"/>
    </row>
    <row r="36" spans="1:7" x14ac:dyDescent="0.2">
      <c r="A36" s="83" t="s">
        <v>215</v>
      </c>
      <c r="B36" s="84">
        <v>20</v>
      </c>
      <c r="D36" s="76"/>
      <c r="E36" s="76"/>
      <c r="F36" s="79"/>
      <c r="G36" s="82"/>
    </row>
    <row r="37" spans="1:7" x14ac:dyDescent="0.2">
      <c r="A37" s="83" t="s">
        <v>223</v>
      </c>
      <c r="B37" s="84">
        <v>100</v>
      </c>
      <c r="D37" s="76"/>
      <c r="E37" s="76"/>
      <c r="F37" s="79"/>
      <c r="G37" s="82"/>
    </row>
    <row r="38" spans="1:7" x14ac:dyDescent="0.2">
      <c r="A38" s="83" t="s">
        <v>228</v>
      </c>
      <c r="B38" s="100">
        <v>0.8</v>
      </c>
      <c r="D38" s="76"/>
      <c r="E38" s="101"/>
      <c r="F38" s="79"/>
      <c r="G38" s="82"/>
    </row>
    <row r="39" spans="1:7" x14ac:dyDescent="0.2">
      <c r="A39" s="79"/>
      <c r="B39" s="79"/>
      <c r="C39" s="79"/>
      <c r="D39" s="76"/>
      <c r="E39" s="79"/>
      <c r="F39" s="79"/>
      <c r="G39" s="82"/>
    </row>
    <row r="40" spans="1:7" x14ac:dyDescent="0.2">
      <c r="A40" s="112" t="s">
        <v>224</v>
      </c>
      <c r="B40" s="117">
        <f>B32/SQRT(B36)</f>
        <v>1.252198067399882</v>
      </c>
    </row>
    <row r="41" spans="1:7" x14ac:dyDescent="0.2">
      <c r="A41" s="112" t="s">
        <v>226</v>
      </c>
      <c r="B41" s="117">
        <f>SQRT(B34*(1-B34)/B36)</f>
        <v>0.11180339887498948</v>
      </c>
    </row>
    <row r="42" spans="1:7" ht="17" x14ac:dyDescent="0.2">
      <c r="A42" s="118" t="s">
        <v>227</v>
      </c>
      <c r="B42" s="119">
        <f>B41 *  SQRT((B37-B36)/(B37-1))</f>
        <v>0.1005037815259212</v>
      </c>
      <c r="G42" s="82"/>
    </row>
    <row r="43" spans="1:7" ht="17" x14ac:dyDescent="0.2">
      <c r="A43" s="118" t="s">
        <v>230</v>
      </c>
      <c r="B43" s="119">
        <f>(B31-B30)/(B32/SQRT(B36))</f>
        <v>-9.5831484749991009</v>
      </c>
      <c r="G43" s="82"/>
    </row>
    <row r="44" spans="1:7" x14ac:dyDescent="0.2">
      <c r="A44" s="112" t="s">
        <v>220</v>
      </c>
      <c r="B44" s="120">
        <f>(1-B38)/2</f>
        <v>9.9999999999999978E-2</v>
      </c>
      <c r="G44" s="82"/>
    </row>
    <row r="45" spans="1:7" x14ac:dyDescent="0.2">
      <c r="A45" s="112" t="s">
        <v>221</v>
      </c>
      <c r="B45" s="121">
        <f>B38+B44</f>
        <v>0.9</v>
      </c>
      <c r="G45" s="82"/>
    </row>
    <row r="46" spans="1:7" x14ac:dyDescent="0.2">
      <c r="G46" s="82"/>
    </row>
    <row r="47" spans="1:7" x14ac:dyDescent="0.2">
      <c r="G47" s="82"/>
    </row>
    <row r="48" spans="1:7" x14ac:dyDescent="0.2">
      <c r="A48" s="109"/>
      <c r="B48" s="77" t="s">
        <v>182</v>
      </c>
      <c r="C48" s="109" t="s">
        <v>231</v>
      </c>
      <c r="D48" s="109" t="s">
        <v>225</v>
      </c>
      <c r="E48" s="109" t="s">
        <v>232</v>
      </c>
      <c r="F48" s="106"/>
      <c r="G48" s="79"/>
    </row>
    <row r="49" spans="1:7" x14ac:dyDescent="0.2">
      <c r="A49" s="112" t="s">
        <v>184</v>
      </c>
      <c r="B49" s="128">
        <v>1</v>
      </c>
      <c r="C49" s="115">
        <f>_xlfn.NORM.DIST(B49, $B$30, $B$40,FALSE)</f>
        <v>3.6403528427324646E-21</v>
      </c>
      <c r="D49" s="115">
        <f>_xlfn.NORM.DIST(B49, $B$34, $B$41, FALSE)</f>
        <v>1.6199821912178208E-4</v>
      </c>
      <c r="E49" s="115">
        <f>_xlfn.NORM.DIST(B49/$B$36, $B$34, $B$42,FALSE)</f>
        <v>1.7598204095915145E-4</v>
      </c>
    </row>
    <row r="50" spans="1:7" x14ac:dyDescent="0.2">
      <c r="A50" s="116" t="s">
        <v>185</v>
      </c>
      <c r="B50" s="128">
        <v>1</v>
      </c>
      <c r="C50" s="115">
        <f>_xlfn.NORM.DIST(B50, $B$30, $B$40,TRUE)</f>
        <v>4.7065385071790097E-22</v>
      </c>
      <c r="D50" s="115">
        <f>_xlfn.NORM.DIST(B50, $B$34, $B$41, TRUE)</f>
        <v>0.99999612789178449</v>
      </c>
      <c r="E50" s="115">
        <f>_xlfn.NORM.DIST(B50/$B$36, $B$34, $B$42,TRUE)</f>
        <v>3.7771111457593937E-6</v>
      </c>
    </row>
    <row r="51" spans="1:7" x14ac:dyDescent="0.2">
      <c r="A51" s="112" t="s">
        <v>186</v>
      </c>
      <c r="B51" s="128">
        <v>1</v>
      </c>
      <c r="C51" s="115">
        <f>(1-_xlfn.NORM.DIST(B51, $B$30, $B$40,TRUE))</f>
        <v>1</v>
      </c>
      <c r="D51" s="115">
        <f>1 - _xlfn.NORM.DIST(B51, $B$34, $B$41, TRUE)</f>
        <v>3.8721082155079856E-6</v>
      </c>
      <c r="E51" s="115">
        <f>1 - _xlfn.NORM.DIST(B51/$B$36, $B$34, $B$42,TRUE)</f>
        <v>0.99999622288885426</v>
      </c>
    </row>
    <row r="52" spans="1:7" x14ac:dyDescent="0.2">
      <c r="A52" s="151" t="s">
        <v>201</v>
      </c>
      <c r="B52" s="128">
        <v>1</v>
      </c>
      <c r="C52" s="153">
        <f>_xlfn.NORM.DIST(B53, $B$30, $B$40,TRUE) - _xlfn.NORM.DIST(B52, $B$30, $B$40,TRUE)</f>
        <v>0</v>
      </c>
      <c r="D52" s="156">
        <f>_xlfn.NORM.DIST(B53, $B$34, $B$41, TRUE) - _xlfn.NORM.DIST(B52, $B$34, $B$41, TRUE)</f>
        <v>0</v>
      </c>
      <c r="E52" s="153">
        <f>_xlfn.NORM.DIST(B53/$B$36, $B$34, $B$42,TRUE) - _xlfn.NORM.DIST(B52/$B$36, $B$34, $B$42,TRUE)</f>
        <v>0</v>
      </c>
    </row>
    <row r="53" spans="1:7" x14ac:dyDescent="0.2">
      <c r="A53" s="152"/>
      <c r="B53" s="129">
        <v>1</v>
      </c>
      <c r="C53" s="154"/>
      <c r="D53" s="157"/>
      <c r="E53" s="154"/>
      <c r="G53" s="79"/>
    </row>
    <row r="54" spans="1:7" x14ac:dyDescent="0.2">
      <c r="G54" s="79"/>
    </row>
    <row r="55" spans="1:7" x14ac:dyDescent="0.2">
      <c r="A55" s="108"/>
      <c r="B55" s="109" t="s">
        <v>74</v>
      </c>
      <c r="C55" s="109" t="s">
        <v>244</v>
      </c>
      <c r="D55" s="122" t="s">
        <v>222</v>
      </c>
      <c r="G55" s="79"/>
    </row>
    <row r="56" spans="1:7" x14ac:dyDescent="0.2">
      <c r="A56" s="112" t="s">
        <v>218</v>
      </c>
      <c r="B56" s="115">
        <f>_xlfn.NORM.INV(B44, $B$30, $B$40)</f>
        <v>11.395243606351759</v>
      </c>
      <c r="C56" s="117">
        <f>B30-C58</f>
        <v>8.7544865406300012</v>
      </c>
      <c r="D56" s="119">
        <f>_xlfn.NORM.INV(B44, B34, B41)</f>
        <v>0.35671817913854981</v>
      </c>
      <c r="G56" s="79"/>
    </row>
    <row r="57" spans="1:7" x14ac:dyDescent="0.2">
      <c r="A57" s="112" t="s">
        <v>219</v>
      </c>
      <c r="B57" s="115">
        <f>_xlfn.NORM.INV(B45, $B$30, $B$40)</f>
        <v>14.604756393648241</v>
      </c>
      <c r="C57" s="117">
        <f>B30+C58</f>
        <v>17.245513459369999</v>
      </c>
      <c r="D57" s="117">
        <f>_xlfn.NORM.INV(B45, B34, B41)</f>
        <v>0.64328182086145014</v>
      </c>
      <c r="G57" s="79"/>
    </row>
    <row r="58" spans="1:7" x14ac:dyDescent="0.2">
      <c r="A58" s="123" t="s">
        <v>229</v>
      </c>
      <c r="B58" s="115">
        <f>_xlfn.CONFIDENCE.NORM(1-B38, B32, B36)</f>
        <v>1.6047563936482421</v>
      </c>
      <c r="C58" s="117">
        <f>_xlfn.CONFIDENCE.T(1-B38, B33, B36)</f>
        <v>4.2455134593699979</v>
      </c>
      <c r="D58" s="117">
        <f>_xlfn.CONFIDENCE.NORM(1-B38, B35, B36)</f>
        <v>0.28656364172290039</v>
      </c>
      <c r="G58" s="79"/>
    </row>
    <row r="59" spans="1:7" x14ac:dyDescent="0.2">
      <c r="C59" s="96"/>
      <c r="D59" s="76"/>
      <c r="G59" s="79"/>
    </row>
    <row r="60" spans="1:7" x14ac:dyDescent="0.2">
      <c r="D60" s="76"/>
      <c r="E60" s="76"/>
      <c r="F60" s="79"/>
      <c r="G60" s="79"/>
    </row>
    <row r="61" spans="1:7" x14ac:dyDescent="0.2">
      <c r="D61" s="76"/>
      <c r="E61" s="76"/>
      <c r="F61" s="79"/>
      <c r="G61" s="79"/>
    </row>
  </sheetData>
  <sortState xmlns:xlrd2="http://schemas.microsoft.com/office/spreadsheetml/2017/richdata2" ref="B4:B23">
    <sortCondition ref="B4:B23"/>
  </sortState>
  <mergeCells count="6">
    <mergeCell ref="A1:G1"/>
    <mergeCell ref="A28:G28"/>
    <mergeCell ref="A52:A53"/>
    <mergeCell ref="C52:C53"/>
    <mergeCell ref="E52:E53"/>
    <mergeCell ref="D52:D53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EBD4-6806-254B-8444-3A8691549E0B}">
  <dimension ref="A1:G30"/>
  <sheetViews>
    <sheetView tabSelected="1" workbookViewId="0">
      <selection activeCell="B5" sqref="B5"/>
    </sheetView>
  </sheetViews>
  <sheetFormatPr baseColWidth="10" defaultColWidth="8.83203125" defaultRowHeight="16" x14ac:dyDescent="0.2"/>
  <cols>
    <col min="1" max="1" width="28" style="75" customWidth="1"/>
    <col min="2" max="4" width="22.6640625" style="137" bestFit="1" customWidth="1"/>
    <col min="5" max="7" width="22.6640625" style="75" bestFit="1" customWidth="1"/>
    <col min="8" max="16384" width="8.83203125" style="75"/>
  </cols>
  <sheetData>
    <row r="1" spans="1:7" ht="25" x14ac:dyDescent="0.25">
      <c r="A1" s="158" t="s">
        <v>245</v>
      </c>
      <c r="B1" s="159"/>
      <c r="C1" s="159"/>
      <c r="D1" s="159"/>
      <c r="E1" s="160"/>
      <c r="F1" s="160"/>
      <c r="G1" s="160"/>
    </row>
    <row r="2" spans="1:7" x14ac:dyDescent="0.2">
      <c r="A2" s="130"/>
      <c r="B2" s="131"/>
      <c r="C2" s="131"/>
      <c r="D2" s="131"/>
      <c r="E2" s="132"/>
      <c r="F2" s="132"/>
      <c r="G2" s="132"/>
    </row>
    <row r="3" spans="1:7" x14ac:dyDescent="0.2">
      <c r="A3" s="133" t="s">
        <v>74</v>
      </c>
      <c r="B3" s="134">
        <v>30</v>
      </c>
      <c r="C3" s="131"/>
      <c r="D3" s="131"/>
      <c r="E3" s="132"/>
      <c r="F3" s="132"/>
      <c r="G3" s="132"/>
    </row>
    <row r="4" spans="1:7" x14ac:dyDescent="0.2">
      <c r="A4" s="133" t="s">
        <v>233</v>
      </c>
      <c r="B4" s="134">
        <v>31</v>
      </c>
      <c r="C4" s="131"/>
      <c r="D4" s="131"/>
      <c r="E4" s="132"/>
      <c r="F4" s="132"/>
      <c r="G4" s="132"/>
    </row>
    <row r="5" spans="1:7" x14ac:dyDescent="0.2">
      <c r="A5" s="133" t="s">
        <v>222</v>
      </c>
      <c r="B5" s="134">
        <v>0</v>
      </c>
      <c r="C5" s="131"/>
      <c r="D5" s="131"/>
      <c r="E5" s="132"/>
      <c r="F5" s="132"/>
      <c r="G5" s="132"/>
    </row>
    <row r="6" spans="1:7" x14ac:dyDescent="0.2">
      <c r="A6" s="133" t="s">
        <v>255</v>
      </c>
      <c r="B6" s="134">
        <v>0</v>
      </c>
      <c r="C6" s="131"/>
      <c r="D6" s="131"/>
      <c r="E6" s="132"/>
      <c r="F6" s="132"/>
      <c r="G6" s="132"/>
    </row>
    <row r="7" spans="1:7" x14ac:dyDescent="0.2">
      <c r="A7" s="133" t="s">
        <v>252</v>
      </c>
      <c r="B7" s="134">
        <v>6</v>
      </c>
      <c r="C7" s="131"/>
      <c r="D7" s="131"/>
      <c r="E7" s="132"/>
      <c r="F7" s="132"/>
      <c r="G7" s="132"/>
    </row>
    <row r="8" spans="1:7" x14ac:dyDescent="0.2">
      <c r="A8" s="142" t="s">
        <v>251</v>
      </c>
      <c r="B8" s="134">
        <v>0</v>
      </c>
      <c r="C8" s="131"/>
      <c r="D8" s="131"/>
      <c r="E8" s="132"/>
      <c r="F8" s="132"/>
      <c r="G8" s="132"/>
    </row>
    <row r="9" spans="1:7" x14ac:dyDescent="0.2">
      <c r="A9" s="133" t="s">
        <v>215</v>
      </c>
      <c r="B9" s="134">
        <v>40</v>
      </c>
      <c r="C9" s="131"/>
      <c r="D9" s="131"/>
      <c r="E9" s="132"/>
      <c r="F9" s="132"/>
      <c r="G9" s="132"/>
    </row>
    <row r="10" spans="1:7" x14ac:dyDescent="0.2">
      <c r="A10" s="133" t="s">
        <v>261</v>
      </c>
      <c r="B10" s="134">
        <v>0.05</v>
      </c>
      <c r="C10" s="131"/>
      <c r="D10" s="131"/>
      <c r="E10" s="132"/>
      <c r="F10" s="132"/>
      <c r="G10" s="132"/>
    </row>
    <row r="11" spans="1:7" x14ac:dyDescent="0.2">
      <c r="A11" s="133" t="s">
        <v>260</v>
      </c>
      <c r="B11" s="134">
        <v>1</v>
      </c>
      <c r="C11" s="131"/>
      <c r="D11" s="131"/>
      <c r="E11" s="132"/>
      <c r="F11" s="132"/>
      <c r="G11" s="132"/>
    </row>
    <row r="12" spans="1:7" x14ac:dyDescent="0.2">
      <c r="A12" s="80"/>
      <c r="B12" s="139"/>
      <c r="C12" s="131"/>
      <c r="D12" s="131"/>
      <c r="E12" s="132"/>
      <c r="F12" s="132"/>
      <c r="G12" s="132"/>
    </row>
    <row r="13" spans="1:7" x14ac:dyDescent="0.2">
      <c r="A13" s="83" t="s">
        <v>262</v>
      </c>
      <c r="B13" s="143">
        <f>B14</f>
        <v>1.0540925533894598</v>
      </c>
      <c r="C13" s="131"/>
      <c r="D13" s="131"/>
      <c r="E13" s="132"/>
      <c r="F13" s="132"/>
      <c r="G13" s="132"/>
    </row>
    <row r="14" spans="1:7" x14ac:dyDescent="0.2">
      <c r="A14" s="140" t="s">
        <v>262</v>
      </c>
      <c r="B14" s="135">
        <f>(B4-B3)/(IF(B8&gt;0, B8, B7)/SQRT(B9))</f>
        <v>1.0540925533894598</v>
      </c>
      <c r="C14" s="131"/>
      <c r="D14" s="131"/>
      <c r="E14" s="132"/>
      <c r="F14" s="132"/>
      <c r="G14" s="132"/>
    </row>
    <row r="15" spans="1:7" x14ac:dyDescent="0.2">
      <c r="A15" s="140" t="s">
        <v>263</v>
      </c>
      <c r="B15" s="141">
        <f>IF(B5 &gt; 0, (B6-B5)/SQRT(B5*(1-B5)/B9), 0)</f>
        <v>0</v>
      </c>
      <c r="C15" s="131"/>
      <c r="D15" s="131"/>
      <c r="E15" s="132"/>
      <c r="F15" s="132"/>
      <c r="G15" s="132"/>
    </row>
    <row r="16" spans="1:7" x14ac:dyDescent="0.2">
      <c r="A16" s="140" t="s">
        <v>256</v>
      </c>
      <c r="B16" s="141">
        <f>B3 + B21 * (B7/SQRT(B9))</f>
        <v>31.560445163626671</v>
      </c>
      <c r="C16" s="131"/>
      <c r="D16" s="131"/>
      <c r="E16" s="132"/>
      <c r="F16" s="132"/>
      <c r="G16" s="132"/>
    </row>
    <row r="17" spans="1:7" x14ac:dyDescent="0.2">
      <c r="A17" s="140" t="s">
        <v>257</v>
      </c>
      <c r="B17" s="141">
        <f>_xlfn.NORM.DIST(B16,B4, B7/SQRT(B9), TRUE)</f>
        <v>0.72265973985512544</v>
      </c>
      <c r="C17" s="131"/>
      <c r="D17" s="131"/>
      <c r="E17" s="132"/>
      <c r="F17" s="132"/>
      <c r="G17" s="132"/>
    </row>
    <row r="18" spans="1:7" customFormat="1" x14ac:dyDescent="0.2"/>
    <row r="19" spans="1:7" x14ac:dyDescent="0.2">
      <c r="A19" s="161" t="s">
        <v>259</v>
      </c>
      <c r="B19" s="161"/>
      <c r="C19" s="161"/>
      <c r="D19" s="131"/>
      <c r="E19" s="132"/>
      <c r="F19" s="132"/>
    </row>
    <row r="20" spans="1:7" x14ac:dyDescent="0.2">
      <c r="A20" s="145"/>
      <c r="B20" s="146" t="s">
        <v>253</v>
      </c>
      <c r="C20" s="146" t="s">
        <v>254</v>
      </c>
      <c r="D20" s="131"/>
      <c r="E20" s="131"/>
      <c r="F20" s="132"/>
    </row>
    <row r="21" spans="1:7" x14ac:dyDescent="0.2">
      <c r="A21" s="140" t="s">
        <v>258</v>
      </c>
      <c r="B21" s="147">
        <f>_xlfn.NORM.S.INV(1-B10)</f>
        <v>1.6448536269514715</v>
      </c>
      <c r="C21" s="135">
        <f>_xlfn.T.INV(IF(B11=1, 1-B10, B10/B11), B9 -1)</f>
        <v>1.6848751217112248</v>
      </c>
      <c r="D21" s="75"/>
      <c r="E21" s="132"/>
    </row>
    <row r="22" spans="1:7" x14ac:dyDescent="0.2">
      <c r="A22" s="140" t="s">
        <v>247</v>
      </c>
      <c r="B22" s="135">
        <f>_xlfn.NORM.S.DIST(IF(B15 &gt; 0, B15, B13), TRUE)</f>
        <v>0.85407972742810578</v>
      </c>
      <c r="C22" s="135">
        <f>_xlfn.T.DIST(IF(B15 &gt; B15, B15, B13), (B9-1), TRUE)</f>
        <v>0.8508362851697302</v>
      </c>
      <c r="D22" s="131"/>
      <c r="E22" s="144"/>
    </row>
    <row r="23" spans="1:7" x14ac:dyDescent="0.2">
      <c r="A23" s="140" t="s">
        <v>248</v>
      </c>
      <c r="B23" s="135">
        <f>1-B22</f>
        <v>0.14592027257189422</v>
      </c>
      <c r="C23" s="135">
        <f>1-C22</f>
        <v>0.1491637148302698</v>
      </c>
      <c r="D23" s="131"/>
      <c r="F23" s="132"/>
    </row>
    <row r="24" spans="1:7" x14ac:dyDescent="0.2">
      <c r="A24" s="140" t="s">
        <v>249</v>
      </c>
      <c r="B24" s="135">
        <f>B11 * IF(B13 &gt; 0,  B23,  B22)</f>
        <v>0.14592027257189422</v>
      </c>
      <c r="C24" s="135">
        <f>B11 * IF(B13 &gt; 0, C23, C22)</f>
        <v>0.1491637148302698</v>
      </c>
      <c r="D24" s="131"/>
      <c r="E24" s="137"/>
    </row>
    <row r="25" spans="1:7" x14ac:dyDescent="0.2">
      <c r="A25" s="140" t="s">
        <v>250</v>
      </c>
      <c r="B25" s="135" t="str">
        <f>IF(B24 &gt; B10,  "Do not reject", "Reject")</f>
        <v>Do not reject</v>
      </c>
      <c r="C25" s="135" t="str">
        <f>IF(C24 &gt; B10, "Do not reject",  "Reject")</f>
        <v>Do not reject</v>
      </c>
      <c r="D25" s="138"/>
      <c r="F25" s="132"/>
    </row>
    <row r="26" spans="1:7" x14ac:dyDescent="0.2">
      <c r="C26" s="131"/>
      <c r="F26" s="132"/>
    </row>
    <row r="27" spans="1:7" x14ac:dyDescent="0.2">
      <c r="A27" s="130"/>
      <c r="B27" s="136"/>
      <c r="C27" s="131"/>
      <c r="F27" s="132"/>
      <c r="G27" s="132"/>
    </row>
    <row r="28" spans="1:7" x14ac:dyDescent="0.2">
      <c r="A28" s="130"/>
      <c r="B28" s="136"/>
      <c r="C28" s="131"/>
      <c r="F28" s="132"/>
      <c r="G28" s="132"/>
    </row>
    <row r="29" spans="1:7" x14ac:dyDescent="0.2">
      <c r="A29" s="130"/>
      <c r="B29" s="136"/>
      <c r="C29" s="131"/>
      <c r="D29" s="131"/>
      <c r="E29" s="132"/>
      <c r="F29" s="132"/>
      <c r="G29" s="132"/>
    </row>
    <row r="30" spans="1:7" ht="25" x14ac:dyDescent="0.25">
      <c r="A30" s="158" t="s">
        <v>246</v>
      </c>
      <c r="B30" s="159"/>
      <c r="C30" s="159"/>
      <c r="D30" s="159"/>
      <c r="E30" s="160"/>
      <c r="F30" s="160"/>
      <c r="G30" s="160"/>
    </row>
  </sheetData>
  <mergeCells count="3">
    <mergeCell ref="A1:G1"/>
    <mergeCell ref="A30:G30"/>
    <mergeCell ref="A19:C19"/>
  </mergeCells>
  <conditionalFormatting sqref="B5:B6">
    <cfRule type="cellIs" dxfId="4" priority="2" operator="greaterThan">
      <formula>0</formula>
    </cfRule>
  </conditionalFormatting>
  <conditionalFormatting sqref="B8">
    <cfRule type="cellIs" dxfId="3" priority="9" operator="greaterThan">
      <formula>0</formula>
    </cfRule>
    <cfRule type="cellIs" dxfId="2" priority="12" operator="greaterThan">
      <formula>0</formula>
    </cfRule>
  </conditionalFormatting>
  <conditionalFormatting sqref="B11">
    <cfRule type="cellIs" dxfId="1" priority="11" operator="greaterThan">
      <formula>1</formula>
    </cfRule>
  </conditionalFormatting>
  <conditionalFormatting sqref="B13">
    <cfRule type="cellIs" dxfId="0" priority="1" operator="notEqual">
      <formula>$B$14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Descriptive Statistics</vt:lpstr>
      <vt:lpstr>Descriptive Statistics-2</vt:lpstr>
      <vt:lpstr>Probability Introduction</vt:lpstr>
      <vt:lpstr>Probability Distributions</vt:lpstr>
      <vt:lpstr>Sampling &amp; Confidence Intervals</vt:lpstr>
      <vt:lpstr>Hypothesis 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 Perilla, Jhon F.</dc:creator>
  <cp:lastModifiedBy>Nova Perilla, Jhon F.</cp:lastModifiedBy>
  <dcterms:created xsi:type="dcterms:W3CDTF">2024-02-02T04:44:28Z</dcterms:created>
  <dcterms:modified xsi:type="dcterms:W3CDTF">2024-03-06T06:11:43Z</dcterms:modified>
</cp:coreProperties>
</file>