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 activeTab="1"/>
  </bookViews>
  <sheets>
    <sheet name="7월 매출" sheetId="1" r:id="rId1"/>
    <sheet name="8월 매출" sheetId="7" r:id="rId2"/>
    <sheet name="정보" sheetId="2" r:id="rId3"/>
    <sheet name="계좌,카드" sheetId="3" r:id="rId4"/>
    <sheet name="아이디,비번" sheetId="4" r:id="rId5"/>
    <sheet name="팁" sheetId="8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7" l="1"/>
  <c r="S42" i="7"/>
  <c r="P3" i="7"/>
  <c r="B31" i="7"/>
  <c r="B30" i="1"/>
  <c r="B35" i="1"/>
  <c r="C35" i="1" s="1"/>
  <c r="B34" i="1"/>
  <c r="S48" i="7" l="1"/>
  <c r="S47" i="7"/>
  <c r="S40" i="7"/>
  <c r="S49" i="7" s="1"/>
  <c r="S38" i="7"/>
  <c r="D40" i="7"/>
  <c r="C40" i="7"/>
  <c r="C39" i="7"/>
  <c r="N17" i="7" l="1"/>
  <c r="N13" i="7"/>
  <c r="K17" i="7" l="1"/>
  <c r="K8" i="7"/>
  <c r="K3" i="7"/>
  <c r="K6" i="7" s="1"/>
  <c r="K7" i="7" l="1"/>
  <c r="I4" i="7"/>
  <c r="I3" i="7"/>
  <c r="I23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I19" i="7"/>
  <c r="I13" i="7"/>
  <c r="I21" i="7"/>
  <c r="I8" i="7" l="1"/>
  <c r="G13" i="7"/>
  <c r="E4" i="7"/>
  <c r="E13" i="7"/>
  <c r="D15" i="7" l="1"/>
  <c r="C15" i="7"/>
  <c r="C8" i="7"/>
  <c r="B38" i="7" l="1"/>
  <c r="L13" i="1" l="1"/>
  <c r="J3" i="1"/>
  <c r="U3" i="1"/>
  <c r="C3" i="1"/>
  <c r="G8" i="1"/>
  <c r="B47" i="7"/>
  <c r="AB3" i="7"/>
  <c r="AB6" i="7" s="1"/>
  <c r="L3" i="7"/>
  <c r="H8" i="7"/>
  <c r="G8" i="7"/>
  <c r="F8" i="7"/>
  <c r="E8" i="7"/>
  <c r="D8" i="7"/>
  <c r="B8" i="7"/>
  <c r="AF3" i="7"/>
  <c r="AE3" i="7"/>
  <c r="AE6" i="7" s="1"/>
  <c r="AD3" i="7"/>
  <c r="AC3" i="7"/>
  <c r="AC6" i="7" s="1"/>
  <c r="AC7" i="7" s="1"/>
  <c r="AA3" i="7"/>
  <c r="AA6" i="7" s="1"/>
  <c r="Z3" i="7"/>
  <c r="Z6" i="7" s="1"/>
  <c r="Y3" i="7"/>
  <c r="X3" i="7"/>
  <c r="X6" i="7" s="1"/>
  <c r="W3" i="7"/>
  <c r="W6" i="7" s="1"/>
  <c r="V3" i="7"/>
  <c r="V6" i="7" s="1"/>
  <c r="U3" i="7"/>
  <c r="U6" i="7" s="1"/>
  <c r="T3" i="7"/>
  <c r="T6" i="7" s="1"/>
  <c r="S3" i="7"/>
  <c r="R3" i="7"/>
  <c r="Q3" i="7"/>
  <c r="O3" i="7"/>
  <c r="N3" i="7"/>
  <c r="M3" i="7"/>
  <c r="M6" i="7" s="1"/>
  <c r="H3" i="7"/>
  <c r="H6" i="7" s="1"/>
  <c r="G3" i="7"/>
  <c r="F3" i="7"/>
  <c r="F6" i="7" s="1"/>
  <c r="E3" i="7"/>
  <c r="E6" i="7" s="1"/>
  <c r="D3" i="7"/>
  <c r="D6" i="7" s="1"/>
  <c r="C3" i="7"/>
  <c r="C6" i="7" s="1"/>
  <c r="C7" i="7" s="1"/>
  <c r="B3" i="7"/>
  <c r="B37" i="7" l="1"/>
  <c r="B6" i="7"/>
  <c r="B34" i="7"/>
  <c r="B33" i="7" s="1"/>
  <c r="O6" i="7"/>
  <c r="O7" i="7" s="1"/>
  <c r="AF6" i="7"/>
  <c r="AF7" i="7" s="1"/>
  <c r="L6" i="7"/>
  <c r="L7" i="7" s="1"/>
  <c r="Y6" i="7"/>
  <c r="Y7" i="7" s="1"/>
  <c r="AD6" i="7"/>
  <c r="B39" i="7"/>
  <c r="P6" i="7"/>
  <c r="P7" i="7" s="1"/>
  <c r="S6" i="7"/>
  <c r="S7" i="7" s="1"/>
  <c r="R6" i="7"/>
  <c r="R7" i="7" s="1"/>
  <c r="Q6" i="7"/>
  <c r="Q7" i="7" s="1"/>
  <c r="N6" i="7"/>
  <c r="N7" i="7" s="1"/>
  <c r="I6" i="7"/>
  <c r="I7" i="7" s="1"/>
  <c r="G6" i="7"/>
  <c r="G7" i="7" s="1"/>
  <c r="E7" i="7"/>
  <c r="D7" i="7"/>
  <c r="B32" i="7"/>
  <c r="AE7" i="7"/>
  <c r="H7" i="7"/>
  <c r="U7" i="7"/>
  <c r="Z7" i="7"/>
  <c r="AB7" i="7"/>
  <c r="V7" i="7"/>
  <c r="T7" i="7"/>
  <c r="X7" i="7"/>
  <c r="M7" i="7"/>
  <c r="AA7" i="7"/>
  <c r="W7" i="7"/>
  <c r="F7" i="7"/>
  <c r="D51" i="1"/>
  <c r="Z4" i="1"/>
  <c r="B43" i="7" l="1"/>
  <c r="B35" i="7"/>
  <c r="B36" i="7" s="1"/>
  <c r="H59" i="7"/>
  <c r="E59" i="7"/>
  <c r="I59" i="7"/>
  <c r="AD7" i="7"/>
  <c r="G59" i="7"/>
  <c r="F59" i="7"/>
  <c r="B7" i="7"/>
  <c r="B42" i="7" s="1"/>
  <c r="AE3" i="1"/>
  <c r="AE4" i="1"/>
  <c r="AE11" i="1"/>
  <c r="AE12" i="1"/>
  <c r="AB4" i="1"/>
  <c r="AB13" i="1"/>
  <c r="AA14" i="1"/>
  <c r="AA18" i="1"/>
  <c r="AA16" i="1"/>
  <c r="AA12" i="1"/>
  <c r="AA7" i="1" s="1"/>
  <c r="X4" i="1"/>
  <c r="AA4" i="1"/>
  <c r="I60" i="7" l="1"/>
  <c r="C35" i="7"/>
  <c r="I61" i="7"/>
  <c r="Y4" i="1"/>
  <c r="Z12" i="1"/>
  <c r="B37" i="1"/>
  <c r="D48" i="1" s="1"/>
  <c r="C49" i="1"/>
  <c r="Z16" i="1"/>
  <c r="Z14" i="1"/>
  <c r="Q4" i="1" l="1"/>
  <c r="Y14" i="1"/>
  <c r="U31" i="1" l="1"/>
  <c r="B39" i="1" s="1"/>
  <c r="X14" i="1"/>
  <c r="X12" i="1"/>
  <c r="W14" i="1"/>
  <c r="V4" i="1" l="1"/>
  <c r="V14" i="1"/>
  <c r="V7" i="1" s="1"/>
  <c r="U4" i="1"/>
  <c r="S4" i="1" l="1"/>
  <c r="J14" i="1"/>
  <c r="E7" i="1"/>
  <c r="S7" i="1"/>
  <c r="J4" i="1"/>
  <c r="Q18" i="1"/>
  <c r="I4" i="1"/>
  <c r="J8" i="1"/>
  <c r="T7" i="1"/>
  <c r="B46" i="1" l="1"/>
  <c r="L14" i="1" l="1"/>
  <c r="K4" i="1" l="1"/>
  <c r="K16" i="1"/>
  <c r="K12" i="1"/>
  <c r="J5" i="1"/>
  <c r="J16" i="1"/>
  <c r="B31" i="1" l="1"/>
  <c r="I16" i="1"/>
  <c r="G7" i="1" l="1"/>
  <c r="F3" i="1"/>
  <c r="D3" i="1" l="1"/>
  <c r="D5" i="1" s="1"/>
  <c r="B3" i="1"/>
  <c r="C5" i="1" l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T3" i="1"/>
  <c r="S3" i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B38" i="1" l="1"/>
  <c r="E58" i="1"/>
  <c r="B6" i="1"/>
  <c r="S5" i="1"/>
  <c r="S6" i="1" s="1"/>
  <c r="B32" i="1"/>
  <c r="B33" i="1"/>
  <c r="B36" i="1"/>
  <c r="AG6" i="1"/>
  <c r="AD6" i="1"/>
  <c r="AE5" i="1"/>
  <c r="AE6" i="1" s="1"/>
  <c r="AA6" i="1"/>
  <c r="I58" i="1"/>
  <c r="Y6" i="1"/>
  <c r="X6" i="1"/>
  <c r="U5" i="1"/>
  <c r="U6" i="1" s="1"/>
  <c r="T5" i="1"/>
  <c r="T6" i="1" s="1"/>
  <c r="R5" i="1"/>
  <c r="Q5" i="1"/>
  <c r="Q6" i="1" s="1"/>
  <c r="M5" i="1"/>
  <c r="N6" i="1"/>
  <c r="Z6" i="1"/>
  <c r="AF6" i="1"/>
  <c r="L5" i="1"/>
  <c r="I6" i="1"/>
  <c r="J6" i="1"/>
  <c r="V6" i="1"/>
  <c r="K6" i="1"/>
  <c r="W6" i="1"/>
  <c r="AC6" i="1"/>
  <c r="C6" i="1"/>
  <c r="AB6" i="1"/>
  <c r="F6" i="1"/>
  <c r="E6" i="1"/>
  <c r="H5" i="1"/>
  <c r="G6" i="1"/>
  <c r="F58" i="1" l="1"/>
  <c r="C48" i="1"/>
  <c r="H58" i="1"/>
  <c r="I59" i="1" s="1"/>
  <c r="G58" i="1"/>
  <c r="B42" i="1"/>
  <c r="I60" i="1"/>
  <c r="R6" i="1"/>
  <c r="M6" i="1"/>
  <c r="L6" i="1"/>
  <c r="H6" i="1"/>
  <c r="B41" i="1" s="1"/>
</calcChain>
</file>

<file path=xl/sharedStrings.xml><?xml version="1.0" encoding="utf-8"?>
<sst xmlns="http://schemas.openxmlformats.org/spreadsheetml/2006/main" count="410" uniqueCount="335">
  <si>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</si>
  <si>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</si>
  <si>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</si>
  <si>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</si>
  <si>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</si>
  <si>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</si>
  <si>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</si>
  <si>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</si>
  <si>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</si>
  <si>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</si>
  <si>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</si>
  <si>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</si>
  <si>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</si>
  <si>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</si>
  <si>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</si>
  <si>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</si>
  <si>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</si>
  <si>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</si>
  <si>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</si>
  <si>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</si>
  <si>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</si>
  <si>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</si>
  <si>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</si>
  <si>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</si>
  <si>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</si>
  <si>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</si>
  <si>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</si>
  <si>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</si>
  <si>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</si>
  <si>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</si>
  <si>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</si>
  <si>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</si>
  <si>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</si>
  <si>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</si>
  <si>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</si>
  <si>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</si>
  <si>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</si>
  <si>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</si>
  <si>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</si>
  <si>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</si>
  <si>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</si>
  <si>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</si>
  <si>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</si>
  <si>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</si>
  <si>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</si>
  <si>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</si>
  <si>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</si>
  <si>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</si>
  <si>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</si>
  <si>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</si>
  <si>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</si>
  <si>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</si>
  <si>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</si>
  <si>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</si>
  <si>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</si>
  <si>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</si>
  <si>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</si>
  <si>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</si>
  <si>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</si>
  <si>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</si>
  <si>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</si>
  <si>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</si>
  <si>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</si>
  <si>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</si>
  <si>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</si>
  <si>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</si>
  <si>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</si>
  <si>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</si>
  <si>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</si>
  <si>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</si>
  <si>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</si>
  <si>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</si>
  <si>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</si>
  <si>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</si>
  <si>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</si>
  <si>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</si>
  <si>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</si>
  <si>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</si>
  <si>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</si>
  <si>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</si>
  <si>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</si>
  <si>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</si>
  <si>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</si>
  <si>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</si>
  <si>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</si>
  <si>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</si>
  <si>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</si>
  <si>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</si>
  <si>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</si>
  <si>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</si>
  <si>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</si>
  <si>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</si>
  <si>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</si>
  <si>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</si>
  <si>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</si>
  <si>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</si>
  <si>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</si>
  <si>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</si>
  <si>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</si>
  <si>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</si>
  <si>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</si>
  <si>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</si>
  <si>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</si>
  <si>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</si>
  <si>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</si>
  <si>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</si>
  <si>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</si>
  <si>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</si>
  <si>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</si>
  <si>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</si>
  <si>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</si>
  <si>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</si>
  <si>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</si>
  <si>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</si>
  <si>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</si>
  <si>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</si>
  <si>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</si>
  <si>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</si>
  <si>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</si>
  <si>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</si>
  <si>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</si>
  <si>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</si>
  <si>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</si>
  <si>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</si>
  <si>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</si>
  <si>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</si>
  <si>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</si>
  <si>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</si>
  <si>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</si>
  <si>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</si>
  <si>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</si>
  <si>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</si>
  <si>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</si>
  <si>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</si>
  <si>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</si>
  <si>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</si>
  <si>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</si>
  <si>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</si>
  <si>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</si>
  <si>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</si>
  <si>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</si>
  <si>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</si>
  <si>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</si>
  <si>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</si>
  <si>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</si>
  <si>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</si>
  <si>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</si>
  <si>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</si>
  <si>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</si>
  <si>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</si>
  <si>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</si>
  <si>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</si>
  <si>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</si>
  <si>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</si>
  <si>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</si>
  <si>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</si>
  <si>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</si>
  <si>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</si>
  <si>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</si>
  <si>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</si>
  <si>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</si>
  <si>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</si>
  <si>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</si>
  <si>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</si>
  <si>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</si>
  <si>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</si>
  <si>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</si>
  <si>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</si>
  <si>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</si>
  <si>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</si>
  <si>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</si>
  <si>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</si>
  <si>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</si>
  <si>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</si>
  <si>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</si>
  <si>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</si>
  <si>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</si>
  <si>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</si>
  <si>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</si>
  <si>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</si>
  <si>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</si>
  <si>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</si>
  <si>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</si>
  <si>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</si>
  <si>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</si>
  <si>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</si>
  <si>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</si>
  <si>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</si>
  <si>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</si>
  <si>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</si>
  <si>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구매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</si>
  <si>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</si>
  <si>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</si>
  <si>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</si>
  <si>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</si>
  <si>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</si>
  <si>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</si>
  <si>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</si>
  <si>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</si>
  <si>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</si>
  <si>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</si>
  <si>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</si>
  <si>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</si>
  <si>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</si>
  <si>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</si>
  <si>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</si>
  <si>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</si>
  <si>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</si>
  <si>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</si>
  <si>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</si>
  <si>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</si>
  <si>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</si>
  <si>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</si>
  <si>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</si>
  <si>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</si>
  <si>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</si>
  <si>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</si>
  <si>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</si>
  <si>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</si>
  <si>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</si>
  <si>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</si>
  <si>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</si>
  <si>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</si>
  <si>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</si>
  <si>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</si>
  <si>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</si>
  <si>
    <t>카드계산</t>
    <phoneticPr fontId="2" type="noConversion"/>
  </si>
  <si>
    <t>회사카드</t>
    <phoneticPr fontId="2" type="noConversion"/>
  </si>
  <si>
    <t>과일1</t>
    <phoneticPr fontId="2" type="noConversion"/>
  </si>
  <si>
    <t>NoShow
오전부터 비</t>
    <phoneticPr fontId="2" type="noConversion"/>
  </si>
  <si>
    <t>손님이미리 불러놓음 (공동)에서와서 계산은 티까지</t>
    <phoneticPr fontId="2" type="noConversion"/>
  </si>
  <si>
    <t>티빼고들어온매출</t>
    <phoneticPr fontId="2" type="noConversion"/>
  </si>
  <si>
    <t>현자본</t>
    <phoneticPr fontId="2" type="noConversion"/>
  </si>
  <si>
    <t>누적 총매출</t>
    <phoneticPr fontId="2" type="noConversion"/>
  </si>
  <si>
    <t>삼촌지인분 10만원내고 현욱팁 2만</t>
    <phoneticPr fontId="2" type="noConversion"/>
  </si>
  <si>
    <t>현욱팁 2만원</t>
    <phoneticPr fontId="2" type="noConversion"/>
  </si>
  <si>
    <t>현욱 3만 팁</t>
    <phoneticPr fontId="2" type="noConversion"/>
  </si>
  <si>
    <t>올현금, 현욱 계좌로 40,32만</t>
    <phoneticPr fontId="2" type="noConversion"/>
  </si>
  <si>
    <t>6월달 관리비</t>
    <phoneticPr fontId="2" type="noConversion"/>
  </si>
  <si>
    <t>2팀</t>
    <phoneticPr fontId="2" type="noConversion"/>
  </si>
  <si>
    <t>드럼 현금,1인 2시간</t>
    <phoneticPr fontId="2" type="noConversion"/>
  </si>
  <si>
    <t>가게세</t>
    <phoneticPr fontId="2" type="noConversion"/>
  </si>
  <si>
    <t>가게세,관리비 합계</t>
    <phoneticPr fontId="2" type="noConversion"/>
  </si>
  <si>
    <t>삼촌이 뺴준돈</t>
    <phoneticPr fontId="2" type="noConversion"/>
  </si>
  <si>
    <t>현찰 총 매출</t>
    <phoneticPr fontId="2" type="noConversion"/>
  </si>
  <si>
    <t>(가게세 관리비 포함)</t>
    <phoneticPr fontId="2" type="noConversion"/>
  </si>
  <si>
    <t>32만 현욱계좌로 입금</t>
    <phoneticPr fontId="2" type="noConversion"/>
  </si>
  <si>
    <t>삼촌 150만원 카드매출</t>
    <phoneticPr fontId="2" type="noConversion"/>
  </si>
  <si>
    <t>카드매출현금인출 후 잔금</t>
    <phoneticPr fontId="2" type="noConversion"/>
  </si>
  <si>
    <t>(코스트코)현욱구매</t>
    <phoneticPr fontId="2" type="noConversion"/>
  </si>
  <si>
    <t>(코스트코)주류 구매</t>
    <phoneticPr fontId="2" type="noConversion"/>
  </si>
  <si>
    <t>2022-07-19카카오입금</t>
    <phoneticPr fontId="2" type="noConversion"/>
  </si>
  <si>
    <t>1시간 놀고 20분 추가</t>
    <phoneticPr fontId="2" type="noConversion"/>
  </si>
  <si>
    <t>1인손님 3팀 전부 뺀지,40만원 현욱계좌, 과일값 천원짜리 모자라서 현욱 5000원 추가</t>
    <phoneticPr fontId="2" type="noConversion"/>
  </si>
  <si>
    <t>과일시켜두고 안나감,  2차손님 아가씨뺸</t>
    <phoneticPr fontId="2" type="noConversion"/>
  </si>
  <si>
    <t>단체 손님 (15명)</t>
    <phoneticPr fontId="2" type="noConversion"/>
  </si>
  <si>
    <t>현욱계좌에서 80만원 현찰뽑음 , 70만6천원 현욱계좌입금</t>
    <phoneticPr fontId="2" type="noConversion"/>
  </si>
  <si>
    <t>미납금 24만원(Nj)</t>
    <phoneticPr fontId="2" type="noConversion"/>
  </si>
  <si>
    <t>가상계좌 MOBING 휴대폰값</t>
    <phoneticPr fontId="2" type="noConversion"/>
  </si>
  <si>
    <t>A 4명, 과일2개</t>
    <phoneticPr fontId="2" type="noConversion"/>
  </si>
  <si>
    <t>6월30일~7월 3일</t>
    <phoneticPr fontId="2" type="noConversion"/>
  </si>
  <si>
    <t>1주차</t>
    <phoneticPr fontId="2" type="noConversion"/>
  </si>
  <si>
    <t>2주차</t>
    <phoneticPr fontId="2" type="noConversion"/>
  </si>
  <si>
    <t>3주차</t>
    <phoneticPr fontId="2" type="noConversion"/>
  </si>
  <si>
    <t>4주차</t>
    <phoneticPr fontId="2" type="noConversion"/>
  </si>
  <si>
    <t>합계</t>
    <phoneticPr fontId="2" type="noConversion"/>
  </si>
  <si>
    <t>주차별 평균 총매출 누계</t>
    <phoneticPr fontId="2" type="noConversion"/>
  </si>
  <si>
    <t>평균금액</t>
    <phoneticPr fontId="2" type="noConversion"/>
  </si>
  <si>
    <t>입금완료</t>
    <phoneticPr fontId="2" type="noConversion"/>
  </si>
  <si>
    <t>번영회비</t>
    <phoneticPr fontId="2" type="noConversion"/>
  </si>
  <si>
    <t>24만원 NJ 외상, 2만원 엄마팁, 10만원 현금교환 현욱계좌</t>
    <phoneticPr fontId="2" type="noConversion"/>
  </si>
  <si>
    <t>60,72,16계좌입금, 폰비,상회비 계좌 출금 ,현욱 계좌에서 30만원 현금으로 출금</t>
    <phoneticPr fontId="2" type="noConversion"/>
  </si>
  <si>
    <t>과일3</t>
    <phoneticPr fontId="2" type="noConversion"/>
  </si>
  <si>
    <t>20분뺀</t>
    <phoneticPr fontId="2" type="noConversion"/>
  </si>
  <si>
    <t>현욱계좌에서 60시제 출금, 16계좌</t>
    <phoneticPr fontId="2" type="noConversion"/>
  </si>
  <si>
    <t>과일</t>
    <phoneticPr fontId="2" type="noConversion"/>
  </si>
  <si>
    <t>입금완료, 추가완료</t>
    <phoneticPr fontId="2" type="noConversion"/>
  </si>
  <si>
    <t>NOSHOW</t>
    <phoneticPr fontId="2" type="noConversion"/>
  </si>
  <si>
    <t>노래방 저작권료</t>
    <phoneticPr fontId="2" type="noConversion"/>
  </si>
  <si>
    <t>1팀 , 삼촌이 100만원 카드매출 입금, 2만원 복숭아 구매</t>
    <phoneticPr fontId="2" type="noConversion"/>
  </si>
  <si>
    <t>단체손님 , 아베크4팀 , 잔돈없어서 현욱 4천원 입금</t>
    <phoneticPr fontId="2" type="noConversion"/>
  </si>
  <si>
    <t>포스 , 인터넷 기계</t>
    <phoneticPr fontId="2" type="noConversion"/>
  </si>
  <si>
    <t>미납금 15만원(영걸이형)</t>
    <phoneticPr fontId="2" type="noConversion"/>
  </si>
  <si>
    <t>입금완료</t>
    <phoneticPr fontId="2" type="noConversion"/>
  </si>
  <si>
    <t>영걸이형손님, 현금 48, 새벽 손님 3시간(a)</t>
    <phoneticPr fontId="2" type="noConversion"/>
  </si>
  <si>
    <t>티+1만</t>
    <phoneticPr fontId="2" type="noConversion"/>
  </si>
  <si>
    <t xml:space="preserve"> </t>
    <phoneticPr fontId="2" type="noConversion"/>
  </si>
  <si>
    <t>7월달 관리비</t>
    <phoneticPr fontId="2" type="noConversion"/>
  </si>
  <si>
    <t>2022-08-03 구매</t>
    <phoneticPr fontId="2" type="noConversion"/>
  </si>
  <si>
    <t>계좌이체</t>
    <phoneticPr fontId="2" type="noConversion"/>
  </si>
  <si>
    <t>마스크구매</t>
    <phoneticPr fontId="2" type="noConversion"/>
  </si>
  <si>
    <t>과일</t>
    <phoneticPr fontId="2" type="noConversion"/>
  </si>
  <si>
    <t>얼음</t>
    <phoneticPr fontId="2" type="noConversion"/>
  </si>
  <si>
    <t>한팀 그냥감</t>
    <phoneticPr fontId="2" type="noConversion"/>
  </si>
  <si>
    <t>양주 1병 킵 : 배정현 
얼음 카드구매 2천</t>
    <phoneticPr fontId="2" type="noConversion"/>
  </si>
  <si>
    <t>마스터 볼륨은 11시방향</t>
  </si>
  <si>
    <t>에코는 12시방향</t>
  </si>
  <si>
    <t xml:space="preserve">마이크 볼륨 9시 </t>
  </si>
  <si>
    <t>팬 12시 에코 12시  로우 12시 미드 12 하이 10시</t>
  </si>
  <si>
    <t xml:space="preserve">뮤직 볼륨 9시 </t>
  </si>
  <si>
    <t>노래방 앰프 설정법</t>
    <phoneticPr fontId="2" type="noConversion"/>
  </si>
  <si>
    <t>에어컨 고장 코드</t>
    <phoneticPr fontId="2" type="noConversion"/>
  </si>
  <si>
    <t>NoShow</t>
    <phoneticPr fontId="2" type="noConversion"/>
  </si>
  <si>
    <t>김원효닮은 외국손님(스타)</t>
    <phoneticPr fontId="2" type="noConversion"/>
  </si>
  <si>
    <t>영걸형손님,아베크중국1팀</t>
    <phoneticPr fontId="2" type="noConversion"/>
  </si>
  <si>
    <t>1인손님 30분만놀고감</t>
    <phoneticPr fontId="2" type="noConversion"/>
  </si>
  <si>
    <t>1주차 4일</t>
    <phoneticPr fontId="2" type="noConversion"/>
  </si>
  <si>
    <t>2주차 7일</t>
    <phoneticPr fontId="2" type="noConversion"/>
  </si>
  <si>
    <t>3주차 7일</t>
    <phoneticPr fontId="2" type="noConversion"/>
  </si>
  <si>
    <t>4주차 7일</t>
    <phoneticPr fontId="2" type="noConversion"/>
  </si>
  <si>
    <t xml:space="preserve">5주차 7일 </t>
    <phoneticPr fontId="2" type="noConversion"/>
  </si>
  <si>
    <t>현욱계좌에서 34만원뺌, 2만원뺀찌</t>
    <phoneticPr fontId="2" type="noConversion"/>
  </si>
  <si>
    <t>현욱계좌에서 90만원 뽑음 ,NoShow</t>
    <phoneticPr fontId="2" type="noConversion"/>
  </si>
  <si>
    <t>아베크만3팀</t>
    <phoneticPr fontId="2" type="noConversion"/>
  </si>
  <si>
    <t>1팀</t>
    <phoneticPr fontId="2" type="noConversion"/>
  </si>
  <si>
    <t>NoSHow</t>
    <phoneticPr fontId="2" type="noConversion"/>
  </si>
  <si>
    <t>30분빠꾸,10분빠꾸</t>
    <phoneticPr fontId="2" type="noConversion"/>
  </si>
  <si>
    <t>전부카드</t>
    <phoneticPr fontId="2" type="noConversion"/>
  </si>
  <si>
    <t>NoShow</t>
    <phoneticPr fontId="2" type="noConversion"/>
  </si>
  <si>
    <t>현욱계좌에서 90 출금</t>
    <phoneticPr fontId="2" type="noConversion"/>
  </si>
  <si>
    <t>총 현금으로 교환 금액</t>
    <phoneticPr fontId="2" type="noConversion"/>
  </si>
  <si>
    <t>수수료</t>
    <phoneticPr fontId="2" type="noConversion"/>
  </si>
  <si>
    <t>호두</t>
    <phoneticPr fontId="2" type="noConversion"/>
  </si>
  <si>
    <t>견과</t>
    <phoneticPr fontId="2" type="noConversion"/>
  </si>
  <si>
    <t>과일치즈x2</t>
    <phoneticPr fontId="2" type="noConversion"/>
  </si>
  <si>
    <t>프레첼(과자)x3</t>
    <phoneticPr fontId="2" type="noConversion"/>
  </si>
  <si>
    <t>숙모구매</t>
    <phoneticPr fontId="2" type="noConversion"/>
  </si>
  <si>
    <t>과일,치킨,피자</t>
  </si>
  <si>
    <t>과일</t>
  </si>
  <si>
    <t>카드깡 10만원</t>
    <phoneticPr fontId="2" type="noConversion"/>
  </si>
  <si>
    <t>공병 126개+</t>
    <phoneticPr fontId="2" type="noConversion"/>
  </si>
  <si>
    <t>현욱구매-</t>
    <phoneticPr fontId="2" type="noConversion"/>
  </si>
  <si>
    <t>엄마구매-(현찰사용)</t>
    <phoneticPr fontId="2" type="noConversion"/>
  </si>
  <si>
    <t>총합계(정산완료)</t>
    <phoneticPr fontId="2" type="noConversion"/>
  </si>
  <si>
    <t>2시간 외상325000(삼촌손님),1시간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</si>
</sst>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</numFmts>
  <fonts count="1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Alignment="1">
      <alignment horizontal="center" vertical="center"/>
    </xf>
    <xf numFmtId="0" fontId="1" fillId="0" borderId="1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176" fontId="6" fillId="5" borderId="4" xfId="0" applyNumberFormat="1" applyFont="1" applyFill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6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ill="1" applyBorder="1"/>
    <xf numFmtId="177" fontId="10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6" fillId="10" borderId="4" xfId="0" applyFont="1" applyFill="1" applyBorder="1"/>
    <xf numFmtId="177" fontId="0" fillId="10" borderId="4" xfId="0" applyNumberFormat="1" applyFill="1" applyBorder="1"/>
    <xf numFmtId="0" fontId="6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177" fontId="0" fillId="22" borderId="1" xfId="0" applyNumberFormat="1" applyFill="1" applyBorder="1"/>
    <xf numFmtId="177" fontId="0" fillId="9" borderId="1" xfId="0" applyNumberFormat="1" applyFill="1" applyBorder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/>
    <xf numFmtId="177" fontId="6" fillId="22" borderId="3" xfId="0" applyNumberFormat="1" applyFont="1" applyFill="1" applyBorder="1"/>
    <xf numFmtId="177" fontId="0" fillId="22" borderId="3" xfId="0" applyNumberFormat="1" applyFill="1" applyBorder="1"/>
    <xf numFmtId="177" fontId="0" fillId="7" borderId="2" xfId="0" applyNumberFormat="1" applyFill="1" applyBorder="1"/>
    <xf numFmtId="0" fontId="0" fillId="7" borderId="1" xfId="0" applyFill="1" applyBorder="1" applyAlignment="1">
      <alignment horizontal="right"/>
    </xf>
    <xf numFmtId="177" fontId="0" fillId="7" borderId="1" xfId="0" applyNumberFormat="1" applyFill="1" applyBorder="1" applyAlignment="1">
      <alignment horizontal="right"/>
    </xf>
    <xf numFmtId="0" fontId="11" fillId="5" borderId="1" xfId="0" applyFont="1" applyFill="1" applyBorder="1"/>
    <xf numFmtId="177" fontId="4" fillId="5" borderId="1" xfId="0" applyNumberFormat="1" applyFont="1" applyFill="1" applyBorder="1"/>
    <xf numFmtId="0" fontId="4" fillId="5" borderId="1" xfId="0" applyFont="1" applyFill="1" applyBorder="1"/>
    <xf numFmtId="0" fontId="0" fillId="7" borderId="1" xfId="0" applyFill="1" applyBorder="1"/>
    <xf numFmtId="177" fontId="0" fillId="19" borderId="1" xfId="0" applyNumberFormat="1" applyFont="1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64</xdr:row>
      <xdr:rowOff>71438</xdr:rowOff>
    </xdr:from>
    <xdr:to>
      <xdr:col>4</xdr:col>
      <xdr:colOff>713905</xdr:colOff>
      <xdr:row>79</xdr:row>
      <xdr:rowOff>199607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14168438"/>
          <a:ext cx="3761905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702469</xdr:colOff>
      <xdr:row>64</xdr:row>
      <xdr:rowOff>64058</xdr:rowOff>
    </xdr:from>
    <xdr:to>
      <xdr:col>5</xdr:col>
      <xdr:colOff>1071563</xdr:colOff>
      <xdr:row>71</xdr:row>
      <xdr:rowOff>12743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3282" y="14161058"/>
          <a:ext cx="1905000" cy="1448873"/>
        </a:xfrm>
        <a:prstGeom prst="rect">
          <a:avLst/>
        </a:prstGeom>
      </xdr:spPr>
    </xdr:pic>
    <xdr:clientData/>
  </xdr:twoCellAnchor>
  <xdr:twoCellAnchor editAs="oneCell">
    <xdr:from>
      <xdr:col>0</xdr:col>
      <xdr:colOff>511968</xdr:colOff>
      <xdr:row>47</xdr:row>
      <xdr:rowOff>57151</xdr:rowOff>
    </xdr:from>
    <xdr:to>
      <xdr:col>1</xdr:col>
      <xdr:colOff>1018874</xdr:colOff>
      <xdr:row>74</xdr:row>
      <xdr:rowOff>182611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1968" y="10451307"/>
          <a:ext cx="2400000" cy="5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28575</xdr:rowOff>
    </xdr:from>
    <xdr:to>
      <xdr:col>4</xdr:col>
      <xdr:colOff>647365</xdr:colOff>
      <xdr:row>19</xdr:row>
      <xdr:rowOff>94796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47675"/>
          <a:ext cx="2676190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13</xdr:row>
      <xdr:rowOff>142875</xdr:rowOff>
    </xdr:from>
    <xdr:to>
      <xdr:col>15</xdr:col>
      <xdr:colOff>681618</xdr:colOff>
      <xdr:row>22</xdr:row>
      <xdr:rowOff>199480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2867025"/>
          <a:ext cx="6158493" cy="19425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73"/>
  <sheetViews>
    <sheetView topLeftCell="A25" zoomScale="80" zoomScaleNormal="80" workbookViewId="0">
      <selection activeCell="B30" sqref="B30"/>
    </sheetView>
  </sheetViews>
  <sheetFormatPr defaultColWidth="9" defaultRowHeight="16.5" x14ac:dyDescent="0.3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 x14ac:dyDescent="0.35">
      <c r="A1" s="2"/>
      <c r="B1" s="66">
        <v>44742</v>
      </c>
      <c r="C1" s="66">
        <v>44743</v>
      </c>
      <c r="D1" s="66">
        <v>44744</v>
      </c>
      <c r="E1" s="66">
        <v>44745</v>
      </c>
      <c r="F1" s="66">
        <v>44746</v>
      </c>
      <c r="G1" s="66">
        <v>44747</v>
      </c>
      <c r="H1" s="66">
        <v>44748</v>
      </c>
      <c r="I1" s="66">
        <v>44749</v>
      </c>
      <c r="J1" s="66">
        <v>44750</v>
      </c>
      <c r="K1" s="66">
        <v>44751</v>
      </c>
      <c r="L1" s="66">
        <v>44752</v>
      </c>
      <c r="M1" s="66">
        <v>44753</v>
      </c>
      <c r="N1" s="66">
        <v>44754</v>
      </c>
      <c r="O1" s="66">
        <v>44755</v>
      </c>
      <c r="P1" s="66">
        <v>44756</v>
      </c>
      <c r="Q1" s="66">
        <v>44757</v>
      </c>
      <c r="R1" s="66">
        <v>44758</v>
      </c>
      <c r="S1" s="66">
        <v>44759</v>
      </c>
      <c r="T1" s="66">
        <v>44760</v>
      </c>
      <c r="U1" s="66">
        <v>44761</v>
      </c>
      <c r="V1" s="66">
        <v>44762</v>
      </c>
      <c r="W1" s="66">
        <v>44763</v>
      </c>
      <c r="X1" s="66">
        <v>44764</v>
      </c>
      <c r="Y1" s="66">
        <v>44765</v>
      </c>
      <c r="Z1" s="66">
        <v>44766</v>
      </c>
      <c r="AA1" s="66">
        <v>44767</v>
      </c>
      <c r="AB1" s="66">
        <v>44768</v>
      </c>
      <c r="AC1" s="66">
        <v>44769</v>
      </c>
      <c r="AD1" s="66">
        <v>44770</v>
      </c>
      <c r="AE1" s="66">
        <v>44771</v>
      </c>
      <c r="AF1" s="66">
        <v>44772</v>
      </c>
      <c r="AG1" s="66">
        <v>44773</v>
      </c>
      <c r="AH1" s="3"/>
      <c r="AI1" s="3"/>
      <c r="AJ1" s="3"/>
    </row>
    <row r="2" spans="1:36" s="68" customFormat="1" ht="17.25" x14ac:dyDescent="0.3">
      <c r="A2" s="67" t="s">
        <v>203</v>
      </c>
      <c r="G2" s="68">
        <v>1500000</v>
      </c>
      <c r="J2" s="68">
        <v>200000</v>
      </c>
      <c r="T2" s="68">
        <v>1500000</v>
      </c>
      <c r="AD2" s="68">
        <v>1000000</v>
      </c>
    </row>
    <row r="3" spans="1:36" s="5" customFormat="1" ht="17.25" x14ac:dyDescent="0.3">
      <c r="A3" s="46" t="s">
        <v>4</v>
      </c>
      <c r="B3" s="5">
        <f t="shared" ref="B3:AG3" si="0">SUM(B11,B13,B15,B17,B19,B21)</f>
        <v>0</v>
      </c>
      <c r="C3" s="5">
        <f>SUM(C11,C13,C15,C17,C19,C21)</f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>SUM(S10,S13,S15,S17,S19,S21)</f>
        <v>396000</v>
      </c>
      <c r="T3" s="5">
        <f t="shared" si="0"/>
        <v>352000</v>
      </c>
      <c r="U3" s="5">
        <f>SUM(U11,U13,U15,U17,U19,U21)</f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7.25" x14ac:dyDescent="0.3">
      <c r="A4" s="47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7.25" x14ac:dyDescent="0.3">
      <c r="A5" s="48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7.25" x14ac:dyDescent="0.3">
      <c r="A6" s="49" t="s">
        <v>2</v>
      </c>
      <c r="B6" s="8">
        <f>B5+B7</f>
        <v>218000</v>
      </c>
      <c r="C6" s="8">
        <f t="shared" ref="C6:G6" si="2">C5+C7</f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7.25" x14ac:dyDescent="0.3">
      <c r="A7" s="50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3" customFormat="1" ht="17.25" x14ac:dyDescent="0.3">
      <c r="A8" s="51" t="s">
        <v>194</v>
      </c>
      <c r="F8" s="43">
        <v>218000</v>
      </c>
      <c r="G8" s="43">
        <f>1500000+G12+G14+G16+G18+G20+G22+8000</f>
        <v>1480000</v>
      </c>
      <c r="I8" s="43">
        <v>30000</v>
      </c>
      <c r="J8" s="43">
        <f>230000-4000</f>
        <v>226000</v>
      </c>
    </row>
    <row r="9" spans="1:36" s="9" customFormat="1" ht="17.25" x14ac:dyDescent="0.3">
      <c r="A9" s="52"/>
    </row>
    <row r="10" spans="1:36" s="9" customFormat="1" ht="17.25" x14ac:dyDescent="0.3">
      <c r="A10" s="53" t="s">
        <v>24</v>
      </c>
      <c r="S10" s="10"/>
    </row>
    <row r="11" spans="1:36" s="10" customFormat="1" ht="17.25" x14ac:dyDescent="0.3">
      <c r="A11" s="54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2" t="s">
        <v>196</v>
      </c>
      <c r="H11" s="10" t="s">
        <v>199</v>
      </c>
      <c r="I11" s="42" t="s">
        <v>207</v>
      </c>
      <c r="J11" s="10" t="s">
        <v>212</v>
      </c>
      <c r="K11" s="10" t="s">
        <v>220</v>
      </c>
      <c r="L11" s="10" t="s">
        <v>224</v>
      </c>
      <c r="M11" s="10" t="s">
        <v>226</v>
      </c>
      <c r="Y11" s="10" t="s">
        <v>255</v>
      </c>
      <c r="AB11" s="10" t="s">
        <v>273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7.25" x14ac:dyDescent="0.3">
      <c r="A12" s="55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7.25" x14ac:dyDescent="0.3">
      <c r="A13" s="56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228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272</v>
      </c>
      <c r="AB13" s="12">
        <f>71500+5500</f>
        <v>77000</v>
      </c>
      <c r="AE13" s="12">
        <v>110000</v>
      </c>
    </row>
    <row r="14" spans="1:36" s="10" customFormat="1" ht="17.25" x14ac:dyDescent="0.3">
      <c r="A14" s="54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7.25" x14ac:dyDescent="0.3">
      <c r="A15" s="56" t="s">
        <v>6</v>
      </c>
      <c r="I15" s="72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2" t="s">
        <v>259</v>
      </c>
      <c r="AA15" s="12">
        <v>352000</v>
      </c>
      <c r="AE15" s="12">
        <v>66000</v>
      </c>
    </row>
    <row r="16" spans="1:36" s="10" customFormat="1" ht="17.25" x14ac:dyDescent="0.3">
      <c r="A16" s="54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7.25" x14ac:dyDescent="0.3">
      <c r="A17" s="56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252</v>
      </c>
      <c r="X17" s="12">
        <v>142000</v>
      </c>
      <c r="Z17" s="12">
        <v>40700</v>
      </c>
      <c r="AE17" s="12">
        <v>104500</v>
      </c>
    </row>
    <row r="18" spans="1:33" s="10" customFormat="1" ht="17.25" x14ac:dyDescent="0.3">
      <c r="A18" s="54" t="s">
        <v>11</v>
      </c>
      <c r="H18" s="10">
        <v>-80000</v>
      </c>
      <c r="I18" s="71" t="s">
        <v>209</v>
      </c>
      <c r="J18" s="10">
        <v>-16000</v>
      </c>
      <c r="L18" s="10" t="s">
        <v>219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7.25" x14ac:dyDescent="0.3">
      <c r="A19" s="56" t="s">
        <v>10</v>
      </c>
      <c r="J19" s="12">
        <v>190000</v>
      </c>
      <c r="P19" s="12">
        <v>88000</v>
      </c>
      <c r="U19" s="12">
        <v>142000</v>
      </c>
      <c r="AB19" s="12" t="s">
        <v>275</v>
      </c>
    </row>
    <row r="20" spans="1:33" s="10" customFormat="1" ht="17.25" x14ac:dyDescent="0.3">
      <c r="A20" s="54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7.25" x14ac:dyDescent="0.3">
      <c r="A21" s="56" t="s">
        <v>12</v>
      </c>
      <c r="J21" s="12">
        <v>50000</v>
      </c>
    </row>
    <row r="22" spans="1:33" s="10" customFormat="1" ht="17.25" x14ac:dyDescent="0.3">
      <c r="A22" s="54" t="s">
        <v>13</v>
      </c>
      <c r="J22" s="10" t="s">
        <v>215</v>
      </c>
    </row>
    <row r="23" spans="1:33" s="9" customFormat="1" ht="17.25" x14ac:dyDescent="0.3">
      <c r="A23" s="53"/>
      <c r="J23" s="9">
        <v>55000</v>
      </c>
    </row>
    <row r="24" spans="1:33" s="9" customFormat="1" ht="17.25" x14ac:dyDescent="0.3">
      <c r="A24" s="53"/>
      <c r="J24" s="9">
        <v>77000</v>
      </c>
    </row>
    <row r="25" spans="1:33" s="20" customFormat="1" ht="66" x14ac:dyDescent="0.3">
      <c r="A25" s="57" t="s">
        <v>17</v>
      </c>
      <c r="C25" s="20" t="s">
        <v>19</v>
      </c>
      <c r="D25" s="20" t="s">
        <v>23</v>
      </c>
      <c r="E25" s="20" t="s">
        <v>235</v>
      </c>
      <c r="F25" s="20" t="s">
        <v>3</v>
      </c>
      <c r="G25" s="20" t="s">
        <v>192</v>
      </c>
      <c r="H25" s="20" t="s">
        <v>201</v>
      </c>
      <c r="I25" s="20" t="s">
        <v>236</v>
      </c>
      <c r="J25" s="76" t="s">
        <v>223</v>
      </c>
      <c r="K25" s="20" t="s">
        <v>221</v>
      </c>
      <c r="L25" s="20" t="s">
        <v>225</v>
      </c>
      <c r="M25" s="20" t="s">
        <v>227</v>
      </c>
      <c r="N25" s="20" t="s">
        <v>234</v>
      </c>
      <c r="O25" s="20" t="s">
        <v>229</v>
      </c>
      <c r="P25" s="20" t="s">
        <v>230</v>
      </c>
      <c r="Q25" s="20" t="s">
        <v>237</v>
      </c>
      <c r="R25" s="79" t="s">
        <v>239</v>
      </c>
      <c r="S25" s="20" t="s">
        <v>240</v>
      </c>
      <c r="T25" s="20" t="s">
        <v>246</v>
      </c>
      <c r="U25" s="20" t="s">
        <v>253</v>
      </c>
      <c r="W25" s="20" t="s">
        <v>254</v>
      </c>
      <c r="X25" s="20" t="s">
        <v>270</v>
      </c>
      <c r="Y25" s="20" t="s">
        <v>256</v>
      </c>
      <c r="Z25" s="109" t="s">
        <v>284</v>
      </c>
      <c r="AA25" s="20" t="s">
        <v>271</v>
      </c>
      <c r="AB25" s="20" t="s">
        <v>274</v>
      </c>
      <c r="AC25" s="20" t="s">
        <v>277</v>
      </c>
      <c r="AD25" s="20" t="s">
        <v>279</v>
      </c>
      <c r="AE25" s="20" t="s">
        <v>280</v>
      </c>
      <c r="AF25" s="20" t="s">
        <v>277</v>
      </c>
      <c r="AG25" s="20" t="s">
        <v>285</v>
      </c>
    </row>
    <row r="26" spans="1:33" s="19" customFormat="1" ht="17.25" x14ac:dyDescent="0.3">
      <c r="A26" s="58"/>
      <c r="B26" s="20"/>
      <c r="C26" s="20" t="s">
        <v>18</v>
      </c>
      <c r="F26" s="19" t="s">
        <v>14</v>
      </c>
      <c r="G26" s="19" t="s">
        <v>198</v>
      </c>
    </row>
    <row r="27" spans="1:33" s="19" customFormat="1" ht="17.25" x14ac:dyDescent="0.3">
      <c r="A27" s="58"/>
      <c r="B27" s="20"/>
      <c r="C27" s="20"/>
    </row>
    <row r="28" spans="1:33" s="19" customFormat="1" ht="17.25" x14ac:dyDescent="0.3">
      <c r="A28" s="58"/>
      <c r="C28" s="19" t="s">
        <v>20</v>
      </c>
      <c r="D28" s="19" t="s">
        <v>21</v>
      </c>
    </row>
    <row r="29" spans="1:33" s="21" customFormat="1" ht="17.25" x14ac:dyDescent="0.3">
      <c r="A29" s="59" t="s">
        <v>22</v>
      </c>
      <c r="C29" s="21">
        <v>740000</v>
      </c>
      <c r="D29" s="21">
        <v>260000</v>
      </c>
      <c r="F29" s="21">
        <v>300000</v>
      </c>
      <c r="G29" s="21">
        <v>342300</v>
      </c>
    </row>
    <row r="30" spans="1:33" s="9" customFormat="1" ht="17.25" x14ac:dyDescent="0.3">
      <c r="A30" s="60" t="s">
        <v>243</v>
      </c>
      <c r="B30" s="92">
        <f>SUM(B2:AG2)+1558090</f>
        <v>5758090</v>
      </c>
      <c r="C30" s="92" t="s">
        <v>245</v>
      </c>
      <c r="J30" s="9" t="s">
        <v>218</v>
      </c>
      <c r="U30" s="93" t="s">
        <v>250</v>
      </c>
    </row>
    <row r="31" spans="1:33" s="9" customFormat="1" ht="18" thickBot="1" x14ac:dyDescent="0.35">
      <c r="A31" s="77" t="s">
        <v>244</v>
      </c>
      <c r="B31" s="78">
        <f>SUM(B4:AG4)</f>
        <v>12226000</v>
      </c>
      <c r="C31" s="13"/>
      <c r="G31" s="9" t="s">
        <v>190</v>
      </c>
      <c r="J31" s="9">
        <v>300000</v>
      </c>
      <c r="U31" s="93">
        <f>25690+25790+4000+(27390*5)</f>
        <v>192430</v>
      </c>
    </row>
    <row r="32" spans="1:33" s="9" customFormat="1" ht="18" thickBot="1" x14ac:dyDescent="0.35">
      <c r="A32" s="69" t="s">
        <v>248</v>
      </c>
      <c r="B32" s="70">
        <f>SUM(B3:AG3)-B30</f>
        <v>3328610</v>
      </c>
      <c r="C32" s="15" t="s">
        <v>286</v>
      </c>
      <c r="D32" s="15"/>
      <c r="G32" s="9" t="s">
        <v>186</v>
      </c>
      <c r="J32" s="9">
        <v>220000</v>
      </c>
      <c r="U32" s="93" t="s">
        <v>249</v>
      </c>
    </row>
    <row r="33" spans="1:30" s="9" customFormat="1" ht="18" thickBot="1" x14ac:dyDescent="0.35">
      <c r="A33" s="61" t="s">
        <v>204</v>
      </c>
      <c r="B33" s="14">
        <f>SUM(B3:AG3)</f>
        <v>9086700</v>
      </c>
      <c r="C33" s="15"/>
      <c r="D33" s="15"/>
      <c r="J33" s="9">
        <v>264000</v>
      </c>
      <c r="U33" s="93">
        <v>57450</v>
      </c>
    </row>
    <row r="34" spans="1:30" s="9" customFormat="1" ht="18" thickBot="1" x14ac:dyDescent="0.35">
      <c r="A34" s="62" t="s">
        <v>233</v>
      </c>
      <c r="B34" s="16">
        <f>SUM(B5:AG5)</f>
        <v>21312700</v>
      </c>
      <c r="C34" s="15"/>
      <c r="D34" s="15"/>
      <c r="G34" s="9" t="s">
        <v>187</v>
      </c>
      <c r="U34" s="93" t="s">
        <v>251</v>
      </c>
    </row>
    <row r="35" spans="1:30" s="9" customFormat="1" ht="18" thickBot="1" x14ac:dyDescent="0.35">
      <c r="A35" s="63" t="s">
        <v>206</v>
      </c>
      <c r="B35" s="17">
        <f>B34-B37</f>
        <v>20170400</v>
      </c>
      <c r="C35" s="15">
        <f>B35+B36</f>
        <v>11275400</v>
      </c>
      <c r="D35" s="15"/>
      <c r="G35" s="9" t="s">
        <v>188</v>
      </c>
    </row>
    <row r="36" spans="1:30" ht="18" thickBot="1" x14ac:dyDescent="0.35">
      <c r="A36" s="64" t="s">
        <v>16</v>
      </c>
      <c r="B36" s="44">
        <f>SUM(B7:AG7)</f>
        <v>-8895000</v>
      </c>
      <c r="C36" s="15"/>
      <c r="G36" s="1" t="s">
        <v>202</v>
      </c>
      <c r="J36" s="1" t="s">
        <v>217</v>
      </c>
      <c r="T36" s="1" t="s">
        <v>247</v>
      </c>
    </row>
    <row r="37" spans="1:30" ht="18" thickBot="1" x14ac:dyDescent="0.35">
      <c r="A37" s="65" t="s">
        <v>189</v>
      </c>
      <c r="B37" s="45">
        <f>SUM(B29:AG29)-SUM(40:40)</f>
        <v>1142300</v>
      </c>
    </row>
    <row r="38" spans="1:30" ht="18" thickBot="1" x14ac:dyDescent="0.35">
      <c r="A38" s="88" t="s">
        <v>193</v>
      </c>
      <c r="B38" s="89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8" thickBot="1" x14ac:dyDescent="0.35">
      <c r="A39" s="86" t="s">
        <v>197</v>
      </c>
      <c r="B39" s="87">
        <f>SUM(E4,G4,H4)+560000+480000-500000+400000+320000+T2+320000-U33-U31+400000+240000+100000-800000+Y4+AA12+AA14+AA4+240000-300000-600000+160000-AD41-AA41-AA44+280000+150000</f>
        <v>5291060</v>
      </c>
      <c r="C39" s="9"/>
      <c r="D39" s="90" t="s">
        <v>205</v>
      </c>
    </row>
    <row r="40" spans="1:30" x14ac:dyDescent="0.3">
      <c r="D40" s="91">
        <v>500000</v>
      </c>
      <c r="I40" s="73" t="s">
        <v>213</v>
      </c>
      <c r="J40" s="74" t="s">
        <v>214</v>
      </c>
      <c r="X40" s="73" t="s">
        <v>257</v>
      </c>
      <c r="Z40" s="73" t="s">
        <v>282</v>
      </c>
      <c r="AA40" s="108" t="s">
        <v>258</v>
      </c>
      <c r="AD40" s="108" t="s">
        <v>278</v>
      </c>
    </row>
    <row r="41" spans="1:30" x14ac:dyDescent="0.3">
      <c r="A41" s="80" t="s">
        <v>231</v>
      </c>
      <c r="B41" s="81">
        <f>SUM(B6:AG6)</f>
        <v>12417700</v>
      </c>
      <c r="I41" s="74">
        <v>560000</v>
      </c>
      <c r="J41" s="74">
        <v>480000</v>
      </c>
      <c r="X41" s="74">
        <v>240000</v>
      </c>
      <c r="Z41" s="74">
        <v>150000</v>
      </c>
      <c r="AA41" s="108">
        <v>36300</v>
      </c>
      <c r="AD41" s="108">
        <v>32760</v>
      </c>
    </row>
    <row r="42" spans="1:30" x14ac:dyDescent="0.3">
      <c r="A42" s="84" t="s">
        <v>232</v>
      </c>
      <c r="B42" s="85">
        <f>B32+B38+B39</f>
        <v>9705670</v>
      </c>
      <c r="I42" s="82" t="s">
        <v>222</v>
      </c>
      <c r="J42" s="82" t="s">
        <v>222</v>
      </c>
      <c r="X42" s="82" t="s">
        <v>276</v>
      </c>
      <c r="Z42" s="82" t="s">
        <v>283</v>
      </c>
      <c r="AA42" s="108" t="s">
        <v>268</v>
      </c>
    </row>
    <row r="43" spans="1:30" x14ac:dyDescent="0.3">
      <c r="J43" s="75"/>
      <c r="AA43" s="108" t="s">
        <v>269</v>
      </c>
    </row>
    <row r="44" spans="1:30" x14ac:dyDescent="0.3">
      <c r="A44" s="1" t="s">
        <v>238</v>
      </c>
      <c r="B44" s="1">
        <v>758090</v>
      </c>
      <c r="AA44" s="108">
        <v>30000</v>
      </c>
    </row>
    <row r="45" spans="1:30" x14ac:dyDescent="0.3">
      <c r="A45" s="1" t="s">
        <v>241</v>
      </c>
      <c r="B45" s="1">
        <v>800000</v>
      </c>
      <c r="AA45" s="108" t="s">
        <v>268</v>
      </c>
    </row>
    <row r="46" spans="1:30" x14ac:dyDescent="0.3">
      <c r="A46" s="1" t="s">
        <v>242</v>
      </c>
      <c r="B46" s="83">
        <f>SUM(B44:B45)</f>
        <v>1558090</v>
      </c>
      <c r="C46" s="9"/>
      <c r="D46" s="9"/>
    </row>
    <row r="48" spans="1:30" x14ac:dyDescent="0.3">
      <c r="C48" s="9">
        <f>B38+B39+B32-B37-2800000</f>
        <v>5763370</v>
      </c>
      <c r="D48" s="9">
        <f>2000000-1250000+B37+1000000</f>
        <v>2892300</v>
      </c>
    </row>
    <row r="49" spans="3:10" x14ac:dyDescent="0.3">
      <c r="C49" s="7">
        <f>39000+20000</f>
        <v>59000</v>
      </c>
    </row>
    <row r="51" spans="3:10" x14ac:dyDescent="0.3">
      <c r="D51" s="15">
        <f>2000000-1250000</f>
        <v>750000</v>
      </c>
    </row>
    <row r="52" spans="3:10" x14ac:dyDescent="0.3">
      <c r="D52" s="9"/>
    </row>
    <row r="55" spans="3:10" ht="17.25" thickBot="1" x14ac:dyDescent="0.35">
      <c r="E55" s="96"/>
      <c r="F55" s="96"/>
      <c r="G55" s="96"/>
      <c r="H55" s="96"/>
      <c r="I55" s="96"/>
    </row>
    <row r="56" spans="3:10" ht="18" thickTop="1" thickBot="1" x14ac:dyDescent="0.35">
      <c r="D56" s="94"/>
      <c r="E56" s="121" t="s">
        <v>266</v>
      </c>
      <c r="F56" s="122"/>
      <c r="G56" s="122"/>
      <c r="H56" s="122"/>
      <c r="I56" s="123"/>
      <c r="J56" s="95"/>
    </row>
    <row r="57" spans="3:10" ht="18" thickTop="1" thickBot="1" x14ac:dyDescent="0.35">
      <c r="D57" s="94"/>
      <c r="E57" s="98" t="s">
        <v>260</v>
      </c>
      <c r="F57" s="100" t="s">
        <v>261</v>
      </c>
      <c r="G57" s="102" t="s">
        <v>262</v>
      </c>
      <c r="H57" s="106" t="s">
        <v>263</v>
      </c>
      <c r="I57" s="104" t="s">
        <v>264</v>
      </c>
      <c r="J57" s="95"/>
    </row>
    <row r="58" spans="3:10" ht="18" thickTop="1" thickBot="1" x14ac:dyDescent="0.35">
      <c r="D58" s="94"/>
      <c r="E58" s="99">
        <f>SUM(B5:E5)</f>
        <v>2840000</v>
      </c>
      <c r="F58" s="101">
        <f>SUM(F5:L5)</f>
        <v>5998000</v>
      </c>
      <c r="G58" s="103">
        <f>SUM(M5:S5)</f>
        <v>3117000</v>
      </c>
      <c r="H58" s="107">
        <f>SUM(T5:Z5)</f>
        <v>5525700</v>
      </c>
      <c r="I58" s="105">
        <f>SUM(AA5:AG5)</f>
        <v>3832000</v>
      </c>
      <c r="J58" s="15"/>
    </row>
    <row r="59" spans="3:10" ht="18" thickTop="1" thickBot="1" x14ac:dyDescent="0.35">
      <c r="E59" s="97"/>
      <c r="F59" s="97"/>
      <c r="G59" s="97"/>
      <c r="H59" s="99" t="s">
        <v>265</v>
      </c>
      <c r="I59" s="99">
        <f>SUM(E58:I58)</f>
        <v>21312700</v>
      </c>
    </row>
    <row r="60" spans="3:10" ht="18" thickTop="1" thickBot="1" x14ac:dyDescent="0.35">
      <c r="H60" s="99" t="s">
        <v>267</v>
      </c>
      <c r="I60" s="99">
        <f>AVERAGE(E58:I58)</f>
        <v>4262540</v>
      </c>
    </row>
    <row r="61" spans="3:10" ht="17.25" thickTop="1" x14ac:dyDescent="0.3"/>
    <row r="73" spans="1:2" x14ac:dyDescent="0.3">
      <c r="A73" s="1" t="s">
        <v>281</v>
      </c>
      <c r="B73" s="1">
        <v>190000</v>
      </c>
    </row>
  </sheetData>
  <mergeCells count="1">
    <mergeCell ref="E56:I5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I81"/>
  <sheetViews>
    <sheetView tabSelected="1" topLeftCell="A10" zoomScale="80" zoomScaleNormal="80" workbookViewId="0">
      <selection activeCell="I45" sqref="I45"/>
    </sheetView>
  </sheetViews>
  <sheetFormatPr defaultColWidth="9" defaultRowHeight="16.5" x14ac:dyDescent="0.3"/>
  <cols>
    <col min="1" max="1" width="24.875" style="1" bestFit="1" customWidth="1"/>
    <col min="2" max="32" width="20.125" style="1" customWidth="1"/>
    <col min="33" max="16384" width="9" style="1"/>
  </cols>
  <sheetData>
    <row r="1" spans="1:35" s="4" customFormat="1" ht="18" thickBot="1" x14ac:dyDescent="0.35">
      <c r="A1" s="2"/>
      <c r="B1" s="66">
        <v>44774</v>
      </c>
      <c r="C1" s="66">
        <v>44775</v>
      </c>
      <c r="D1" s="66">
        <v>44776</v>
      </c>
      <c r="E1" s="66">
        <v>44777</v>
      </c>
      <c r="F1" s="66">
        <v>44778</v>
      </c>
      <c r="G1" s="66">
        <v>44779</v>
      </c>
      <c r="H1" s="66">
        <v>44780</v>
      </c>
      <c r="I1" s="66">
        <v>44781</v>
      </c>
      <c r="J1" s="66">
        <v>44782</v>
      </c>
      <c r="K1" s="66">
        <v>44783</v>
      </c>
      <c r="L1" s="66">
        <v>44784</v>
      </c>
      <c r="M1" s="66">
        <v>44785</v>
      </c>
      <c r="N1" s="66">
        <v>44786</v>
      </c>
      <c r="O1" s="66">
        <v>44787</v>
      </c>
      <c r="P1" s="66">
        <v>44788</v>
      </c>
      <c r="Q1" s="66">
        <v>44789</v>
      </c>
      <c r="R1" s="66">
        <v>44790</v>
      </c>
      <c r="S1" s="66">
        <v>44791</v>
      </c>
      <c r="T1" s="66">
        <v>44792</v>
      </c>
      <c r="U1" s="66">
        <v>44793</v>
      </c>
      <c r="V1" s="66">
        <v>44794</v>
      </c>
      <c r="W1" s="66">
        <v>44795</v>
      </c>
      <c r="X1" s="66">
        <v>44796</v>
      </c>
      <c r="Y1" s="66">
        <v>44797</v>
      </c>
      <c r="Z1" s="66">
        <v>44798</v>
      </c>
      <c r="AA1" s="66">
        <v>44799</v>
      </c>
      <c r="AB1" s="66">
        <v>44800</v>
      </c>
      <c r="AC1" s="66">
        <v>44801</v>
      </c>
      <c r="AD1" s="66">
        <v>44802</v>
      </c>
      <c r="AE1" s="66">
        <v>44803</v>
      </c>
      <c r="AF1" s="66">
        <v>44804</v>
      </c>
      <c r="AG1" s="3"/>
      <c r="AH1" s="3"/>
      <c r="AI1" s="3"/>
    </row>
    <row r="2" spans="1:35" s="68" customFormat="1" ht="17.25" x14ac:dyDescent="0.3">
      <c r="A2" s="67" t="s">
        <v>203</v>
      </c>
      <c r="E2" s="68">
        <v>160000</v>
      </c>
      <c r="S2" s="68">
        <v>3000000</v>
      </c>
    </row>
    <row r="3" spans="1:35" s="5" customFormat="1" ht="17.25" x14ac:dyDescent="0.3">
      <c r="A3" s="46" t="s">
        <v>4</v>
      </c>
      <c r="B3" s="5">
        <f t="shared" ref="B3:AF3" si="0">SUM(B12,B14,B16,B18,B20,B22)</f>
        <v>0</v>
      </c>
      <c r="C3" s="5">
        <f t="shared" si="0"/>
        <v>33000</v>
      </c>
      <c r="D3" s="5">
        <f t="shared" si="0"/>
        <v>45000</v>
      </c>
      <c r="E3" s="5">
        <f t="shared" si="0"/>
        <v>0</v>
      </c>
      <c r="F3" s="5">
        <f>SUM(F12,F14,F16,F18,F20,F22)</f>
        <v>0</v>
      </c>
      <c r="G3" s="5">
        <f t="shared" si="0"/>
        <v>125000</v>
      </c>
      <c r="H3" s="5">
        <f t="shared" si="0"/>
        <v>66000</v>
      </c>
      <c r="I3" s="5">
        <f>SUM(I12,I14,I16,I18,I20,I22)</f>
        <v>1804000</v>
      </c>
      <c r="K3" s="5">
        <f>SUM(K12,K14,K16,K18,K20,K22,K24,K25,K32,K33,K34)</f>
        <v>233200</v>
      </c>
      <c r="L3" s="5">
        <f t="shared" si="0"/>
        <v>0</v>
      </c>
      <c r="M3" s="5">
        <f t="shared" si="0"/>
        <v>0</v>
      </c>
      <c r="N3" s="5">
        <f t="shared" si="0"/>
        <v>2019200</v>
      </c>
      <c r="O3" s="5">
        <f t="shared" si="0"/>
        <v>0</v>
      </c>
      <c r="P3" s="5">
        <f>SUM(P12,P14,P16,P18,P20,P22)</f>
        <v>90200</v>
      </c>
      <c r="Q3" s="5">
        <f>SUM(Q12,Q14,Q16,Q18,Q20,Q22)</f>
        <v>110000</v>
      </c>
      <c r="R3" s="5">
        <f>SUM(R12,R14,R16,R18,R20,R22)</f>
        <v>220000</v>
      </c>
      <c r="S3" s="5">
        <f>SUM(S12,S14,S16,S18,S20,S22)</f>
        <v>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 t="shared" si="0"/>
        <v>0</v>
      </c>
    </row>
    <row r="4" spans="1:35" s="112" customFormat="1" ht="17.25" x14ac:dyDescent="0.3">
      <c r="A4" s="111" t="s">
        <v>289</v>
      </c>
      <c r="B4" s="112">
        <v>0</v>
      </c>
      <c r="C4" s="112">
        <v>630000</v>
      </c>
      <c r="D4" s="112">
        <v>0</v>
      </c>
      <c r="E4" s="112">
        <f>160000+320000</f>
        <v>480000</v>
      </c>
      <c r="G4" s="112">
        <v>480000</v>
      </c>
      <c r="H4" s="112">
        <v>41000</v>
      </c>
      <c r="I4" s="112">
        <f>200000-20000</f>
        <v>180000</v>
      </c>
      <c r="K4" s="112">
        <v>0</v>
      </c>
      <c r="L4" s="112">
        <v>0</v>
      </c>
      <c r="M4" s="112">
        <v>0</v>
      </c>
      <c r="N4" s="112">
        <v>0</v>
      </c>
      <c r="Q4" s="112">
        <v>1200000</v>
      </c>
    </row>
    <row r="5" spans="1:35" s="6" customFormat="1" ht="17.25" x14ac:dyDescent="0.3">
      <c r="A5" s="47" t="s">
        <v>0</v>
      </c>
      <c r="B5" s="6">
        <v>10000</v>
      </c>
      <c r="C5" s="6">
        <v>0</v>
      </c>
      <c r="D5" s="6">
        <v>480000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K5" s="6">
        <v>0</v>
      </c>
      <c r="L5" s="6">
        <v>45000</v>
      </c>
      <c r="M5" s="6">
        <v>0</v>
      </c>
      <c r="N5" s="6">
        <v>0</v>
      </c>
      <c r="Q5" s="6">
        <v>30000</v>
      </c>
      <c r="R5" s="6">
        <v>320000</v>
      </c>
      <c r="S5" s="6">
        <v>120000</v>
      </c>
    </row>
    <row r="6" spans="1:35" s="7" customFormat="1" ht="17.25" x14ac:dyDescent="0.3">
      <c r="A6" s="48" t="s">
        <v>1</v>
      </c>
      <c r="B6" s="7">
        <f>B3+B4+B5</f>
        <v>10000</v>
      </c>
      <c r="C6" s="7">
        <f>C3+C4+C5</f>
        <v>663000</v>
      </c>
      <c r="D6" s="7">
        <f>D3+D4+D5</f>
        <v>525000</v>
      </c>
      <c r="E6" s="7">
        <f>E3+E4+E5</f>
        <v>480000</v>
      </c>
      <c r="F6" s="7">
        <f t="shared" ref="F6:AF6" si="1">F3+F4+F5</f>
        <v>0</v>
      </c>
      <c r="G6" s="7">
        <f t="shared" si="1"/>
        <v>605000</v>
      </c>
      <c r="H6" s="7">
        <f t="shared" si="1"/>
        <v>107000</v>
      </c>
      <c r="I6" s="7">
        <f t="shared" si="1"/>
        <v>1984000</v>
      </c>
      <c r="K6" s="7">
        <f t="shared" ref="K6" si="2">K3+K4+K5</f>
        <v>233200</v>
      </c>
      <c r="L6" s="7">
        <f t="shared" si="1"/>
        <v>45000</v>
      </c>
      <c r="M6" s="7">
        <f t="shared" si="1"/>
        <v>0</v>
      </c>
      <c r="N6" s="7">
        <f t="shared" si="1"/>
        <v>2019200</v>
      </c>
      <c r="O6" s="7">
        <f t="shared" si="1"/>
        <v>0</v>
      </c>
      <c r="P6" s="7">
        <f t="shared" si="1"/>
        <v>90200</v>
      </c>
      <c r="Q6" s="7">
        <f t="shared" si="1"/>
        <v>1340000</v>
      </c>
      <c r="R6" s="7">
        <f t="shared" si="1"/>
        <v>540000</v>
      </c>
      <c r="S6" s="7">
        <f t="shared" si="1"/>
        <v>120000</v>
      </c>
      <c r="T6" s="7">
        <f t="shared" si="1"/>
        <v>0</v>
      </c>
      <c r="U6" s="7">
        <f t="shared" si="1"/>
        <v>0</v>
      </c>
      <c r="V6" s="7">
        <f t="shared" si="1"/>
        <v>0</v>
      </c>
      <c r="W6" s="7">
        <f t="shared" si="1"/>
        <v>0</v>
      </c>
      <c r="X6" s="7">
        <f t="shared" si="1"/>
        <v>0</v>
      </c>
      <c r="Y6" s="7">
        <f t="shared" si="1"/>
        <v>0</v>
      </c>
      <c r="Z6" s="7">
        <f t="shared" si="1"/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</row>
    <row r="7" spans="1:35" s="8" customFormat="1" ht="17.25" x14ac:dyDescent="0.3">
      <c r="A7" s="49" t="s">
        <v>2</v>
      </c>
      <c r="B7" s="8">
        <f>B6+B8</f>
        <v>10000</v>
      </c>
      <c r="C7" s="8">
        <f>C6+C8</f>
        <v>410000</v>
      </c>
      <c r="D7" s="8">
        <f t="shared" ref="D7:AF7" si="3">D6+D8</f>
        <v>273000</v>
      </c>
      <c r="E7" s="8">
        <f>E6+E8</f>
        <v>228000</v>
      </c>
      <c r="F7" s="8">
        <f t="shared" si="3"/>
        <v>0</v>
      </c>
      <c r="G7" s="8">
        <f t="shared" si="3"/>
        <v>341000</v>
      </c>
      <c r="H7" s="8">
        <f t="shared" si="3"/>
        <v>87000</v>
      </c>
      <c r="I7" s="8">
        <f>I6+I8</f>
        <v>1146000</v>
      </c>
      <c r="K7" s="8">
        <f t="shared" ref="K7" si="4">K6+K8</f>
        <v>209200</v>
      </c>
      <c r="L7" s="8">
        <f t="shared" si="3"/>
        <v>45000</v>
      </c>
      <c r="M7" s="8">
        <f t="shared" si="3"/>
        <v>0</v>
      </c>
      <c r="N7" s="8">
        <f t="shared" si="3"/>
        <v>1127200</v>
      </c>
      <c r="O7" s="8">
        <f t="shared" si="3"/>
        <v>0</v>
      </c>
      <c r="P7" s="8">
        <f>P6+P8</f>
        <v>-575800</v>
      </c>
      <c r="Q7" s="8">
        <f t="shared" si="3"/>
        <v>1068000</v>
      </c>
      <c r="R7" s="8">
        <f t="shared" si="3"/>
        <v>460000</v>
      </c>
      <c r="S7" s="8">
        <f t="shared" si="3"/>
        <v>-92000</v>
      </c>
      <c r="T7" s="8">
        <f t="shared" si="3"/>
        <v>0</v>
      </c>
      <c r="U7" s="8">
        <f t="shared" si="3"/>
        <v>0</v>
      </c>
      <c r="V7" s="8">
        <f t="shared" si="3"/>
        <v>0</v>
      </c>
      <c r="W7" s="8">
        <f t="shared" si="3"/>
        <v>0</v>
      </c>
      <c r="X7" s="8">
        <f t="shared" si="3"/>
        <v>0</v>
      </c>
      <c r="Y7" s="8">
        <f t="shared" si="3"/>
        <v>0</v>
      </c>
      <c r="Z7" s="8">
        <f t="shared" si="3"/>
        <v>0</v>
      </c>
      <c r="AA7" s="8">
        <f t="shared" si="3"/>
        <v>0</v>
      </c>
      <c r="AB7" s="8">
        <f t="shared" si="3"/>
        <v>0</v>
      </c>
      <c r="AC7" s="8">
        <f t="shared" si="3"/>
        <v>0</v>
      </c>
      <c r="AD7" s="8">
        <f t="shared" si="3"/>
        <v>0</v>
      </c>
      <c r="AE7" s="8">
        <f t="shared" si="3"/>
        <v>0</v>
      </c>
      <c r="AF7" s="8">
        <f t="shared" si="3"/>
        <v>0</v>
      </c>
    </row>
    <row r="8" spans="1:35" s="18" customFormat="1" ht="17.25" x14ac:dyDescent="0.3">
      <c r="A8" s="50" t="s">
        <v>195</v>
      </c>
      <c r="B8" s="18">
        <f t="shared" ref="B8:H8" si="5">SUM(B13,B15,B17,B19,B21,B23,B23)</f>
        <v>0</v>
      </c>
      <c r="C8" s="18">
        <f>SUM(C13,C15,C17,C19,C21,C23,C23)</f>
        <v>-253000</v>
      </c>
      <c r="D8" s="18">
        <f t="shared" si="5"/>
        <v>-252000</v>
      </c>
      <c r="E8" s="18">
        <f>SUM(E13,E15,E17,E19,E21,E23,E23)</f>
        <v>-252000</v>
      </c>
      <c r="F8" s="18">
        <f t="shared" si="5"/>
        <v>0</v>
      </c>
      <c r="G8" s="18">
        <f t="shared" si="5"/>
        <v>-264000</v>
      </c>
      <c r="H8" s="18">
        <f t="shared" si="5"/>
        <v>-20000</v>
      </c>
      <c r="I8" s="18">
        <f>SUM(I13,I15,I17,I19,I21,I23)</f>
        <v>-838000</v>
      </c>
      <c r="K8" s="18">
        <f t="shared" ref="K8" si="6">SUM(K13,K15,K17,K19,K21,K23)</f>
        <v>-24000</v>
      </c>
      <c r="L8" s="18">
        <f t="shared" ref="L8:AF8" si="7">SUM(L13,L15,L17,L19,L21,L23)</f>
        <v>0</v>
      </c>
      <c r="M8" s="18">
        <f t="shared" si="7"/>
        <v>0</v>
      </c>
      <c r="N8" s="18">
        <f t="shared" si="7"/>
        <v>-892000</v>
      </c>
      <c r="O8" s="18">
        <f t="shared" si="7"/>
        <v>0</v>
      </c>
      <c r="P8" s="18">
        <f>SUM(P13,P15,P17,P19,P21,P23)</f>
        <v>-666000</v>
      </c>
      <c r="Q8" s="18">
        <f>SUM(Q13,Q15,Q17,Q19,Q21,Q23)</f>
        <v>-272000</v>
      </c>
      <c r="R8" s="18">
        <f>SUM(R13,R15,R17,R19,R21,R23)</f>
        <v>-80000</v>
      </c>
      <c r="S8" s="18">
        <f>SUM(S13,S15,S17,S19,S21,S23)</f>
        <v>-212000</v>
      </c>
      <c r="T8" s="18">
        <f t="shared" si="7"/>
        <v>0</v>
      </c>
      <c r="U8" s="18">
        <f t="shared" si="7"/>
        <v>0</v>
      </c>
      <c r="V8" s="18">
        <f t="shared" si="7"/>
        <v>0</v>
      </c>
      <c r="W8" s="18">
        <f t="shared" si="7"/>
        <v>0</v>
      </c>
      <c r="X8" s="18">
        <f t="shared" si="7"/>
        <v>0</v>
      </c>
      <c r="Y8" s="18">
        <f t="shared" si="7"/>
        <v>0</v>
      </c>
      <c r="Z8" s="18">
        <f t="shared" si="7"/>
        <v>0</v>
      </c>
      <c r="AA8" s="18">
        <f t="shared" si="7"/>
        <v>0</v>
      </c>
      <c r="AB8" s="18">
        <f t="shared" si="7"/>
        <v>0</v>
      </c>
      <c r="AC8" s="18">
        <f t="shared" si="7"/>
        <v>0</v>
      </c>
      <c r="AD8" s="18">
        <f t="shared" si="7"/>
        <v>0</v>
      </c>
      <c r="AE8" s="18">
        <f t="shared" si="7"/>
        <v>0</v>
      </c>
      <c r="AF8" s="18">
        <f t="shared" si="7"/>
        <v>0</v>
      </c>
    </row>
    <row r="9" spans="1:35" s="43" customFormat="1" ht="17.25" x14ac:dyDescent="0.3">
      <c r="A9" s="51" t="s">
        <v>194</v>
      </c>
    </row>
    <row r="10" spans="1:35" s="9" customFormat="1" ht="17.25" x14ac:dyDescent="0.3">
      <c r="A10" s="52"/>
    </row>
    <row r="11" spans="1:35" s="9" customFormat="1" ht="17.25" x14ac:dyDescent="0.3">
      <c r="A11" s="53" t="s">
        <v>24</v>
      </c>
    </row>
    <row r="12" spans="1:35" s="10" customFormat="1" ht="17.25" x14ac:dyDescent="0.3">
      <c r="A12" s="54" t="s">
        <v>5</v>
      </c>
      <c r="G12" s="42"/>
      <c r="I12" s="42"/>
    </row>
    <row r="13" spans="1:35" s="11" customFormat="1" ht="17.25" x14ac:dyDescent="0.3">
      <c r="A13" s="55" t="s">
        <v>15</v>
      </c>
      <c r="C13" s="11">
        <v>-240000</v>
      </c>
      <c r="D13" s="11">
        <v>-12000</v>
      </c>
      <c r="E13" s="11">
        <f>-80000-80000-80000</f>
        <v>-240000</v>
      </c>
      <c r="G13" s="11">
        <f>-12000-12000-240000</f>
        <v>-264000</v>
      </c>
      <c r="H13" s="11">
        <v>-20000</v>
      </c>
      <c r="I13" s="11">
        <f>-12000-12000</f>
        <v>-24000</v>
      </c>
      <c r="N13" s="11">
        <f>-24000-12000</f>
        <v>-36000</v>
      </c>
      <c r="S13" s="11">
        <v>-12000</v>
      </c>
      <c r="AA13" s="10"/>
    </row>
    <row r="14" spans="1:35" s="12" customFormat="1" ht="17.25" x14ac:dyDescent="0.3">
      <c r="A14" s="56" t="s">
        <v>7</v>
      </c>
      <c r="C14" s="12" t="s">
        <v>290</v>
      </c>
      <c r="D14" s="12">
        <v>45000</v>
      </c>
      <c r="G14" s="12">
        <v>125000</v>
      </c>
      <c r="H14" s="12">
        <v>66000</v>
      </c>
      <c r="I14" s="12">
        <v>700000</v>
      </c>
      <c r="K14" s="12">
        <v>51700</v>
      </c>
      <c r="N14" s="12">
        <v>1298000</v>
      </c>
      <c r="P14" s="12">
        <v>90200</v>
      </c>
      <c r="Q14" s="12">
        <v>110000</v>
      </c>
      <c r="R14" s="12">
        <v>176000</v>
      </c>
    </row>
    <row r="15" spans="1:35" s="10" customFormat="1" ht="17.25" x14ac:dyDescent="0.3">
      <c r="A15" s="54" t="s">
        <v>9</v>
      </c>
      <c r="C15" s="10">
        <f>-1000</f>
        <v>-1000</v>
      </c>
      <c r="D15" s="10">
        <f>-120000-120000</f>
        <v>-240000</v>
      </c>
      <c r="E15" s="10">
        <v>-12000</v>
      </c>
      <c r="I15" s="10">
        <v>-12000</v>
      </c>
      <c r="N15" s="10">
        <v>-26000</v>
      </c>
      <c r="P15" s="10">
        <v>-600000</v>
      </c>
      <c r="Q15" s="10">
        <v>-100000</v>
      </c>
      <c r="R15" s="10">
        <v>-80000</v>
      </c>
      <c r="S15" s="10">
        <v>-160000</v>
      </c>
    </row>
    <row r="16" spans="1:35" s="12" customFormat="1" ht="17.25" x14ac:dyDescent="0.3">
      <c r="A16" s="56" t="s">
        <v>6</v>
      </c>
      <c r="C16" s="12" t="s">
        <v>291</v>
      </c>
      <c r="I16" s="72">
        <v>704000</v>
      </c>
      <c r="K16" s="12">
        <v>132000</v>
      </c>
      <c r="N16" s="12" t="s">
        <v>316</v>
      </c>
      <c r="P16" s="12" t="s">
        <v>327</v>
      </c>
      <c r="R16" s="12">
        <v>44000</v>
      </c>
      <c r="Z16" s="72"/>
    </row>
    <row r="17" spans="1:30" s="10" customFormat="1" ht="17.25" x14ac:dyDescent="0.3">
      <c r="A17" s="54" t="s">
        <v>8</v>
      </c>
      <c r="C17" s="10">
        <v>-12000</v>
      </c>
      <c r="I17" s="10">
        <v>-12000</v>
      </c>
      <c r="K17" s="10">
        <f>-12000-12000</f>
        <v>-24000</v>
      </c>
      <c r="N17" s="10">
        <f>-440000-100000</f>
        <v>-540000</v>
      </c>
      <c r="P17" s="10">
        <v>-54000</v>
      </c>
      <c r="Q17" s="10">
        <v>-12000</v>
      </c>
      <c r="S17" s="10">
        <v>-40000</v>
      </c>
    </row>
    <row r="18" spans="1:30" s="12" customFormat="1" ht="17.25" x14ac:dyDescent="0.3">
      <c r="A18" s="56" t="s">
        <v>10</v>
      </c>
      <c r="C18" s="12" t="s">
        <v>292</v>
      </c>
      <c r="I18" s="12">
        <v>244000</v>
      </c>
      <c r="K18" s="12">
        <v>49500</v>
      </c>
      <c r="N18" s="12">
        <v>374700</v>
      </c>
      <c r="P18" s="12" t="s">
        <v>328</v>
      </c>
    </row>
    <row r="19" spans="1:30" s="10" customFormat="1" ht="17.25" x14ac:dyDescent="0.3">
      <c r="A19" s="54" t="s">
        <v>11</v>
      </c>
      <c r="I19" s="71">
        <f>-80000-80000-80000-40000</f>
        <v>-280000</v>
      </c>
      <c r="N19" s="10">
        <v>-110000</v>
      </c>
      <c r="P19" s="10">
        <v>-12000</v>
      </c>
      <c r="Q19" s="10">
        <v>-160000</v>
      </c>
    </row>
    <row r="20" spans="1:30" s="12" customFormat="1" ht="17.25" x14ac:dyDescent="0.3">
      <c r="A20" s="56" t="s">
        <v>10</v>
      </c>
      <c r="C20" s="12">
        <v>33000</v>
      </c>
      <c r="I20" s="12">
        <v>156000</v>
      </c>
      <c r="N20" s="12">
        <v>176000</v>
      </c>
    </row>
    <row r="21" spans="1:30" s="10" customFormat="1" ht="17.25" x14ac:dyDescent="0.3">
      <c r="A21" s="54" t="s">
        <v>11</v>
      </c>
      <c r="I21" s="10">
        <f>-80000-80000-80000-80000</f>
        <v>-320000</v>
      </c>
      <c r="N21" s="10">
        <v>-80000</v>
      </c>
    </row>
    <row r="22" spans="1:30" s="12" customFormat="1" ht="17.25" x14ac:dyDescent="0.3">
      <c r="A22" s="56" t="s">
        <v>12</v>
      </c>
      <c r="N22" s="12">
        <v>170500</v>
      </c>
    </row>
    <row r="23" spans="1:30" s="10" customFormat="1" ht="17.25" x14ac:dyDescent="0.3">
      <c r="A23" s="54" t="s">
        <v>13</v>
      </c>
      <c r="I23" s="10">
        <f>-80000-80000-30000</f>
        <v>-190000</v>
      </c>
      <c r="N23" s="10">
        <v>-100000</v>
      </c>
    </row>
    <row r="24" spans="1:30" s="9" customFormat="1" ht="17.25" x14ac:dyDescent="0.3">
      <c r="A24" s="53"/>
    </row>
    <row r="25" spans="1:30" s="9" customFormat="1" ht="17.25" x14ac:dyDescent="0.3">
      <c r="A25" s="53"/>
    </row>
    <row r="26" spans="1:30" s="20" customFormat="1" ht="33" x14ac:dyDescent="0.3">
      <c r="A26" s="57" t="s">
        <v>17</v>
      </c>
      <c r="B26" s="20" t="s">
        <v>293</v>
      </c>
      <c r="C26" s="20" t="s">
        <v>294</v>
      </c>
      <c r="D26" s="20" t="s">
        <v>303</v>
      </c>
      <c r="F26" s="20" t="s">
        <v>302</v>
      </c>
      <c r="G26" s="20" t="s">
        <v>304</v>
      </c>
      <c r="H26" s="20" t="s">
        <v>305</v>
      </c>
      <c r="I26" s="20" t="s">
        <v>311</v>
      </c>
      <c r="J26" s="76" t="s">
        <v>312</v>
      </c>
      <c r="K26" s="76" t="s">
        <v>313</v>
      </c>
      <c r="L26" s="20" t="s">
        <v>314</v>
      </c>
      <c r="M26" s="20" t="s">
        <v>315</v>
      </c>
      <c r="N26" s="20" t="s">
        <v>317</v>
      </c>
      <c r="O26" s="20" t="s">
        <v>318</v>
      </c>
      <c r="P26" s="20" t="s">
        <v>319</v>
      </c>
      <c r="Q26" s="20" t="s">
        <v>329</v>
      </c>
      <c r="R26" s="79"/>
      <c r="S26" s="120" t="s">
        <v>334</v>
      </c>
      <c r="Z26" s="109"/>
    </row>
    <row r="27" spans="1:30" s="19" customFormat="1" ht="17.25" x14ac:dyDescent="0.3">
      <c r="A27" s="58"/>
      <c r="B27" s="20"/>
      <c r="C27" s="20"/>
    </row>
    <row r="28" spans="1:30" s="19" customFormat="1" ht="17.25" x14ac:dyDescent="0.3">
      <c r="A28" s="58"/>
      <c r="B28" s="20"/>
      <c r="C28" s="20"/>
    </row>
    <row r="29" spans="1:30" s="19" customFormat="1" ht="17.25" x14ac:dyDescent="0.3">
      <c r="A29" s="58"/>
    </row>
    <row r="30" spans="1:30" s="21" customFormat="1" ht="17.25" x14ac:dyDescent="0.3">
      <c r="A30" s="59" t="s">
        <v>22</v>
      </c>
    </row>
    <row r="31" spans="1:30" s="9" customFormat="1" ht="17.25" x14ac:dyDescent="0.3">
      <c r="A31" s="60" t="s">
        <v>243</v>
      </c>
      <c r="B31" s="92">
        <f>SUM(B2:AF2)</f>
        <v>3160000</v>
      </c>
      <c r="C31" s="92"/>
      <c r="T31" s="1"/>
      <c r="U31" s="1"/>
      <c r="V31" s="1"/>
      <c r="W31" s="1"/>
      <c r="X31" s="1"/>
    </row>
    <row r="32" spans="1:30" s="9" customFormat="1" ht="18" thickBot="1" x14ac:dyDescent="0.35">
      <c r="A32" s="77" t="s">
        <v>244</v>
      </c>
      <c r="B32" s="78">
        <f>SUM(B5:AF5)</f>
        <v>1005000</v>
      </c>
      <c r="C32" s="13"/>
      <c r="S32" s="83" t="s">
        <v>326</v>
      </c>
      <c r="U32" s="1"/>
      <c r="V32" s="1"/>
      <c r="W32" s="1"/>
      <c r="X32" s="1"/>
      <c r="Z32" s="1"/>
      <c r="AA32" s="1"/>
      <c r="AB32" s="1"/>
      <c r="AC32" s="1"/>
      <c r="AD32" s="1"/>
    </row>
    <row r="33" spans="1:31" s="9" customFormat="1" ht="18" thickBot="1" x14ac:dyDescent="0.35">
      <c r="A33" s="69" t="s">
        <v>248</v>
      </c>
      <c r="B33" s="70">
        <f>B34-B31</f>
        <v>1746430</v>
      </c>
      <c r="D33" s="15"/>
      <c r="S33" s="116" t="s">
        <v>322</v>
      </c>
      <c r="U33" s="1"/>
      <c r="V33" s="1"/>
      <c r="W33" s="1"/>
      <c r="X33" s="1"/>
      <c r="Z33" s="1"/>
      <c r="AA33" s="1"/>
      <c r="AB33" s="1"/>
      <c r="AC33" s="1"/>
      <c r="AD33" s="1"/>
    </row>
    <row r="34" spans="1:31" s="9" customFormat="1" ht="18" thickBot="1" x14ac:dyDescent="0.35">
      <c r="A34" s="61" t="s">
        <v>204</v>
      </c>
      <c r="B34" s="14">
        <f>500000-D81+SUM(B3:AF3)</f>
        <v>4906430</v>
      </c>
      <c r="C34" s="15"/>
      <c r="D34" s="15"/>
      <c r="S34" s="83">
        <v>17690</v>
      </c>
      <c r="U34" s="1"/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 x14ac:dyDescent="0.35">
      <c r="A35" s="62" t="s">
        <v>233</v>
      </c>
      <c r="B35" s="16">
        <f>SUM(B6:AF6)</f>
        <v>8761600</v>
      </c>
      <c r="C35" s="15">
        <f>B35*0.1</f>
        <v>876160</v>
      </c>
      <c r="D35" s="15"/>
      <c r="S35" s="117" t="s">
        <v>323</v>
      </c>
      <c r="U35" s="1"/>
      <c r="V35" s="1"/>
      <c r="W35" s="1"/>
      <c r="X35" s="1"/>
      <c r="Z35" s="1"/>
      <c r="AA35" s="1"/>
      <c r="AB35" s="1"/>
      <c r="AC35" s="1"/>
      <c r="AD35" s="1"/>
    </row>
    <row r="36" spans="1:31" s="9" customFormat="1" ht="18" thickBot="1" x14ac:dyDescent="0.35">
      <c r="A36" s="63" t="s">
        <v>206</v>
      </c>
      <c r="B36" s="17">
        <f>B35+B37</f>
        <v>4078930</v>
      </c>
      <c r="C36" s="15"/>
      <c r="D36" s="15"/>
      <c r="S36" s="83">
        <v>16590</v>
      </c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 x14ac:dyDescent="0.35">
      <c r="A37" s="64" t="s">
        <v>16</v>
      </c>
      <c r="B37" s="44">
        <f>SUM(B8:AF8)-318500-339170</f>
        <v>-4682670</v>
      </c>
      <c r="C37" s="15"/>
      <c r="S37" s="118" t="s">
        <v>324</v>
      </c>
      <c r="Y37" s="9"/>
      <c r="AE37" s="9"/>
    </row>
    <row r="38" spans="1:31" ht="18" thickBot="1" x14ac:dyDescent="0.35">
      <c r="A38" s="65" t="s">
        <v>189</v>
      </c>
      <c r="B38" s="45">
        <f>SUM(B30:AF30)-SUM(41:41)</f>
        <v>0</v>
      </c>
      <c r="S38" s="83">
        <f>14290*2</f>
        <v>28580</v>
      </c>
      <c r="Y38" s="9"/>
      <c r="AE38" s="9"/>
    </row>
    <row r="39" spans="1:31" ht="18" thickBot="1" x14ac:dyDescent="0.35">
      <c r="A39" s="88" t="s">
        <v>193</v>
      </c>
      <c r="B39" s="89">
        <f>(1086000+SUM(B5:AF5)+SUM(B8:AF8))+340000+900000+900000</f>
        <v>206000</v>
      </c>
      <c r="C39" s="113">
        <f>34+90+90</f>
        <v>214</v>
      </c>
      <c r="D39" s="114" t="s">
        <v>321</v>
      </c>
      <c r="S39" s="118" t="s">
        <v>325</v>
      </c>
      <c r="Y39" s="9"/>
      <c r="AE39" s="9"/>
    </row>
    <row r="40" spans="1:31" ht="18" thickBot="1" x14ac:dyDescent="0.35">
      <c r="A40" s="86" t="s">
        <v>197</v>
      </c>
      <c r="B40" s="87">
        <f>5291060+SUM(B4:AF4)-340000-900000-900000+100000</f>
        <v>6262060</v>
      </c>
      <c r="C40" s="7">
        <f>-34-90-90</f>
        <v>-214</v>
      </c>
      <c r="D40" s="115">
        <f>(C39/30)*1800</f>
        <v>12840</v>
      </c>
      <c r="S40" s="83">
        <f>12390*3</f>
        <v>37170</v>
      </c>
      <c r="Y40" s="9"/>
      <c r="AE40" s="9"/>
    </row>
    <row r="41" spans="1:31" x14ac:dyDescent="0.3">
      <c r="C41" s="114" t="s">
        <v>320</v>
      </c>
      <c r="S41" s="118" t="s">
        <v>333</v>
      </c>
      <c r="Y41" s="9"/>
      <c r="AE41" s="9"/>
    </row>
    <row r="42" spans="1:31" x14ac:dyDescent="0.3">
      <c r="A42" s="80" t="s">
        <v>231</v>
      </c>
      <c r="B42" s="81">
        <f>SUM(B7:AF7)</f>
        <v>4736600</v>
      </c>
      <c r="S42" s="119">
        <f>SUM(S33:S40)</f>
        <v>100030</v>
      </c>
      <c r="Y42" s="9"/>
      <c r="AE42" s="9"/>
    </row>
    <row r="43" spans="1:31" x14ac:dyDescent="0.3">
      <c r="A43" s="84" t="s">
        <v>232</v>
      </c>
      <c r="B43" s="85">
        <f>B33+B39+B40</f>
        <v>8214490</v>
      </c>
      <c r="Y43" s="9"/>
      <c r="AE43" s="9"/>
    </row>
    <row r="44" spans="1:31" x14ac:dyDescent="0.3">
      <c r="S44" s="84">
        <v>15990</v>
      </c>
      <c r="Y44" s="9"/>
      <c r="AE44" s="9"/>
    </row>
    <row r="45" spans="1:31" x14ac:dyDescent="0.3">
      <c r="A45" s="1" t="s">
        <v>287</v>
      </c>
      <c r="B45" s="9">
        <v>867910</v>
      </c>
      <c r="S45" s="84">
        <v>17990</v>
      </c>
      <c r="Y45" s="9"/>
      <c r="AE45" s="9"/>
    </row>
    <row r="46" spans="1:31" x14ac:dyDescent="0.3">
      <c r="A46" s="1" t="s">
        <v>241</v>
      </c>
      <c r="B46" s="9">
        <v>800000</v>
      </c>
      <c r="S46" s="84">
        <v>19990</v>
      </c>
      <c r="Y46" s="9"/>
      <c r="AE46" s="9"/>
    </row>
    <row r="47" spans="1:31" x14ac:dyDescent="0.3">
      <c r="A47" s="1" t="s">
        <v>242</v>
      </c>
      <c r="B47" s="110">
        <f>SUM(B45:B46)</f>
        <v>1667910</v>
      </c>
      <c r="R47" s="1" t="s">
        <v>332</v>
      </c>
      <c r="S47" s="119">
        <f>SUM(S44:S46)</f>
        <v>53970</v>
      </c>
      <c r="Y47" s="9"/>
      <c r="AE47" s="9"/>
    </row>
    <row r="48" spans="1:31" x14ac:dyDescent="0.3">
      <c r="R48" s="1" t="s">
        <v>331</v>
      </c>
      <c r="S48" s="1">
        <f>10890+8490+219120+80000</f>
        <v>318500</v>
      </c>
      <c r="Y48" s="9"/>
      <c r="AE48" s="9"/>
    </row>
    <row r="49" spans="4:31" x14ac:dyDescent="0.3">
      <c r="S49" s="1">
        <f>SUM(S48,S42,S47)</f>
        <v>472500</v>
      </c>
      <c r="Y49" s="9"/>
      <c r="AE49" s="9"/>
    </row>
    <row r="50" spans="4:31" x14ac:dyDescent="0.3">
      <c r="R50" s="1" t="s">
        <v>330</v>
      </c>
      <c r="S50" s="1">
        <v>12600</v>
      </c>
      <c r="Y50" s="9"/>
      <c r="AE50" s="9"/>
    </row>
    <row r="51" spans="4:31" x14ac:dyDescent="0.3">
      <c r="Y51" s="9"/>
      <c r="AE51" s="9"/>
    </row>
    <row r="52" spans="4:31" x14ac:dyDescent="0.3">
      <c r="Y52" s="9"/>
      <c r="AE52" s="9"/>
    </row>
    <row r="53" spans="4:31" x14ac:dyDescent="0.3">
      <c r="Y53" s="9"/>
      <c r="AE53" s="9"/>
    </row>
    <row r="56" spans="4:31" ht="17.25" thickBot="1" x14ac:dyDescent="0.35">
      <c r="E56" s="96"/>
      <c r="F56" s="96"/>
      <c r="G56" s="96"/>
      <c r="H56" s="96"/>
      <c r="I56" s="96"/>
    </row>
    <row r="57" spans="4:31" ht="18" thickTop="1" thickBot="1" x14ac:dyDescent="0.35">
      <c r="D57" s="94"/>
      <c r="E57" s="121" t="s">
        <v>266</v>
      </c>
      <c r="F57" s="122"/>
      <c r="G57" s="122"/>
      <c r="H57" s="122"/>
      <c r="I57" s="123"/>
      <c r="J57" s="95"/>
    </row>
    <row r="58" spans="4:31" ht="18" thickTop="1" thickBot="1" x14ac:dyDescent="0.35">
      <c r="D58" s="94"/>
      <c r="E58" s="100" t="s">
        <v>306</v>
      </c>
      <c r="F58" s="102" t="s">
        <v>307</v>
      </c>
      <c r="G58" s="106" t="s">
        <v>308</v>
      </c>
      <c r="H58" s="104" t="s">
        <v>309</v>
      </c>
      <c r="I58" s="104" t="s">
        <v>310</v>
      </c>
      <c r="J58" s="95"/>
    </row>
    <row r="59" spans="4:31" ht="18" thickTop="1" thickBot="1" x14ac:dyDescent="0.35">
      <c r="D59" s="94"/>
      <c r="E59" s="99">
        <f>SUM(B6:E6)</f>
        <v>1678000</v>
      </c>
      <c r="F59" s="101">
        <f>SUM(F6:L6)</f>
        <v>2974200</v>
      </c>
      <c r="G59" s="103">
        <f>SUM(M6:S6)</f>
        <v>4109400</v>
      </c>
      <c r="H59" s="107">
        <f>SUM(T6:Z6)</f>
        <v>0</v>
      </c>
      <c r="I59" s="105">
        <f>SUM(AA6:AF6)</f>
        <v>0</v>
      </c>
      <c r="J59" s="15"/>
    </row>
    <row r="60" spans="4:31" ht="18" thickTop="1" thickBot="1" x14ac:dyDescent="0.35">
      <c r="E60" s="97"/>
      <c r="F60" s="97"/>
      <c r="G60" s="97"/>
      <c r="H60" s="99" t="s">
        <v>265</v>
      </c>
      <c r="I60" s="99">
        <f>SUM(E59:I59)</f>
        <v>8761600</v>
      </c>
    </row>
    <row r="61" spans="4:31" ht="18" thickTop="1" thickBot="1" x14ac:dyDescent="0.35">
      <c r="H61" s="99" t="s">
        <v>267</v>
      </c>
      <c r="I61" s="99">
        <f>AVERAGE(E59:I59)</f>
        <v>1752320</v>
      </c>
    </row>
    <row r="62" spans="4:31" ht="17.25" thickTop="1" x14ac:dyDescent="0.3"/>
    <row r="81" spans="3:4" x14ac:dyDescent="0.3">
      <c r="C81" s="1" t="s">
        <v>288</v>
      </c>
      <c r="D81" s="9">
        <v>339170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2:C3"/>
  <sheetViews>
    <sheetView workbookViewId="0">
      <selection activeCell="F23" sqref="F23"/>
    </sheetView>
  </sheetViews>
  <sheetFormatPr defaultRowHeight="16.5" x14ac:dyDescent="0.3"/>
  <cols>
    <col min="2" max="2" width="11.625" bestFit="1" customWidth="1"/>
  </cols>
  <sheetData>
    <row r="2" spans="2:3" x14ac:dyDescent="0.3">
      <c r="B2" t="s">
        <v>184</v>
      </c>
      <c r="C2" s="41" t="s">
        <v>185</v>
      </c>
    </row>
    <row r="3" spans="2:3" x14ac:dyDescent="0.3">
      <c r="B3" s="41"/>
    </row>
  </sheetData>
  <phoneticPr fontId="2" type="noConversion"/>
  <hyperlinks>
    <hyperlink ref="C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topLeftCell="A16" workbookViewId="0">
      <selection activeCell="G39" sqref="G39"/>
    </sheetView>
  </sheetViews>
  <sheetFormatPr defaultColWidth="9" defaultRowHeight="16.5" x14ac:dyDescent="0.3"/>
  <cols>
    <col min="1" max="1" width="9" style="22"/>
    <col min="2" max="2" width="20.25" style="22" customWidth="1"/>
    <col min="3" max="3" width="25.5" style="22" customWidth="1"/>
    <col min="4" max="4" width="13.375" style="22" customWidth="1"/>
    <col min="5" max="5" width="24.25" style="22" customWidth="1"/>
    <col min="6" max="6" width="11.25" style="22" customWidth="1"/>
    <col min="7" max="7" width="16.25" style="22" customWidth="1"/>
    <col min="8" max="9" width="9" style="22"/>
    <col min="10" max="10" width="22.125" style="22" customWidth="1"/>
    <col min="11" max="11" width="10.875" style="22" bestFit="1" customWidth="1"/>
    <col min="12" max="16384" width="9" style="22"/>
  </cols>
  <sheetData>
    <row r="1" spans="2:12" ht="27.6" customHeight="1" x14ac:dyDescent="0.3">
      <c r="B1" s="26" t="s">
        <v>101</v>
      </c>
      <c r="C1" s="26" t="s">
        <v>102</v>
      </c>
      <c r="D1" s="26" t="s">
        <v>133</v>
      </c>
      <c r="E1" s="26" t="s">
        <v>132</v>
      </c>
      <c r="F1" s="26" t="s">
        <v>131</v>
      </c>
      <c r="G1" s="26" t="s">
        <v>130</v>
      </c>
      <c r="H1" s="130" t="s">
        <v>129</v>
      </c>
      <c r="I1" s="130"/>
      <c r="J1" s="130"/>
      <c r="K1" s="130"/>
      <c r="L1" s="130"/>
    </row>
    <row r="2" spans="2:12" x14ac:dyDescent="0.3">
      <c r="B2" s="24" t="s">
        <v>128</v>
      </c>
      <c r="C2" s="24" t="s">
        <v>127</v>
      </c>
      <c r="D2" s="24" t="s">
        <v>84</v>
      </c>
      <c r="E2" s="24" t="s">
        <v>126</v>
      </c>
      <c r="F2" s="24"/>
      <c r="G2" s="24"/>
      <c r="H2" s="124" t="s">
        <v>125</v>
      </c>
      <c r="I2" s="125"/>
      <c r="J2" s="125"/>
      <c r="K2" s="125"/>
      <c r="L2" s="126"/>
    </row>
    <row r="3" spans="2:12" x14ac:dyDescent="0.3">
      <c r="B3" s="127" t="s">
        <v>30</v>
      </c>
      <c r="C3" s="24" t="s">
        <v>124</v>
      </c>
      <c r="D3" s="24" t="s">
        <v>75</v>
      </c>
      <c r="E3" s="24" t="s">
        <v>112</v>
      </c>
      <c r="F3" s="24"/>
      <c r="G3" s="24" t="s">
        <v>123</v>
      </c>
      <c r="H3" s="124"/>
      <c r="I3" s="125"/>
      <c r="J3" s="125"/>
      <c r="K3" s="125"/>
      <c r="L3" s="126"/>
    </row>
    <row r="4" spans="2:12" x14ac:dyDescent="0.3">
      <c r="B4" s="128"/>
      <c r="C4" s="24" t="s">
        <v>122</v>
      </c>
      <c r="D4" s="24"/>
      <c r="E4" s="24"/>
      <c r="F4" s="24"/>
      <c r="G4" s="24" t="s">
        <v>121</v>
      </c>
      <c r="H4" s="124"/>
      <c r="I4" s="125"/>
      <c r="J4" s="125"/>
      <c r="K4" s="125"/>
      <c r="L4" s="126"/>
    </row>
    <row r="5" spans="2:12" x14ac:dyDescent="0.3">
      <c r="B5" s="129"/>
      <c r="C5" s="24"/>
      <c r="D5" s="24"/>
      <c r="E5" s="24" t="s">
        <v>120</v>
      </c>
      <c r="F5" s="24"/>
      <c r="G5" s="24">
        <v>707266</v>
      </c>
      <c r="H5" s="124"/>
      <c r="I5" s="125"/>
      <c r="J5" s="125"/>
      <c r="K5" s="125"/>
      <c r="L5" s="126"/>
    </row>
    <row r="6" spans="2:12" x14ac:dyDescent="0.3">
      <c r="B6" s="24" t="s">
        <v>64</v>
      </c>
      <c r="C6" s="24" t="s">
        <v>119</v>
      </c>
      <c r="D6" s="24" t="s">
        <v>84</v>
      </c>
      <c r="E6" s="24" t="s">
        <v>112</v>
      </c>
      <c r="F6" s="24"/>
      <c r="G6" s="24"/>
      <c r="H6" s="124"/>
      <c r="I6" s="125"/>
      <c r="J6" s="125"/>
      <c r="K6" s="125"/>
      <c r="L6" s="126"/>
    </row>
    <row r="7" spans="2:12" x14ac:dyDescent="0.3">
      <c r="B7" s="24" t="s">
        <v>118</v>
      </c>
      <c r="C7" s="24" t="s">
        <v>117</v>
      </c>
      <c r="D7" s="24" t="s">
        <v>116</v>
      </c>
      <c r="E7" s="24" t="s">
        <v>112</v>
      </c>
      <c r="F7" s="24" t="s">
        <v>115</v>
      </c>
      <c r="G7" s="24" t="s">
        <v>114</v>
      </c>
      <c r="H7" s="124"/>
      <c r="I7" s="125"/>
      <c r="J7" s="125"/>
      <c r="K7" s="125"/>
      <c r="L7" s="126"/>
    </row>
    <row r="8" spans="2:12" x14ac:dyDescent="0.3">
      <c r="B8" s="24" t="s">
        <v>37</v>
      </c>
      <c r="C8" s="24" t="s">
        <v>113</v>
      </c>
      <c r="D8" s="24" t="s">
        <v>75</v>
      </c>
      <c r="E8" s="24" t="s">
        <v>112</v>
      </c>
      <c r="F8" s="24"/>
      <c r="G8" s="24" t="s">
        <v>111</v>
      </c>
      <c r="H8" s="124"/>
      <c r="I8" s="125"/>
      <c r="J8" s="125"/>
      <c r="K8" s="125"/>
      <c r="L8" s="126"/>
    </row>
    <row r="9" spans="2:12" x14ac:dyDescent="0.3">
      <c r="B9" s="24" t="s">
        <v>46</v>
      </c>
      <c r="C9" s="24" t="s">
        <v>110</v>
      </c>
      <c r="D9" s="24"/>
      <c r="E9" s="24"/>
      <c r="F9" s="24"/>
      <c r="G9" s="24"/>
      <c r="H9" s="124"/>
      <c r="I9" s="125"/>
      <c r="J9" s="125"/>
      <c r="K9" s="125"/>
      <c r="L9" s="126"/>
    </row>
    <row r="10" spans="2:12" x14ac:dyDescent="0.3">
      <c r="B10" s="24" t="s">
        <v>109</v>
      </c>
      <c r="C10" s="24" t="s">
        <v>108</v>
      </c>
      <c r="D10" s="24" t="s">
        <v>107</v>
      </c>
      <c r="E10" s="24"/>
      <c r="F10" s="24"/>
      <c r="G10" s="24"/>
      <c r="H10" s="124"/>
      <c r="I10" s="125"/>
      <c r="J10" s="125"/>
      <c r="K10" s="125"/>
      <c r="L10" s="126"/>
    </row>
    <row r="11" spans="2:12" x14ac:dyDescent="0.3">
      <c r="B11" s="24"/>
      <c r="C11" s="24"/>
      <c r="D11" s="24"/>
      <c r="E11" s="24"/>
      <c r="F11" s="24"/>
      <c r="G11" s="24"/>
      <c r="H11" s="124"/>
      <c r="I11" s="125"/>
      <c r="J11" s="125"/>
      <c r="K11" s="125"/>
      <c r="L11" s="126"/>
    </row>
    <row r="12" spans="2:12" x14ac:dyDescent="0.3">
      <c r="B12" s="24"/>
      <c r="C12" s="24"/>
      <c r="D12" s="24"/>
      <c r="E12" s="24"/>
      <c r="F12" s="24"/>
      <c r="G12" s="24"/>
      <c r="H12" s="124"/>
      <c r="I12" s="125"/>
      <c r="J12" s="125"/>
      <c r="K12" s="125"/>
      <c r="L12" s="126"/>
    </row>
    <row r="13" spans="2:12" x14ac:dyDescent="0.3">
      <c r="B13" s="24"/>
      <c r="C13" s="24"/>
      <c r="D13" s="24"/>
      <c r="E13" s="24"/>
      <c r="F13" s="24"/>
      <c r="G13" s="24"/>
      <c r="H13" s="124"/>
      <c r="I13" s="125"/>
      <c r="J13" s="125"/>
      <c r="K13" s="125"/>
      <c r="L13" s="126"/>
    </row>
    <row r="14" spans="2:12" x14ac:dyDescent="0.3">
      <c r="B14" s="24"/>
      <c r="C14" s="24"/>
      <c r="D14" s="24"/>
      <c r="E14" s="24"/>
      <c r="F14" s="24"/>
      <c r="G14" s="24"/>
      <c r="H14" s="124"/>
      <c r="I14" s="125"/>
      <c r="J14" s="125"/>
      <c r="K14" s="125"/>
      <c r="L14" s="126"/>
    </row>
    <row r="15" spans="2:12" x14ac:dyDescent="0.3">
      <c r="I15" s="30"/>
      <c r="J15" s="30"/>
      <c r="K15" s="30"/>
    </row>
    <row r="16" spans="2:12" x14ac:dyDescent="0.3">
      <c r="I16" s="30"/>
      <c r="J16" s="30"/>
      <c r="K16" s="30"/>
    </row>
    <row r="17" spans="2:11" x14ac:dyDescent="0.3">
      <c r="I17" s="30"/>
      <c r="J17" s="30"/>
      <c r="K17" s="30"/>
    </row>
    <row r="18" spans="2:11" x14ac:dyDescent="0.3">
      <c r="B18" s="28" t="s">
        <v>106</v>
      </c>
      <c r="C18" s="29" t="s">
        <v>105</v>
      </c>
      <c r="D18" s="28" t="s">
        <v>104</v>
      </c>
      <c r="E18" s="27"/>
      <c r="F18" s="27"/>
      <c r="G18" s="27"/>
    </row>
    <row r="20" spans="2:11" ht="27.6" customHeight="1" x14ac:dyDescent="0.3">
      <c r="B20" s="26" t="s">
        <v>103</v>
      </c>
      <c r="C20" s="26" t="s">
        <v>102</v>
      </c>
      <c r="D20" s="26" t="s">
        <v>101</v>
      </c>
      <c r="E20" s="26" t="s">
        <v>100</v>
      </c>
      <c r="F20" s="26"/>
      <c r="G20" s="26"/>
      <c r="I20" s="26" t="s">
        <v>99</v>
      </c>
      <c r="J20" s="26" t="s">
        <v>98</v>
      </c>
      <c r="K20" s="26" t="s">
        <v>97</v>
      </c>
    </row>
    <row r="21" spans="2:11" x14ac:dyDescent="0.3">
      <c r="B21" s="24" t="s">
        <v>96</v>
      </c>
      <c r="C21" s="24" t="s">
        <v>95</v>
      </c>
      <c r="D21" s="24" t="s">
        <v>64</v>
      </c>
      <c r="E21" s="24"/>
      <c r="F21" s="24"/>
      <c r="G21" s="24"/>
      <c r="I21" s="24" t="s">
        <v>94</v>
      </c>
      <c r="J21" s="24" t="s">
        <v>93</v>
      </c>
      <c r="K21" s="25" t="s">
        <v>92</v>
      </c>
    </row>
    <row r="22" spans="2:11" x14ac:dyDescent="0.3">
      <c r="B22" s="24" t="s">
        <v>91</v>
      </c>
      <c r="C22" s="24" t="s">
        <v>90</v>
      </c>
      <c r="D22" s="24" t="s">
        <v>64</v>
      </c>
      <c r="E22" s="24"/>
      <c r="F22" s="24"/>
      <c r="G22" s="24"/>
      <c r="I22" s="24" t="s">
        <v>89</v>
      </c>
      <c r="J22" s="24" t="s">
        <v>88</v>
      </c>
      <c r="K22" s="24" t="s">
        <v>87</v>
      </c>
    </row>
    <row r="23" spans="2:11" x14ac:dyDescent="0.3">
      <c r="B23" s="24" t="s">
        <v>86</v>
      </c>
      <c r="C23" s="24" t="s">
        <v>85</v>
      </c>
      <c r="D23" s="24" t="s">
        <v>37</v>
      </c>
      <c r="E23" s="24"/>
      <c r="F23" s="24"/>
      <c r="G23" s="24"/>
      <c r="I23" s="24" t="s">
        <v>84</v>
      </c>
      <c r="J23" s="24" t="s">
        <v>83</v>
      </c>
      <c r="K23" s="24" t="s">
        <v>82</v>
      </c>
    </row>
    <row r="24" spans="2:11" x14ac:dyDescent="0.3">
      <c r="B24" s="24" t="s">
        <v>81</v>
      </c>
      <c r="C24" s="24" t="s">
        <v>80</v>
      </c>
      <c r="D24" s="24" t="s">
        <v>37</v>
      </c>
      <c r="E24" s="24"/>
      <c r="F24" s="24"/>
      <c r="G24" s="24"/>
      <c r="I24" s="24" t="s">
        <v>79</v>
      </c>
      <c r="J24" s="24" t="s">
        <v>78</v>
      </c>
      <c r="K24" s="24" t="s">
        <v>73</v>
      </c>
    </row>
    <row r="25" spans="2:11" x14ac:dyDescent="0.3">
      <c r="B25" s="24" t="s">
        <v>77</v>
      </c>
      <c r="C25" s="24" t="s">
        <v>76</v>
      </c>
      <c r="D25" s="24" t="s">
        <v>37</v>
      </c>
      <c r="E25" s="24"/>
      <c r="F25" s="24"/>
      <c r="G25" s="24"/>
      <c r="I25" s="24" t="s">
        <v>75</v>
      </c>
      <c r="J25" s="24" t="s">
        <v>74</v>
      </c>
      <c r="K25" s="24" t="s">
        <v>73</v>
      </c>
    </row>
    <row r="26" spans="2:11" x14ac:dyDescent="0.3">
      <c r="B26" s="24" t="s">
        <v>72</v>
      </c>
      <c r="C26" s="24" t="s">
        <v>71</v>
      </c>
      <c r="D26" s="24" t="s">
        <v>25</v>
      </c>
      <c r="E26" s="24" t="s">
        <v>70</v>
      </c>
      <c r="F26" s="24"/>
      <c r="G26" s="24"/>
      <c r="I26" s="24" t="s">
        <v>69</v>
      </c>
      <c r="J26" s="24" t="s">
        <v>68</v>
      </c>
      <c r="K26" s="24" t="s">
        <v>67</v>
      </c>
    </row>
    <row r="27" spans="2:11" x14ac:dyDescent="0.3">
      <c r="B27" s="24" t="s">
        <v>66</v>
      </c>
      <c r="C27" s="24" t="s">
        <v>65</v>
      </c>
      <c r="D27" s="24" t="s">
        <v>64</v>
      </c>
      <c r="E27" s="24"/>
      <c r="F27" s="24"/>
      <c r="G27" s="24"/>
      <c r="I27" s="24" t="s">
        <v>63</v>
      </c>
      <c r="J27" s="24" t="s">
        <v>62</v>
      </c>
      <c r="K27" s="24" t="s">
        <v>57</v>
      </c>
    </row>
    <row r="28" spans="2:11" x14ac:dyDescent="0.3">
      <c r="B28" s="24" t="s">
        <v>61</v>
      </c>
      <c r="C28" s="24" t="s">
        <v>60</v>
      </c>
      <c r="D28" s="24" t="s">
        <v>37</v>
      </c>
      <c r="E28" s="24"/>
      <c r="F28" s="24"/>
      <c r="G28" s="24"/>
      <c r="I28" s="24" t="s">
        <v>59</v>
      </c>
      <c r="J28" s="24" t="s">
        <v>58</v>
      </c>
      <c r="K28" s="24" t="s">
        <v>57</v>
      </c>
    </row>
    <row r="29" spans="2:11" x14ac:dyDescent="0.3">
      <c r="B29" s="24" t="s">
        <v>56</v>
      </c>
      <c r="C29" s="24" t="s">
        <v>55</v>
      </c>
      <c r="D29" s="24" t="s">
        <v>54</v>
      </c>
      <c r="E29" s="24"/>
      <c r="F29" s="24"/>
      <c r="G29" s="24"/>
      <c r="I29" s="24" t="s">
        <v>53</v>
      </c>
      <c r="J29" s="24" t="s">
        <v>52</v>
      </c>
      <c r="K29" s="24" t="s">
        <v>51</v>
      </c>
    </row>
    <row r="30" spans="2:11" x14ac:dyDescent="0.3">
      <c r="B30" s="24" t="s">
        <v>50</v>
      </c>
      <c r="C30" s="24" t="s">
        <v>49</v>
      </c>
      <c r="D30" s="24" t="s">
        <v>37</v>
      </c>
      <c r="E30" s="24"/>
      <c r="F30" s="24"/>
      <c r="G30" s="24"/>
      <c r="I30" s="23"/>
      <c r="J30" s="23"/>
      <c r="K30" s="23"/>
    </row>
    <row r="31" spans="2:11" x14ac:dyDescent="0.3">
      <c r="B31" s="24" t="s">
        <v>48</v>
      </c>
      <c r="C31" s="24" t="s">
        <v>47</v>
      </c>
      <c r="D31" s="24" t="s">
        <v>46</v>
      </c>
      <c r="E31" s="24"/>
      <c r="F31" s="24"/>
      <c r="G31" s="24"/>
      <c r="I31" s="23"/>
      <c r="J31" s="23"/>
      <c r="K31" s="23"/>
    </row>
    <row r="32" spans="2:11" x14ac:dyDescent="0.3">
      <c r="B32" s="24" t="s">
        <v>45</v>
      </c>
      <c r="C32" s="24" t="s">
        <v>44</v>
      </c>
      <c r="D32" s="24" t="s">
        <v>37</v>
      </c>
      <c r="E32" s="24"/>
      <c r="F32" s="24"/>
      <c r="G32" s="24"/>
      <c r="I32" s="23"/>
      <c r="J32" s="23"/>
      <c r="K32" s="23"/>
    </row>
    <row r="33" spans="2:11" x14ac:dyDescent="0.3">
      <c r="B33" s="24" t="s">
        <v>43</v>
      </c>
      <c r="C33" s="24" t="s">
        <v>42</v>
      </c>
      <c r="D33" s="24" t="s">
        <v>37</v>
      </c>
      <c r="E33" s="24"/>
      <c r="F33" s="24"/>
      <c r="G33" s="24"/>
      <c r="I33" s="23"/>
      <c r="J33" s="23"/>
      <c r="K33" s="23"/>
    </row>
    <row r="34" spans="2:11" x14ac:dyDescent="0.3">
      <c r="B34" s="24" t="s">
        <v>41</v>
      </c>
      <c r="C34" s="24" t="s">
        <v>40</v>
      </c>
      <c r="D34" s="24" t="s">
        <v>25</v>
      </c>
      <c r="E34" s="24"/>
      <c r="F34" s="24"/>
      <c r="G34" s="24"/>
      <c r="I34" s="23"/>
      <c r="J34" s="23"/>
      <c r="K34" s="23"/>
    </row>
    <row r="35" spans="2:11" x14ac:dyDescent="0.3">
      <c r="B35" s="24" t="s">
        <v>39</v>
      </c>
      <c r="C35" s="24" t="s">
        <v>38</v>
      </c>
      <c r="D35" s="24" t="s">
        <v>37</v>
      </c>
      <c r="E35" s="24"/>
      <c r="F35" s="24"/>
      <c r="G35" s="24"/>
      <c r="I35" s="23"/>
      <c r="J35" s="23"/>
      <c r="K35" s="23"/>
    </row>
    <row r="36" spans="2:11" x14ac:dyDescent="0.3">
      <c r="B36" s="24" t="s">
        <v>36</v>
      </c>
      <c r="C36" s="24" t="s">
        <v>35</v>
      </c>
      <c r="D36" s="24" t="s">
        <v>30</v>
      </c>
      <c r="E36" s="24"/>
      <c r="F36" s="24"/>
      <c r="G36" s="24"/>
    </row>
    <row r="37" spans="2:11" x14ac:dyDescent="0.3">
      <c r="B37" s="24" t="s">
        <v>34</v>
      </c>
      <c r="C37" s="24" t="s">
        <v>33</v>
      </c>
      <c r="D37" s="24" t="s">
        <v>25</v>
      </c>
      <c r="E37" s="24"/>
      <c r="F37" s="24"/>
      <c r="G37" s="24"/>
    </row>
    <row r="38" spans="2:11" x14ac:dyDescent="0.3">
      <c r="B38" s="24" t="s">
        <v>32</v>
      </c>
      <c r="C38" s="24" t="s">
        <v>31</v>
      </c>
      <c r="D38" s="24" t="s">
        <v>30</v>
      </c>
      <c r="E38" s="24"/>
      <c r="F38" s="24"/>
      <c r="G38" s="24"/>
    </row>
    <row r="39" spans="2:11" x14ac:dyDescent="0.3">
      <c r="B39" s="24" t="s">
        <v>29</v>
      </c>
      <c r="C39" s="24" t="s">
        <v>28</v>
      </c>
      <c r="D39" s="24"/>
      <c r="E39" s="24"/>
      <c r="F39" s="24"/>
      <c r="G39" s="24"/>
    </row>
    <row r="40" spans="2:11" x14ac:dyDescent="0.3">
      <c r="B40" s="24" t="s">
        <v>27</v>
      </c>
      <c r="C40" s="24" t="s">
        <v>26</v>
      </c>
      <c r="D40" s="24" t="s">
        <v>25</v>
      </c>
      <c r="E40" s="23"/>
      <c r="F40" s="23"/>
      <c r="G40" s="23"/>
    </row>
    <row r="41" spans="2:11" x14ac:dyDescent="0.3">
      <c r="B41" s="23"/>
      <c r="C41" s="23"/>
      <c r="D41" s="23"/>
      <c r="E41" s="23"/>
      <c r="F41" s="23"/>
      <c r="G41" s="23"/>
    </row>
    <row r="42" spans="2:11" x14ac:dyDescent="0.3">
      <c r="B42" s="23"/>
      <c r="C42" s="23"/>
      <c r="D42" s="23"/>
      <c r="E42" s="23"/>
      <c r="F42" s="23"/>
      <c r="G42" s="23"/>
    </row>
    <row r="43" spans="2:11" x14ac:dyDescent="0.3">
      <c r="B43" s="23"/>
      <c r="C43" s="23"/>
      <c r="D43" s="23"/>
      <c r="E43" s="23"/>
      <c r="F43" s="23"/>
      <c r="G43" s="23"/>
    </row>
    <row r="44" spans="2:11" x14ac:dyDescent="0.3">
      <c r="B44" s="23"/>
      <c r="C44" s="23"/>
      <c r="D44" s="23"/>
      <c r="E44" s="23"/>
      <c r="F44" s="23"/>
      <c r="G44" s="23"/>
    </row>
    <row r="45" spans="2:11" x14ac:dyDescent="0.3">
      <c r="B45" s="23"/>
      <c r="C45" s="23"/>
      <c r="D45" s="23"/>
      <c r="E45" s="23"/>
      <c r="F45" s="23"/>
      <c r="G45" s="23"/>
    </row>
    <row r="46" spans="2:11" x14ac:dyDescent="0.3">
      <c r="B46" s="23"/>
      <c r="C46" s="23"/>
      <c r="D46" s="23"/>
      <c r="E46" s="23"/>
      <c r="F46" s="23"/>
      <c r="G46" s="23"/>
    </row>
    <row r="47" spans="2:11" x14ac:dyDescent="0.3">
      <c r="B47" s="23"/>
      <c r="C47" s="23"/>
      <c r="D47" s="23"/>
      <c r="E47" s="23"/>
      <c r="F47" s="23"/>
      <c r="G47" s="23"/>
    </row>
    <row r="48" spans="2:11" x14ac:dyDescent="0.3">
      <c r="B48" s="23"/>
      <c r="C48" s="23"/>
      <c r="D48" s="23"/>
      <c r="E48" s="23"/>
      <c r="F48" s="23"/>
      <c r="G48" s="23"/>
    </row>
  </sheetData>
  <mergeCells count="15">
    <mergeCell ref="B3:B5"/>
    <mergeCell ref="H1:L1"/>
    <mergeCell ref="H2:L2"/>
    <mergeCell ref="H3:L3"/>
    <mergeCell ref="H4:L4"/>
    <mergeCell ref="H5:L5"/>
    <mergeCell ref="H12:L12"/>
    <mergeCell ref="H13:L13"/>
    <mergeCell ref="H14:L14"/>
    <mergeCell ref="H6:L6"/>
    <mergeCell ref="H7:L7"/>
    <mergeCell ref="H8:L8"/>
    <mergeCell ref="H9:L9"/>
    <mergeCell ref="H10:L10"/>
    <mergeCell ref="H11:L1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workbookViewId="0">
      <selection activeCell="D11" sqref="D11"/>
    </sheetView>
  </sheetViews>
  <sheetFormatPr defaultColWidth="9" defaultRowHeight="16.5" x14ac:dyDescent="0.3"/>
  <cols>
    <col min="1" max="1" width="9" style="22"/>
    <col min="2" max="2" width="16.125" style="22" customWidth="1"/>
    <col min="3" max="3" width="28.625" style="22" customWidth="1"/>
    <col min="4" max="4" width="24.375" style="22" customWidth="1"/>
    <col min="5" max="5" width="23.25" style="22" customWidth="1"/>
    <col min="6" max="16384" width="9" style="22"/>
  </cols>
  <sheetData>
    <row r="1" spans="2:12" ht="27.6" customHeight="1" x14ac:dyDescent="0.3">
      <c r="B1" s="26" t="s">
        <v>134</v>
      </c>
      <c r="C1" s="26" t="s">
        <v>135</v>
      </c>
      <c r="D1" s="26" t="s">
        <v>136</v>
      </c>
      <c r="E1" s="26" t="s">
        <v>137</v>
      </c>
      <c r="G1" s="131" t="s">
        <v>138</v>
      </c>
      <c r="H1" s="132"/>
      <c r="I1" s="132"/>
      <c r="J1" s="132"/>
      <c r="K1" s="132"/>
      <c r="L1" s="133"/>
    </row>
    <row r="2" spans="2:12" x14ac:dyDescent="0.3">
      <c r="B2" s="24" t="s">
        <v>139</v>
      </c>
      <c r="C2" s="24" t="s">
        <v>140</v>
      </c>
      <c r="D2" s="24" t="s">
        <v>141</v>
      </c>
      <c r="E2" s="24"/>
      <c r="G2" s="31" t="s">
        <v>142</v>
      </c>
      <c r="L2" s="32"/>
    </row>
    <row r="3" spans="2:12" x14ac:dyDescent="0.3">
      <c r="B3" s="24" t="s">
        <v>143</v>
      </c>
      <c r="C3" s="24" t="s">
        <v>140</v>
      </c>
      <c r="D3" s="24" t="s">
        <v>144</v>
      </c>
      <c r="E3" s="24"/>
      <c r="G3" s="31" t="s">
        <v>145</v>
      </c>
      <c r="L3" s="32"/>
    </row>
    <row r="4" spans="2:12" x14ac:dyDescent="0.3">
      <c r="B4" s="24" t="s">
        <v>146</v>
      </c>
      <c r="C4" s="24" t="s">
        <v>140</v>
      </c>
      <c r="D4" s="24" t="s">
        <v>144</v>
      </c>
      <c r="E4" s="24"/>
      <c r="G4" s="31"/>
      <c r="L4" s="32"/>
    </row>
    <row r="5" spans="2:12" x14ac:dyDescent="0.3">
      <c r="B5" s="24" t="s">
        <v>147</v>
      </c>
      <c r="C5" s="24">
        <v>5326710</v>
      </c>
      <c r="D5" s="24"/>
      <c r="E5" s="24"/>
      <c r="G5" s="31" t="s">
        <v>148</v>
      </c>
      <c r="L5" s="32"/>
    </row>
    <row r="6" spans="2:12" x14ac:dyDescent="0.3">
      <c r="B6" s="24" t="s">
        <v>149</v>
      </c>
      <c r="C6" s="24" t="s">
        <v>150</v>
      </c>
      <c r="D6" s="24" t="s">
        <v>151</v>
      </c>
      <c r="E6" s="24"/>
      <c r="G6" s="31" t="s">
        <v>152</v>
      </c>
      <c r="L6" s="32"/>
    </row>
    <row r="7" spans="2:12" x14ac:dyDescent="0.3">
      <c r="B7" s="24" t="s">
        <v>153</v>
      </c>
      <c r="C7" s="24" t="s">
        <v>154</v>
      </c>
      <c r="D7" s="24" t="s">
        <v>155</v>
      </c>
      <c r="E7" s="24"/>
      <c r="G7" s="31"/>
      <c r="L7" s="32"/>
    </row>
    <row r="8" spans="2:12" x14ac:dyDescent="0.3">
      <c r="B8" s="24" t="s">
        <v>156</v>
      </c>
      <c r="C8" s="24" t="s">
        <v>157</v>
      </c>
      <c r="D8" s="24" t="s">
        <v>158</v>
      </c>
      <c r="E8" s="24"/>
      <c r="G8" s="31"/>
      <c r="L8" s="32"/>
    </row>
    <row r="9" spans="2:12" ht="17.25" thickBot="1" x14ac:dyDescent="0.35">
      <c r="B9" s="24"/>
      <c r="C9" s="24" t="s">
        <v>159</v>
      </c>
      <c r="D9" s="24" t="s">
        <v>160</v>
      </c>
      <c r="E9" s="24"/>
      <c r="G9" s="31"/>
      <c r="L9" s="32"/>
    </row>
    <row r="10" spans="2:12" ht="17.25" thickTop="1" x14ac:dyDescent="0.3">
      <c r="B10" s="24" t="s">
        <v>161</v>
      </c>
      <c r="C10" s="24" t="s">
        <v>162</v>
      </c>
      <c r="D10" s="24"/>
      <c r="E10" s="24"/>
      <c r="G10" s="33" t="s">
        <v>183</v>
      </c>
      <c r="H10" s="34"/>
      <c r="I10" s="34"/>
      <c r="J10" s="34"/>
      <c r="K10" s="34"/>
      <c r="L10" s="35"/>
    </row>
    <row r="11" spans="2:12" x14ac:dyDescent="0.3">
      <c r="B11" s="24"/>
      <c r="C11" s="24" t="s">
        <v>163</v>
      </c>
      <c r="D11" s="24" t="s">
        <v>164</v>
      </c>
      <c r="E11" s="24"/>
      <c r="G11" s="36" t="s">
        <v>165</v>
      </c>
      <c r="L11" s="37"/>
    </row>
    <row r="12" spans="2:12" x14ac:dyDescent="0.3">
      <c r="B12" s="24" t="s">
        <v>166</v>
      </c>
      <c r="C12" s="24" t="s">
        <v>167</v>
      </c>
      <c r="D12" s="24" t="s">
        <v>168</v>
      </c>
      <c r="E12" s="24"/>
      <c r="G12" s="36" t="s">
        <v>169</v>
      </c>
      <c r="L12" s="37"/>
    </row>
    <row r="13" spans="2:12" x14ac:dyDescent="0.3">
      <c r="B13" s="24" t="s">
        <v>170</v>
      </c>
      <c r="C13" s="24" t="s">
        <v>171</v>
      </c>
      <c r="D13" s="24" t="s">
        <v>172</v>
      </c>
      <c r="E13" s="24"/>
      <c r="G13" s="36" t="s">
        <v>173</v>
      </c>
      <c r="L13" s="37"/>
    </row>
    <row r="14" spans="2:12" x14ac:dyDescent="0.3">
      <c r="B14" s="24" t="s">
        <v>174</v>
      </c>
      <c r="C14" s="24" t="s">
        <v>175</v>
      </c>
      <c r="D14" s="24" t="s">
        <v>176</v>
      </c>
      <c r="E14" s="24" t="s">
        <v>177</v>
      </c>
      <c r="G14" s="36" t="s">
        <v>178</v>
      </c>
      <c r="L14" s="37"/>
    </row>
    <row r="15" spans="2:12" x14ac:dyDescent="0.3">
      <c r="B15" s="23"/>
      <c r="C15" s="23"/>
      <c r="D15" s="23"/>
      <c r="E15" s="23"/>
      <c r="G15" s="36" t="s">
        <v>179</v>
      </c>
      <c r="L15" s="37"/>
    </row>
    <row r="16" spans="2:12" x14ac:dyDescent="0.3">
      <c r="B16" s="23"/>
      <c r="C16" s="23"/>
      <c r="D16" s="23"/>
      <c r="E16" s="23"/>
      <c r="G16" s="36" t="s">
        <v>180</v>
      </c>
      <c r="L16" s="37"/>
    </row>
    <row r="17" spans="2:12" x14ac:dyDescent="0.3">
      <c r="B17" s="23"/>
      <c r="C17" s="23"/>
      <c r="D17" s="23"/>
      <c r="E17" s="23"/>
      <c r="G17" s="36" t="s">
        <v>181</v>
      </c>
      <c r="L17" s="37"/>
    </row>
    <row r="18" spans="2:12" x14ac:dyDescent="0.3">
      <c r="B18" s="23"/>
      <c r="C18" s="23"/>
      <c r="D18" s="23"/>
      <c r="E18" s="23"/>
      <c r="G18" s="36"/>
      <c r="L18" s="37"/>
    </row>
    <row r="19" spans="2:12" ht="17.25" thickBot="1" x14ac:dyDescent="0.35">
      <c r="B19" s="23"/>
      <c r="C19" s="23"/>
      <c r="D19" s="23"/>
      <c r="E19" s="23"/>
      <c r="G19" s="38" t="s">
        <v>182</v>
      </c>
      <c r="H19" s="39"/>
      <c r="I19" s="39"/>
      <c r="J19" s="39"/>
      <c r="K19" s="39"/>
      <c r="L19" s="40"/>
    </row>
    <row r="20" spans="2:12" ht="17.25" thickTop="1" x14ac:dyDescent="0.3">
      <c r="B20" s="23"/>
      <c r="C20" s="23"/>
      <c r="D20" s="23"/>
      <c r="E20" s="23"/>
    </row>
    <row r="21" spans="2:12" x14ac:dyDescent="0.3">
      <c r="B21" s="23"/>
      <c r="C21" s="23"/>
      <c r="D21" s="23"/>
      <c r="E21" s="23"/>
    </row>
    <row r="22" spans="2:12" x14ac:dyDescent="0.3">
      <c r="B22" s="23"/>
      <c r="C22" s="23"/>
      <c r="D22" s="23"/>
      <c r="E22" s="23"/>
    </row>
    <row r="23" spans="2:12" x14ac:dyDescent="0.3">
      <c r="B23" s="23"/>
      <c r="C23" s="23"/>
      <c r="D23" s="23"/>
      <c r="E23" s="23"/>
    </row>
  </sheetData>
  <mergeCells count="1">
    <mergeCell ref="G1:L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opLeftCell="A10" workbookViewId="0">
      <selection activeCell="M31" sqref="L31:M31"/>
    </sheetView>
  </sheetViews>
  <sheetFormatPr defaultRowHeight="16.5" x14ac:dyDescent="0.3"/>
  <sheetData>
    <row r="2" spans="2:8" x14ac:dyDescent="0.3">
      <c r="B2" t="s">
        <v>301</v>
      </c>
    </row>
    <row r="3" spans="2:8" x14ac:dyDescent="0.3">
      <c r="H3" t="s">
        <v>300</v>
      </c>
    </row>
    <row r="5" spans="2:8" x14ac:dyDescent="0.3">
      <c r="H5" t="s">
        <v>295</v>
      </c>
    </row>
    <row r="7" spans="2:8" x14ac:dyDescent="0.3">
      <c r="H7" t="s">
        <v>296</v>
      </c>
    </row>
    <row r="9" spans="2:8" x14ac:dyDescent="0.3">
      <c r="H9" t="s">
        <v>297</v>
      </c>
    </row>
    <row r="11" spans="2:8" x14ac:dyDescent="0.3">
      <c r="H11" t="s">
        <v>298</v>
      </c>
    </row>
    <row r="13" spans="2:8" x14ac:dyDescent="0.3">
      <c r="H13" t="s">
        <v>299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7월 매출</vt:lpstr>
      <vt:lpstr>8월 매출</vt:lpstr>
      <vt:lpstr>정보</vt:lpstr>
      <vt:lpstr>계좌,카드</vt:lpstr>
      <vt:lpstr>아이디,비번</vt:lpstr>
      <vt:lpstr>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2022-08-18T17:14:40Z</dcterms:modified>
</cp:coreProperties>
</file>