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6" activeTab="7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1월 매출" sheetId="26" r:id="rId7"/>
    <sheet name="2월 매출" sheetId="27" r:id="rId8"/>
    <sheet name="연말 정산" sheetId="23" r:id="rId9"/>
    <sheet name="재무제표" sheetId="21" r:id="rId10"/>
    <sheet name="정보" sheetId="2" r:id="rId11"/>
    <sheet name="계좌,카드" sheetId="3" r:id="rId12"/>
    <sheet name="아이디,비번" sheetId="4" r:id="rId13"/>
    <sheet name="팁" sheetId="8" r:id="rId14"/>
    <sheet name="계산기" sheetId="9" r:id="rId15"/>
    <sheet name="계좌메모" sheetId="11" r:id="rId16"/>
    <sheet name="엄마 출금 기록" sheetId="13" r:id="rId17"/>
    <sheet name="아빠 출금 기록" sheetId="14" r:id="rId18"/>
    <sheet name="현욱출금기록" sheetId="22" r:id="rId19"/>
    <sheet name="종합 출금 기록(22년)" sheetId="15" r:id="rId20"/>
    <sheet name="IP추적" sheetId="12" r:id="rId21"/>
    <sheet name="블록체인(삼성)" sheetId="16" r:id="rId22"/>
    <sheet name="양주가격" sheetId="18" r:id="rId23"/>
    <sheet name="블랙리스트" sheetId="24" r:id="rId24"/>
    <sheet name="자동이체기록" sheetId="25" r:id="rId25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6" hidden="1">'1월 매출'!$A$1:$AF$9</definedName>
    <definedName name="_xlnm._FilterDatabase" localSheetId="7" hidden="1">'2월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7" l="1"/>
  <c r="K4" i="27"/>
  <c r="F70" i="27"/>
  <c r="F48" i="27"/>
  <c r="B34" i="27"/>
  <c r="B33" i="27" s="1"/>
  <c r="B31" i="27"/>
  <c r="D2" i="27"/>
  <c r="K19" i="27"/>
  <c r="K5" i="27"/>
  <c r="K15" i="27"/>
  <c r="K13" i="27"/>
  <c r="L63" i="27" l="1"/>
  <c r="D15" i="9"/>
  <c r="D12" i="9"/>
  <c r="E4" i="21"/>
  <c r="B46" i="21"/>
  <c r="F41" i="21"/>
  <c r="F39" i="21"/>
  <c r="F25" i="21" l="1"/>
  <c r="E25" i="21" s="1"/>
  <c r="D25" i="21"/>
  <c r="F24" i="21"/>
  <c r="D24" i="21"/>
  <c r="C24" i="21" s="1"/>
  <c r="D21" i="21"/>
  <c r="F21" i="21" s="1"/>
  <c r="E20" i="21"/>
  <c r="D20" i="21"/>
  <c r="C20" i="21" s="1"/>
  <c r="E17" i="21"/>
  <c r="F18" i="21"/>
  <c r="E5" i="21"/>
  <c r="E7" i="21"/>
  <c r="E8" i="21"/>
  <c r="E14" i="21"/>
  <c r="E15" i="21"/>
  <c r="E16" i="21"/>
  <c r="E27" i="21"/>
  <c r="E28" i="21"/>
  <c r="E29" i="21"/>
  <c r="E30" i="21"/>
  <c r="E31" i="21"/>
  <c r="E33" i="21"/>
  <c r="E34" i="21"/>
  <c r="E35" i="21"/>
  <c r="E38" i="21"/>
  <c r="E40" i="21"/>
  <c r="E41" i="21"/>
  <c r="E44" i="21"/>
  <c r="E45" i="21"/>
  <c r="C5" i="21"/>
  <c r="C7" i="21"/>
  <c r="C8" i="21"/>
  <c r="C16" i="21"/>
  <c r="C17" i="21"/>
  <c r="C21" i="21"/>
  <c r="C25" i="21"/>
  <c r="C27" i="21"/>
  <c r="C28" i="21"/>
  <c r="C29" i="21"/>
  <c r="C30" i="21"/>
  <c r="C31" i="21"/>
  <c r="C33" i="21"/>
  <c r="C34" i="21"/>
  <c r="C35" i="21"/>
  <c r="C38" i="21"/>
  <c r="C40" i="21"/>
  <c r="C41" i="21"/>
  <c r="C44" i="21"/>
  <c r="C45" i="21"/>
  <c r="C4" i="21"/>
  <c r="F46" i="21"/>
  <c r="F36" i="21"/>
  <c r="F32" i="21"/>
  <c r="F9" i="21"/>
  <c r="F6" i="21"/>
  <c r="G13" i="27"/>
  <c r="E21" i="21" l="1"/>
  <c r="F26" i="21"/>
  <c r="F37" i="21"/>
  <c r="E24" i="21"/>
  <c r="F10" i="21"/>
  <c r="D15" i="27"/>
  <c r="D4" i="27"/>
  <c r="B32" i="27" s="1"/>
  <c r="D8" i="27"/>
  <c r="AD6" i="27"/>
  <c r="AE6" i="27"/>
  <c r="E6" i="27"/>
  <c r="F6" i="27"/>
  <c r="H6" i="27"/>
  <c r="H7" i="27" s="1"/>
  <c r="I6" i="27"/>
  <c r="L6" i="27"/>
  <c r="M6" i="27"/>
  <c r="N6" i="27"/>
  <c r="O6" i="27"/>
  <c r="P6" i="27"/>
  <c r="Q6" i="27"/>
  <c r="R6" i="27"/>
  <c r="S6" i="27"/>
  <c r="T6" i="27"/>
  <c r="T7" i="27" s="1"/>
  <c r="U6" i="27"/>
  <c r="V6" i="27"/>
  <c r="W6" i="27"/>
  <c r="X6" i="27"/>
  <c r="Y6" i="27"/>
  <c r="Z6" i="27"/>
  <c r="AA6" i="27"/>
  <c r="AB6" i="27"/>
  <c r="AC6" i="27"/>
  <c r="B15" i="27"/>
  <c r="E139" i="27"/>
  <c r="T106" i="27"/>
  <c r="J106" i="27"/>
  <c r="A108" i="27" s="1"/>
  <c r="L58" i="27"/>
  <c r="C47" i="27"/>
  <c r="B47" i="27"/>
  <c r="F49" i="27" s="1"/>
  <c r="B44" i="27"/>
  <c r="D40" i="27"/>
  <c r="M8" i="27"/>
  <c r="G8" i="27"/>
  <c r="AC8" i="27"/>
  <c r="X8" i="27"/>
  <c r="AA8" i="27"/>
  <c r="N8" i="27"/>
  <c r="H8" i="27"/>
  <c r="AF8" i="27"/>
  <c r="AE8" i="27"/>
  <c r="AD8" i="27"/>
  <c r="AB8" i="27"/>
  <c r="Z8" i="27"/>
  <c r="Y8" i="27"/>
  <c r="W8" i="27"/>
  <c r="V8" i="27"/>
  <c r="U8" i="27"/>
  <c r="T8" i="27"/>
  <c r="S8" i="27"/>
  <c r="R8" i="27"/>
  <c r="Q8" i="27"/>
  <c r="P8" i="27"/>
  <c r="O8" i="27"/>
  <c r="L8" i="27"/>
  <c r="K8" i="27"/>
  <c r="B39" i="27" s="1"/>
  <c r="J8" i="27"/>
  <c r="I8" i="27"/>
  <c r="F8" i="27"/>
  <c r="E8" i="27"/>
  <c r="C8" i="27"/>
  <c r="B8" i="27"/>
  <c r="AF7" i="27"/>
  <c r="AE7" i="27"/>
  <c r="V7" i="27"/>
  <c r="O7" i="27"/>
  <c r="AB7" i="27"/>
  <c r="AF3" i="27"/>
  <c r="AE3" i="27"/>
  <c r="AD3" i="27"/>
  <c r="AC3" i="27"/>
  <c r="AC7" i="27" s="1"/>
  <c r="AB3" i="27"/>
  <c r="AA3" i="27"/>
  <c r="AA7" i="27" s="1"/>
  <c r="Z3" i="27"/>
  <c r="Y3" i="27"/>
  <c r="X3" i="27"/>
  <c r="W3" i="27"/>
  <c r="W7" i="27" s="1"/>
  <c r="V3" i="27"/>
  <c r="U3" i="27"/>
  <c r="U7" i="27" s="1"/>
  <c r="T3" i="27"/>
  <c r="S3" i="27"/>
  <c r="R3" i="27"/>
  <c r="R7" i="27" s="1"/>
  <c r="Q3" i="27"/>
  <c r="Q7" i="27" s="1"/>
  <c r="P3" i="27"/>
  <c r="O3" i="27"/>
  <c r="N3" i="27"/>
  <c r="M3" i="27"/>
  <c r="L3" i="27"/>
  <c r="L7" i="27" s="1"/>
  <c r="K3" i="27"/>
  <c r="K6" i="27" s="1"/>
  <c r="J3" i="27"/>
  <c r="J6" i="27" s="1"/>
  <c r="I3" i="27"/>
  <c r="I7" i="27" s="1"/>
  <c r="H3" i="27"/>
  <c r="G3" i="27"/>
  <c r="G6" i="27" s="1"/>
  <c r="F3" i="27"/>
  <c r="F7" i="27" s="1"/>
  <c r="E3" i="27"/>
  <c r="D3" i="27"/>
  <c r="C3" i="27"/>
  <c r="C6" i="27" s="1"/>
  <c r="B3" i="27"/>
  <c r="B6" i="27" s="1"/>
  <c r="B39" i="26"/>
  <c r="L9" i="23"/>
  <c r="K4" i="23"/>
  <c r="K5" i="23"/>
  <c r="K6" i="23"/>
  <c r="K7" i="23"/>
  <c r="K8" i="23"/>
  <c r="K3" i="23"/>
  <c r="J3" i="23"/>
  <c r="J4" i="23"/>
  <c r="J5" i="23"/>
  <c r="J6" i="23"/>
  <c r="J7" i="23"/>
  <c r="J8" i="23"/>
  <c r="K7" i="27" l="1"/>
  <c r="F59" i="27"/>
  <c r="J7" i="27"/>
  <c r="E7" i="27"/>
  <c r="B40" i="27"/>
  <c r="D6" i="27"/>
  <c r="D7" i="27" s="1"/>
  <c r="C7" i="27"/>
  <c r="AD7" i="27"/>
  <c r="I60" i="27" s="1"/>
  <c r="Z7" i="27"/>
  <c r="M7" i="27"/>
  <c r="S7" i="27"/>
  <c r="Y7" i="27"/>
  <c r="P7" i="27"/>
  <c r="B37" i="27"/>
  <c r="G7" i="27"/>
  <c r="X7" i="27"/>
  <c r="H60" i="27" s="1"/>
  <c r="F52" i="27"/>
  <c r="N7" i="27"/>
  <c r="H59" i="27"/>
  <c r="B7" i="27"/>
  <c r="I59" i="27"/>
  <c r="AC4" i="26"/>
  <c r="AA14" i="26"/>
  <c r="AC5" i="26"/>
  <c r="AC15" i="26"/>
  <c r="AC17" i="26"/>
  <c r="AB4" i="26"/>
  <c r="L63" i="26"/>
  <c r="AA13" i="26"/>
  <c r="F60" i="27" l="1"/>
  <c r="E59" i="27"/>
  <c r="G60" i="27"/>
  <c r="G59" i="27"/>
  <c r="B35" i="27"/>
  <c r="F50" i="27" s="1"/>
  <c r="H48" i="27"/>
  <c r="C34" i="27"/>
  <c r="B43" i="27"/>
  <c r="E60" i="27"/>
  <c r="B42" i="27"/>
  <c r="B44" i="26"/>
  <c r="D39" i="21"/>
  <c r="D18" i="21"/>
  <c r="D46" i="21"/>
  <c r="D36" i="21"/>
  <c r="B36" i="21"/>
  <c r="E46" i="21" l="1"/>
  <c r="E39" i="21"/>
  <c r="C36" i="21"/>
  <c r="E36" i="21"/>
  <c r="E18" i="21"/>
  <c r="I63" i="27"/>
  <c r="B36" i="27"/>
  <c r="C35" i="27"/>
  <c r="H52" i="27" s="1"/>
  <c r="I65" i="27"/>
  <c r="I64" i="27"/>
  <c r="I62" i="27"/>
  <c r="D32" i="21"/>
  <c r="D26" i="21"/>
  <c r="B12" i="21"/>
  <c r="C12" i="21" s="1"/>
  <c r="D9" i="21"/>
  <c r="D6" i="21"/>
  <c r="X13" i="26"/>
  <c r="X15" i="26"/>
  <c r="X4" i="26"/>
  <c r="F49" i="26"/>
  <c r="V17" i="26"/>
  <c r="A83" i="27" l="1"/>
  <c r="B83" i="27" s="1"/>
  <c r="D37" i="21"/>
  <c r="E32" i="21"/>
  <c r="E6" i="21"/>
  <c r="E9" i="21"/>
  <c r="E26" i="21"/>
  <c r="D10" i="21"/>
  <c r="G71" i="20"/>
  <c r="E10" i="21" l="1"/>
  <c r="E37" i="21"/>
  <c r="B84" i="27"/>
  <c r="A84" i="27"/>
  <c r="H59" i="20"/>
  <c r="N13" i="26"/>
  <c r="N4" i="26"/>
  <c r="N21" i="26"/>
  <c r="N17" i="26"/>
  <c r="N5" i="26"/>
  <c r="M5" i="26" l="1"/>
  <c r="M21" i="26"/>
  <c r="C46" i="21"/>
  <c r="H13" i="26" l="1"/>
  <c r="H5" i="26"/>
  <c r="H15" i="26"/>
  <c r="G4" i="26"/>
  <c r="G19" i="26"/>
  <c r="F4" i="26"/>
  <c r="F13" i="26"/>
  <c r="F15" i="26"/>
  <c r="F17" i="26"/>
  <c r="E3" i="18"/>
  <c r="E4" i="18"/>
  <c r="E5" i="18"/>
  <c r="E6" i="18"/>
  <c r="E2" i="18"/>
  <c r="B40" i="26" l="1"/>
  <c r="E139" i="26"/>
  <c r="T106" i="26"/>
  <c r="J106" i="26"/>
  <c r="A108" i="26" s="1"/>
  <c r="L58" i="26"/>
  <c r="C47" i="26"/>
  <c r="B47" i="26"/>
  <c r="D40" i="26"/>
  <c r="B31" i="26"/>
  <c r="L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K8" i="26"/>
  <c r="J8" i="26"/>
  <c r="I8" i="26"/>
  <c r="H8" i="26"/>
  <c r="G8" i="26"/>
  <c r="F8" i="26"/>
  <c r="E8" i="26"/>
  <c r="D8" i="26"/>
  <c r="C8" i="26"/>
  <c r="B8" i="26"/>
  <c r="P6" i="26"/>
  <c r="P7" i="26" s="1"/>
  <c r="B6" i="26"/>
  <c r="AB6" i="26"/>
  <c r="AF3" i="26"/>
  <c r="AE3" i="26"/>
  <c r="AE6" i="26" s="1"/>
  <c r="AE7" i="26" s="1"/>
  <c r="AD3" i="26"/>
  <c r="AD6" i="26" s="1"/>
  <c r="AC3" i="26"/>
  <c r="AC6" i="26" s="1"/>
  <c r="AB3" i="26"/>
  <c r="AA3" i="26"/>
  <c r="AA6" i="26" s="1"/>
  <c r="Z3" i="26"/>
  <c r="Z6" i="26" s="1"/>
  <c r="Y3" i="26"/>
  <c r="Y6" i="26" s="1"/>
  <c r="Y7" i="26" s="1"/>
  <c r="X3" i="26"/>
  <c r="X6" i="26" s="1"/>
  <c r="W3" i="26"/>
  <c r="W6" i="26" s="1"/>
  <c r="V3" i="26"/>
  <c r="V6" i="26" s="1"/>
  <c r="U3" i="26"/>
  <c r="U6" i="26" s="1"/>
  <c r="T3" i="26"/>
  <c r="T6" i="26" s="1"/>
  <c r="S3" i="26"/>
  <c r="S6" i="26" s="1"/>
  <c r="R3" i="26"/>
  <c r="R6" i="26" s="1"/>
  <c r="R7" i="26" s="1"/>
  <c r="Q3" i="26"/>
  <c r="Q6" i="26" s="1"/>
  <c r="P3" i="26"/>
  <c r="O3" i="26"/>
  <c r="O6" i="26" s="1"/>
  <c r="N3" i="26"/>
  <c r="N6" i="26" s="1"/>
  <c r="M3" i="26"/>
  <c r="M6" i="26" s="1"/>
  <c r="L3" i="26"/>
  <c r="L6" i="26" s="1"/>
  <c r="K3" i="26"/>
  <c r="K6" i="26" s="1"/>
  <c r="J3" i="26"/>
  <c r="J6" i="26" s="1"/>
  <c r="I3" i="26"/>
  <c r="I6" i="26" s="1"/>
  <c r="I7" i="26" s="1"/>
  <c r="H3" i="26"/>
  <c r="H6" i="26" s="1"/>
  <c r="G3" i="26"/>
  <c r="G6" i="26" s="1"/>
  <c r="F3" i="26"/>
  <c r="F6" i="26" s="1"/>
  <c r="E3" i="26"/>
  <c r="E6" i="26" s="1"/>
  <c r="E7" i="26" s="1"/>
  <c r="D3" i="26"/>
  <c r="C3" i="26"/>
  <c r="B3" i="26"/>
  <c r="AD7" i="26" l="1"/>
  <c r="I59" i="26"/>
  <c r="AB7" i="26"/>
  <c r="Z7" i="26"/>
  <c r="X7" i="26"/>
  <c r="V7" i="26"/>
  <c r="S7" i="26"/>
  <c r="G59" i="26"/>
  <c r="F59" i="26"/>
  <c r="N7" i="26"/>
  <c r="K7" i="26"/>
  <c r="J7" i="26"/>
  <c r="H7" i="26"/>
  <c r="G7" i="26"/>
  <c r="B34" i="26"/>
  <c r="U7" i="26"/>
  <c r="Q7" i="26"/>
  <c r="W7" i="26"/>
  <c r="AC7" i="26"/>
  <c r="O7" i="26"/>
  <c r="L7" i="26"/>
  <c r="AF6" i="26"/>
  <c r="AF7" i="26" s="1"/>
  <c r="B37" i="26"/>
  <c r="AA7" i="26"/>
  <c r="H59" i="26"/>
  <c r="F7" i="26"/>
  <c r="M7" i="26"/>
  <c r="B32" i="26"/>
  <c r="C6" i="26"/>
  <c r="C7" i="26" s="1"/>
  <c r="B7" i="26"/>
  <c r="T7" i="26"/>
  <c r="D6" i="26"/>
  <c r="D7" i="26" s="1"/>
  <c r="AF4" i="20"/>
  <c r="F48" i="26" l="1"/>
  <c r="H48" i="26"/>
  <c r="G60" i="26"/>
  <c r="E59" i="26"/>
  <c r="F60" i="26"/>
  <c r="B33" i="26"/>
  <c r="B43" i="26" s="1"/>
  <c r="C34" i="26"/>
  <c r="H60" i="26"/>
  <c r="I60" i="26"/>
  <c r="I63" i="26"/>
  <c r="E60" i="26"/>
  <c r="B42" i="26"/>
  <c r="B35" i="26"/>
  <c r="AD5" i="20"/>
  <c r="AD13" i="20"/>
  <c r="AD4" i="20"/>
  <c r="AC4" i="20"/>
  <c r="AC5" i="20"/>
  <c r="AC17" i="20"/>
  <c r="AC15" i="20"/>
  <c r="AC13" i="20"/>
  <c r="AB4" i="20"/>
  <c r="H18" i="25"/>
  <c r="F15" i="25"/>
  <c r="B12" i="25"/>
  <c r="F6" i="25"/>
  <c r="E6" i="25"/>
  <c r="Z5" i="20"/>
  <c r="L59" i="20"/>
  <c r="I62" i="26" l="1"/>
  <c r="F50" i="26"/>
  <c r="C35" i="26"/>
  <c r="F51" i="26" s="1"/>
  <c r="F52" i="26" s="1"/>
  <c r="B36" i="26"/>
  <c r="I65" i="26"/>
  <c r="I64" i="26"/>
  <c r="X13" i="20"/>
  <c r="W4" i="20"/>
  <c r="A83" i="26" l="1"/>
  <c r="B83" i="26" s="1"/>
  <c r="B84" i="26" s="1"/>
  <c r="H52" i="26"/>
  <c r="F70" i="26"/>
  <c r="Q5" i="20"/>
  <c r="Q19" i="20"/>
  <c r="Q4" i="20"/>
  <c r="Q21" i="20"/>
  <c r="A84" i="26" l="1"/>
  <c r="O13" i="20"/>
  <c r="O8" i="20" s="1"/>
  <c r="O4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26" i="21"/>
  <c r="C26" i="21" s="1"/>
  <c r="B14" i="21"/>
  <c r="C14" i="21" s="1"/>
  <c r="B32" i="21"/>
  <c r="C32" i="21" s="1"/>
  <c r="B39" i="21"/>
  <c r="C39" i="21" s="1"/>
  <c r="B15" i="21"/>
  <c r="C15" i="21" s="1"/>
  <c r="B9" i="21"/>
  <c r="C9" i="21" s="1"/>
  <c r="B6" i="21"/>
  <c r="C6" i="21" s="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B18" i="21" l="1"/>
  <c r="C18" i="21" s="1"/>
  <c r="B10" i="21"/>
  <c r="C10" i="21" s="1"/>
  <c r="D8" i="20"/>
  <c r="B40" i="20"/>
  <c r="AF7" i="20"/>
  <c r="AD7" i="20"/>
  <c r="Y7" i="20"/>
  <c r="X7" i="20"/>
  <c r="L63" i="20"/>
  <c r="W7" i="20"/>
  <c r="S7" i="20"/>
  <c r="F8" i="23"/>
  <c r="G59" i="20"/>
  <c r="Q7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7" i="21"/>
  <c r="C37" i="21" s="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D9" i="23"/>
  <c r="E9" i="23" s="1"/>
  <c r="C13" i="23"/>
  <c r="C15" i="23"/>
  <c r="C14" i="23"/>
  <c r="E59" i="20"/>
  <c r="R7" i="20"/>
  <c r="H60" i="20"/>
  <c r="H48" i="20"/>
  <c r="F48" i="20"/>
  <c r="C34" i="20"/>
  <c r="B33" i="20"/>
  <c r="E60" i="20"/>
  <c r="AA7" i="20"/>
  <c r="I60" i="20" s="1"/>
  <c r="M7" i="20"/>
  <c r="F60" i="20"/>
  <c r="F49" i="19"/>
  <c r="B43" i="20" l="1"/>
  <c r="G60" i="20"/>
  <c r="I65" i="20" s="1"/>
  <c r="F50" i="20"/>
  <c r="C35" i="20"/>
  <c r="I62" i="20"/>
  <c r="B42" i="20"/>
  <c r="I63" i="20"/>
  <c r="T3" i="19"/>
  <c r="T4" i="19"/>
  <c r="F51" i="20" l="1"/>
  <c r="F52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H51" i="9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<sst xmlns="http://schemas.openxmlformats.org/spreadsheetml/2006/main" count="6504" uniqueCount="5699">
  <si>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</si>
  <si>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</si>
  <si>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</si>
  <si>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</si>
  <si>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</si>
  <si>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</si>
  <si>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</si>
  <si>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</si>
  <si>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</si>
  <si>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</si>
  <si>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</si>
  <si>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</si>
  <si>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</si>
  <si>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</si>
  <si>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</si>
  <si>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</si>
  <si>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</si>
  <si>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</si>
  <si>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</si>
  <si>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</si>
  <si>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</si>
  <si>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</si>
  <si>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</si>
  <si>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</si>
  <si>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</si>
  <si>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</si>
  <si>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</si>
  <si>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</si>
  <si>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</si>
  <si>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</si>
  <si>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</si>
  <si>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</si>
  <si>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</si>
  <si>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</si>
  <si>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</si>
  <si>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</si>
  <si>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</si>
  <si>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</si>
  <si>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</si>
  <si>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</si>
  <si>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</si>
  <si>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</si>
  <si>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</si>
  <si>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</si>
  <si>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</si>
  <si>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</si>
  <si>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</si>
  <si>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</si>
  <si>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</si>
  <si>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</si>
  <si>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</si>
  <si>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</si>
  <si>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</si>
  <si>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</si>
  <si>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</si>
  <si>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</si>
  <si>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</si>
  <si>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</si>
  <si>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</si>
  <si>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</si>
  <si>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</si>
  <si>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</si>
  <si>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</si>
  <si>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</si>
  <si>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</si>
  <si>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</si>
  <si>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</si>
  <si>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</si>
  <si>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</si>
  <si>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</si>
  <si>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</si>
  <si>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</si>
  <si>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</si>
  <si>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</si>
  <si>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</si>
  <si>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</si>
  <si>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</si>
  <si>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</si>
  <si>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</si>
  <si>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</si>
  <si>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</si>
  <si>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</si>
  <si>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</si>
  <si>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</si>
  <si>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</si>
  <si>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</si>
  <si>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</si>
  <si>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</si>
  <si>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</si>
  <si>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</si>
  <si>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</si>
  <si>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</si>
  <si>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</si>
  <si>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</si>
  <si>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</si>
  <si>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</si>
  <si>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</si>
  <si>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</si>
  <si>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</si>
  <si>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</si>
  <si>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</si>
  <si>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</si>
  <si>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</si>
  <si>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</si>
  <si>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</si>
  <si>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</si>
  <si>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</si>
  <si>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</si>
  <si>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</si>
  <si>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</si>
  <si>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</si>
  <si>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</si>
  <si>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</si>
  <si>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</si>
  <si>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</si>
  <si>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</si>
  <si>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</si>
  <si>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</si>
  <si>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</si>
  <si>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</si>
  <si>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</si>
  <si>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</si>
  <si>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</si>
  <si>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</si>
  <si>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</si>
  <si>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</si>
  <si>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</si>
  <si>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</si>
  <si>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</si>
  <si>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</si>
  <si>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</si>
  <si>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</si>
  <si>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</si>
  <si>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</si>
  <si>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</si>
  <si>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</si>
  <si>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</si>
  <si>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</si>
  <si>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</si>
  <si>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</si>
  <si>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</si>
  <si>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</si>
  <si>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</si>
  <si>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</si>
  <si>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</si>
  <si>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</si>
  <si>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</si>
  <si>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</si>
  <si>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</si>
  <si>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</si>
  <si>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</si>
  <si>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</si>
  <si>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</si>
  <si>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</si>
  <si>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</si>
  <si>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</si>
  <si>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</si>
  <si>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</si>
  <si>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</si>
  <si>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</si>
  <si>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</si>
  <si>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</si>
  <si>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</si>
  <si>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</si>
  <si>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</si>
  <si>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</si>
  <si>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</si>
  <si>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</si>
  <si>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</si>
  <si>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</si>
  <si>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</si>
  <si>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</si>
  <si>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</si>
  <si>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</si>
  <si>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</si>
  <si>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</si>
  <si>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</si>
  <si>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</si>
  <si>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</si>
  <si>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</si>
  <si>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</si>
  <si>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</si>
  <si>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</si>
  <si>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</si>
  <si>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</si>
  <si>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</si>
  <si>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</si>
  <si>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</si>
  <si>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</si>
  <si>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</si>
  <si>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</si>
  <si>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</si>
  <si>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</si>
  <si>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</si>
  <si>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</si>
  <si>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</si>
  <si>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</si>
  <si>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</si>
  <si>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</si>
  <si>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</si>
  <si>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</si>
  <si>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</si>
  <si>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</si>
  <si>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</si>
  <si>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</si>
  <si>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</si>
  <si>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</si>
  <si>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</si>
  <si>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</si>
  <si>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</si>
  <si>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</si>
  <si>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</si>
  <si>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</si>
  <si>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</si>
  <si>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</si>
  <si>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</si>
  <si>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</si>
  <si>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</si>
  <si>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</si>
  <si>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</si>
  <si>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</si>
  <si>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</si>
  <si>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</si>
  <si>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</si>
  <si>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</si>
  <si>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</si>
  <si>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</si>
  <si>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</si>
  <si>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</si>
  <si>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</si>
  <si>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</si>
  <si>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</si>
  <si>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</si>
  <si>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</si>
  <si>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</si>
  <si>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</si>
  <si>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</si>
  <si>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</si>
  <si>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</si>
  <si>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</si>
  <si>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</si>
  <si>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</si>
  <si>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</si>
  <si>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</si>
  <si>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</si>
  <si>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</si>
  <si>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</si>
  <si>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</si>
  <si>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</si>
  <si>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</si>
  <si>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</si>
  <si>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</si>
  <si>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</si>
  <si>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</si>
  <si>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</si>
  <si>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</si>
  <si>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</si>
  <si>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</si>
  <si>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</si>
  <si>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</si>
  <si>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</si>
  <si>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</si>
  <si>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</si>
  <si>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</si>
  <si>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</si>
  <si>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</si>
  <si>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</si>
  <si>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</si>
  <si>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</si>
  <si>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</si>
  <si>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</si>
  <si>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</si>
  <si>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</si>
  <si>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</si>
  <si>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</si>
  <si>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</si>
  <si>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</si>
  <si>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</si>
  <si>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</si>
  <si>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</si>
  <si>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</si>
  <si>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</si>
  <si>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</si>
  <si>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</si>
  <si>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</si>
  <si>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</si>
  <si>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</si>
  <si>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</si>
  <si>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</si>
  <si>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</si>
  <si>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</si>
  <si>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</si>
  <si>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</si>
  <si>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</si>
  <si>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</si>
  <si>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</si>
  <si>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</si>
  <si>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</si>
  <si>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</si>
  <si>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</si>
  <si>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</si>
  <si>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</si>
  <si>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</si>
  <si>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</si>
  <si>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</si>
  <si>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</si>
  <si>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</si>
  <si>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</si>
  <si>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</si>
  <si>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</si>
  <si>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</si>
  <si>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</si>
  <si>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</si>
  <si>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</si>
  <si>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</si>
  <si>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</si>
  <si>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</si>
  <si>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</si>
  <si>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</si>
  <si>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</si>
  <si>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</si>
  <si>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</si>
  <si>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</si>
  <si>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</si>
  <si>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</si>
  <si>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</si>
  <si>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</si>
  <si>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</si>
  <si>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</si>
  <si>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</si>
  <si>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</si>
  <si>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</si>
  <si>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</si>
  <si>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</si>
  <si>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</si>
  <si>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</si>
  <si>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</si>
  <si>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</si>
  <si>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</si>
  <si>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</si>
  <si>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</si>
  <si>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</si>
  <si>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</si>
  <si>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</si>
  <si>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</si>
  <si>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</si>
  <si>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</si>
  <si>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</si>
  <si>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</si>
  <si>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</si>
  <si>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</si>
  <si>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</si>
  <si>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</si>
  <si>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</si>
  <si>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</si>
  <si>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</si>
  <si>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</si>
  <si>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</si>
  <si>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</si>
  <si>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</si>
  <si>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</si>
  <si>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</si>
  <si>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</si>
  <si>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</si>
  <si>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</si>
  <si>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</si>
  <si>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</si>
  <si>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</si>
  <si>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</si>
  <si>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</si>
  <si>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</si>
  <si>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</si>
  <si>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</si>
  <si>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</si>
  <si>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</si>
  <si>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</si>
  <si>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</si>
  <si>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</si>
  <si>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</si>
  <si>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</si>
  <si>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</si>
  <si>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</si>
  <si>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</si>
  <si>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</si>
  <si>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</si>
  <si>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</si>
  <si>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</si>
  <si>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</si>
  <si>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</si>
  <si>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</si>
  <si>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</si>
  <si>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</si>
  <si>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</si>
  <si>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</si>
  <si>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</si>
  <si>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</si>
  <si>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</si>
  <si>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</si>
  <si>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</si>
  <si>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</si>
  <si>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</si>
  <si>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</si>
  <si>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</si>
  <si>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</si>
  <si>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</si>
  <si>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</si>
  <si>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</si>
  <si>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</si>
  <si>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</si>
  <si>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</si>
  <si>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</si>
  <si>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</si>
  <si>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</si>
  <si>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</si>
  <si>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</si>
  <si>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</si>
  <si>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</si>
  <si>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</si>
  <si>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</si>
  <si>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</si>
  <si>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</si>
  <si>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</si>
  <si>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</si>
  <si>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</si>
  <si>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</si>
  <si>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</si>
  <si>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</si>
  <si>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</si>
  <si>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</si>
  <si>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</si>
  <si>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</si>
  <si>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</si>
  <si>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</si>
  <si>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</si>
  <si>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</si>
  <si>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</si>
  <si>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</si>
  <si>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</si>
  <si>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</si>
  <si>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</si>
  <si>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</si>
  <si>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</si>
  <si>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</si>
  <si>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</si>
  <si>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</si>
  <si>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</si>
  <si>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</si>
  <si>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</si>
  <si>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</si>
  <si>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</si>
  <si>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</si>
  <si>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</si>
  <si>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</si>
  <si>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</si>
  <si>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</si>
  <si>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</si>
  <si>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</si>
  <si>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</si>
  <si>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</si>
  <si>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</si>
  <si>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</si>
  <si>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</si>
  <si>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</si>
  <si>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</si>
  <si>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</si>
  <si>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</si>
  <si>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</si>
  <si>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</si>
  <si>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</si>
  <si>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</si>
  <si>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</si>
  <si>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</si>
  <si>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</si>
  <si>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</si>
  <si>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</si>
  <si>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</si>
  <si>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</si>
  <si>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</si>
  <si>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</si>
  <si>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</si>
  <si>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</si>
  <si>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</si>
  <si>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</si>
  <si>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</si>
  <si>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</si>
  <si>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</si>
  <si>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</si>
  <si>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</si>
  <si>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</si>
  <si>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</si>
  <si>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</si>
  <si>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</si>
  <si>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</si>
  <si>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</si>
  <si>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</si>
  <si>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</si>
  <si>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</si>
  <si>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</si>
  <si>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</si>
  <si>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</si>
  <si>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</si>
  <si>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</si>
  <si>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</si>
  <si>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</si>
  <si>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</si>
  <si>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</si>
  <si>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</si>
  <si>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</si>
  <si>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</si>
  <si>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</si>
  <si>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</si>
  <si>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</si>
  <si>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</si>
  <si>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</si>
  <si>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</si>
  <si>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</si>
  <si>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</si>
  <si>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</si>
  <si>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</si>
  <si>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</si>
  <si>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</si>
  <si>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</si>
  <si>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</si>
  <si>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</si>
  <si>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</si>
  <si>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</si>
  <si>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</si>
  <si>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</si>
  <si>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</si>
  <si>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</si>
  <si>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</si>
  <si>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</si>
  <si>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</si>
  <si>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</si>
  <si>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</si>
  <si>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</si>
  <si>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</si>
  <si>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</si>
  <si>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</si>
  <si>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</si>
  <si>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</si>
  <si>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</si>
  <si>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</si>
  <si>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</si>
  <si>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</si>
  <si>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</si>
  <si>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</si>
  <si>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</si>
  <si>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</si>
  <si>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</si>
  <si>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</si>
  <si>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</si>
  <si>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</si>
  <si>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</si>
  <si>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</si>
  <si>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</si>
  <si>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</si>
  <si>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</si>
  <si>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</si>
  <si>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</si>
  <si>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</si>
  <si>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</si>
  <si>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</si>
  <si>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</si>
  <si>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</si>
  <si>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</si>
  <si>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</si>
  <si>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</si>
  <si>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</si>
  <si>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</si>
  <si>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</si>
  <si>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</si>
  <si>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</si>
  <si>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</si>
  <si>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</si>
  <si>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</si>
  <si>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</si>
  <si>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</si>
  <si>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</si>
  <si>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</si>
  <si>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</si>
  <si>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</si>
  <si>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</si>
  <si>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</si>
  <si>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</si>
  <si>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</si>
  <si>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</si>
  <si>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</si>
  <si>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</si>
  <si>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</si>
  <si>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</si>
  <si>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</si>
  <si>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</si>
  <si>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</si>
  <si>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</si>
  <si>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</si>
  <si>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</si>
  <si>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</si>
  <si>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</si>
  <si>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</si>
  <si>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</si>
  <si>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</si>
  <si>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</si>
  <si>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</si>
  <si>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</si>
  <si>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</si>
  <si>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</si>
  <si>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</si>
  <si>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</si>
  <si>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</si>
  <si>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</si>
  <si>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</si>
  <si>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</si>
  <si>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</si>
  <si>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</si>
  <si>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</si>
  <si>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</si>
  <si>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</si>
  <si>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</si>
  <si>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</si>
  <si>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</si>
  <si>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</si>
  <si>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</si>
  <si>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</si>
  <si>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</si>
  <si>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</si>
  <si>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</si>
  <si>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</si>
  <si>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</si>
  <si>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</si>
  <si>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</si>
  <si>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</si>
  <si>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</si>
  <si>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</si>
  <si>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</si>
  <si>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</si>
  <si>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</si>
  <si>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</si>
  <si>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</si>
  <si>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</si>
  <si>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</si>
  <si>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</si>
  <si>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</si>
  <si>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</si>
  <si>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</si>
  <si>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</si>
  <si>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</si>
  <si>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</si>
  <si>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</si>
  <si>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</si>
  <si>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</si>
  <si>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</si>
  <si>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</si>
  <si>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</si>
  <si>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</si>
  <si>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</si>
  <si>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</si>
  <si>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</si>
  <si>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</si>
  <si>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</si>
  <si>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</si>
  <si>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</si>
  <si>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</si>
  <si>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</si>
  <si>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</si>
  <si>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</si>
  <si>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</si>
  <si>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</si>
  <si>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</si>
  <si>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</si>
  <si>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</si>
  <si>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</si>
  <si>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</si>
  <si>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</si>
  <si>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</si>
  <si>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</si>
  <si>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</si>
  <si>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</si>
  <si>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</si>
  <si>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</si>
  <si>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</si>
  <si>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</si>
  <si>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</si>
  <si>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</si>
  <si>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</si>
  <si>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</si>
  <si>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</si>
  <si>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</si>
  <si>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</si>
  <si>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</si>
  <si>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</si>
  <si>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</si>
  <si>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</si>
  <si>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</si>
  <si>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</si>
  <si>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</si>
  <si>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</si>
  <si>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</si>
  <si>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</si>
  <si>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</si>
  <si>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</si>
  <si>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</si>
  <si>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</si>
  <si>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</si>
  <si>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</si>
  <si>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</si>
  <si>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</si>
  <si>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</si>
  <si>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</si>
  <si>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</si>
  <si>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</si>
  <si>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</si>
  <si>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</si>
  <si>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</si>
  <si>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</si>
  <si>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</si>
  <si>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</si>
  <si>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</si>
  <si>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</si>
  <si>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</si>
  <si>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</si>
  <si>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</si>
  <si>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</si>
  <si>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</si>
  <si>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</si>
  <si>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</si>
  <si>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</si>
  <si>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</si>
  <si>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</si>
  <si>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</si>
  <si>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</si>
  <si>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</si>
  <si>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</si>
  <si>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</si>
  <si>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</si>
  <si>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</si>
  <si>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</si>
  <si>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</si>
  <si>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</si>
  <si>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</si>
  <si>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</si>
  <si>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</si>
  <si>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</si>
  <si>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</si>
  <si>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</si>
  <si>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</si>
  <si>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</si>
  <si>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</si>
  <si>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</si>
  <si>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</si>
  <si>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</si>
  <si>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</si>
  <si>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</si>
  <si>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</si>
  <si>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</si>
  <si>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</si>
  <si>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</si>
  <si>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</si>
  <si>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</si>
  <si>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</si>
  <si>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</si>
  <si>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</si>
  <si>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</si>
  <si>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</si>
  <si>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</si>
  <si>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</si>
  <si>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</si>
  <si>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</si>
  <si>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</si>
  <si>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</si>
  <si>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</si>
  <si>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</si>
  <si>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</si>
  <si>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</si>
  <si>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</si>
  <si>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</si>
  <si>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</si>
  <si>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</si>
  <si>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</si>
  <si>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</si>
  <si>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</si>
  <si>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</si>
  <si>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</si>
  <si>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</si>
  <si>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</si>
  <si>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</si>
  <si>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</si>
  <si>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</si>
  <si>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</si>
  <si>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</si>
  <si>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</si>
  <si>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</si>
  <si>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</si>
  <si>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</si>
  <si>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</si>
  <si>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</si>
  <si>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</si>
  <si>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</si>
  <si>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</si>
  <si>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</si>
  <si>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</si>
  <si>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</si>
  <si>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</si>
  <si>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</si>
  <si>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</si>
  <si>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</si>
  <si>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</si>
  <si>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</si>
  <si>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</si>
  <si>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</si>
  <si>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</si>
  <si>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</si>
  <si>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</si>
  <si>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</si>
  <si>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</si>
  <si>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</si>
  <si>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</si>
  <si>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</si>
  <si>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</si>
  <si>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</si>
  <si>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</si>
  <si>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</si>
  <si>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</si>
  <si>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</si>
  <si>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</si>
  <si>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</si>
  <si>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</si>
  <si>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</si>
  <si>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</si>
  <si>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</si>
  <si>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</si>
  <si>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</si>
  <si>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</si>
  <si>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</si>
  <si>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</si>
  <si>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</si>
  <si>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</si>
  <si>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</si>
  <si>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</si>
  <si>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</si>
  <si>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</si>
  <si>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</si>
  <si>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</si>
  <si>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</si>
  <si>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</si>
  <si>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</si>
  <si>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</si>
  <si>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</si>
  <si>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</si>
  <si>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</si>
  <si>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</si>
  <si>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</si>
  <si>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</si>
  <si>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</si>
  <si>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</si>
  <si>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</si>
  <si>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</si>
  <si>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</si>
  <si>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</si>
  <si>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</si>
  <si>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</si>
  <si>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</si>
  <si>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</si>
  <si>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</si>
  <si>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</si>
  <si>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</si>
  <si>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</si>
  <si>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</si>
  <si>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</si>
  <si>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</si>
  <si>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</si>
  <si>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</si>
  <si>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</si>
  <si>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</si>
  <si>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</si>
  <si>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</si>
  <si>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</si>
  <si>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</si>
  <si>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</si>
  <si>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</si>
  <si>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</si>
  <si>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</si>
  <si>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</si>
  <si>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</si>
  <si>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</si>
  <si>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</si>
  <si>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</si>
  <si>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</si>
  <si>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</si>
  <si>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</si>
  <si>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</si>
  <si>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</si>
  <si>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</si>
  <si>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</si>
  <si>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</si>
  <si>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</si>
  <si>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</si>
  <si>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</si>
  <si>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</si>
  <si>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</si>
  <si>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</si>
  <si>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</si>
  <si>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</si>
  <si>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</si>
  <si>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</si>
  <si>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</si>
  <si>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</si>
  <si>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</si>
  <si>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</si>
  <si>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</si>
  <si>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</si>
  <si>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</si>
  <si>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</si>
  <si>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</si>
  <si>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</si>
  <si>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</si>
  <si>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</si>
  <si>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</si>
  <si>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</si>
  <si>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</si>
  <si>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</si>
  <si>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</si>
  <si>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</si>
  <si>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</si>
  <si>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</si>
  <si>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</si>
  <si>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</si>
  <si>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</si>
  <si>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</si>
  <si>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</si>
  <si>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</si>
  <si>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</si>
  <si>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</si>
  <si>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</si>
  <si>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</si>
  <si>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</si>
  <si>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</si>
  <si>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</si>
  <si>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</si>
  <si>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</si>
  <si>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</si>
  <si>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</si>
  <si>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</si>
  <si>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</si>
  <si>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</si>
  <si>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</si>
  <si>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</si>
  <si>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</si>
  <si>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</si>
  <si>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</si>
  <si>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</si>
  <si>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</si>
  <si>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</si>
  <si>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</si>
  <si>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</si>
  <si>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</si>
  <si>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</si>
  <si>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</si>
  <si>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</si>
  <si>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</si>
  <si>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</si>
  <si>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</si>
  <si>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</si>
  <si>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</si>
  <si>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</si>
  <si>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</si>
  <si>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</si>
  <si>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</si>
  <si>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</si>
  <si>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</si>
  <si>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</si>
  <si>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</si>
  <si>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</si>
  <si>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</si>
  <si>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</si>
  <si>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</si>
  <si>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</si>
  <si>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</si>
  <si>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</si>
  <si>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</si>
  <si>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</si>
  <si>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</si>
  <si>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</si>
  <si>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</si>
  <si>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</si>
  <si>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</si>
  <si>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</si>
  <si>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</si>
  <si>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</si>
  <si>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</si>
  <si>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</si>
  <si>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</si>
  <si>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</si>
  <si>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</si>
  <si>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</si>
  <si>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</si>
  <si>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</si>
  <si>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</si>
  <si>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</si>
  <si>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</si>
  <si>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</si>
  <si>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</si>
  <si>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</si>
  <si>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</si>
  <si>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</si>
  <si>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</si>
  <si>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</si>
  <si>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</si>
  <si>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</si>
  <si>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</si>
  <si>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</si>
  <si>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</si>
  <si>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</si>
  <si>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</si>
  <si>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</si>
  <si>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</si>
  <si>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</si>
  <si>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</si>
  <si>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</si>
  <si>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</si>
  <si>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</si>
  <si>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</si>
  <si>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</si>
  <si>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</si>
  <si>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</si>
  <si>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</si>
  <si>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</si>
  <si>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</si>
  <si>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</si>
  <si>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</si>
  <si>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</si>
  <si>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</si>
  <si>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</si>
  <si>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</si>
  <si>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</si>
  <si>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</si>
  <si>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</si>
  <si>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</si>
  <si>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</si>
  <si>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</si>
  <si>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</si>
  <si>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</si>
  <si>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</si>
  <si>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</si>
  <si>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</si>
  <si>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</si>
  <si>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</si>
  <si>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</si>
  <si>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</si>
  <si>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</si>
  <si>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</si>
  <si>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</si>
  <si>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</si>
  <si>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</si>
  <si>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</si>
  <si>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</si>
  <si>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</si>
  <si>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</si>
  <si>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</si>
  <si>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</si>
  <si>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</si>
  <si>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</si>
  <si>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</si>
  <si>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</si>
  <si>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</si>
  <si>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</si>
  <si>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</si>
  <si>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</si>
  <si>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</si>
  <si>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</si>
  <si>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</si>
  <si>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</si>
  <si>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</si>
  <si>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</si>
  <si>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</si>
  <si>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</si>
  <si>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</si>
  <si>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</si>
  <si>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</si>
  <si>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</si>
  <si>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</si>
  <si>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</si>
  <si>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</si>
  <si>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</si>
  <si>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</si>
  <si>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</si>
  <si>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</si>
  <si>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</si>
  <si>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</si>
  <si>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</si>
  <si>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</si>
  <si>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</si>
  <si>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</si>
  <si>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</si>
  <si>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</si>
  <si>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</si>
  <si>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</si>
  <si>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</si>
  <si>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</si>
  <si>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</si>
  <si>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</si>
  <si>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</si>
  <si>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</si>
  <si>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</si>
  <si>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</si>
  <si>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</si>
  <si>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</si>
  <si>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</si>
  <si>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</si>
  <si>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</si>
  <si>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</si>
  <si>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</si>
  <si>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</si>
  <si>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</si>
  <si>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</si>
  <si>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</si>
  <si>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</si>
  <si>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</si>
  <si>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</si>
  <si>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</si>
  <si>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</si>
  <si>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</si>
  <si>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</si>
  <si>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</si>
  <si>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</si>
  <si>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</si>
  <si>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</si>
  <si>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</si>
  <si>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</si>
  <si>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</si>
  <si>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</si>
  <si>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</si>
  <si>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</si>
  <si>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</si>
  <si>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</si>
  <si>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</si>
  <si>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</si>
  <si>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</si>
  <si>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</si>
  <si>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</si>
  <si>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</si>
  <si>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</si>
  <si>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</si>
  <si>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</si>
  <si>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</si>
  <si>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</si>
  <si>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</si>
  <si>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</si>
  <si>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</si>
  <si>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</si>
  <si>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</si>
  <si>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</si>
  <si>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</si>
  <si>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</si>
  <si>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</si>
  <si>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</si>
  <si>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</si>
  <si>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</si>
  <si>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</si>
  <si>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</si>
  <si>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</si>
  <si>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</si>
  <si>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</si>
  <si>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</si>
  <si>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</si>
  <si>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</si>
  <si>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</si>
  <si>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</si>
  <si>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</si>
  <si>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</si>
  <si>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</si>
  <si>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</si>
  <si>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</si>
  <si>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</si>
  <si>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</si>
  <si>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</si>
  <si>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</si>
  <si>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</si>
  <si>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</si>
  <si>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</si>
  <si>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</si>
  <si>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</si>
  <si>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</si>
  <si>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</si>
  <si>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</si>
  <si>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</si>
  <si>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</si>
  <si>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</si>
  <si>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</si>
  <si>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</si>
  <si>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</si>
  <si>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</si>
  <si>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</si>
  <si>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</si>
  <si>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</si>
  <si>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</si>
  <si>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</si>
  <si>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</si>
  <si>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</si>
  <si>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</si>
  <si>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</si>
  <si>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</si>
  <si>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</si>
  <si>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</si>
  <si>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</si>
  <si>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</si>
  <si>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</si>
  <si>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</si>
  <si>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</si>
  <si>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</si>
  <si>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</si>
  <si>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</si>
  <si>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</si>
  <si>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</si>
  <si>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</si>
  <si>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</si>
  <si>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</si>
  <si>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</si>
  <si>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</si>
  <si>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</si>
  <si>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</si>
  <si>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</si>
  <si>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</si>
  <si>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</si>
  <si>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</si>
  <si>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</si>
  <si>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</si>
  <si>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</si>
  <si>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</si>
  <si>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</si>
  <si>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</si>
  <si>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</si>
  <si>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</si>
  <si>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</si>
  <si>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</si>
  <si>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</si>
  <si>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</si>
  <si>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</si>
  <si>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</si>
  <si>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</si>
  <si>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</si>
  <si>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</si>
  <si>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</si>
  <si>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</si>
  <si>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</si>
  <si>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</si>
  <si>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</si>
  <si>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</si>
  <si>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</si>
  <si>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</si>
  <si>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</si>
  <si>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</si>
  <si>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</si>
  <si>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</si>
  <si>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</si>
  <si>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</si>
  <si>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</si>
  <si>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</si>
  <si>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</si>
  <si>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</si>
  <si>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</si>
  <si>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</si>
  <si>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</si>
  <si>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</si>
  <si>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</si>
  <si>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</si>
  <si>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</si>
  <si>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</si>
  <si>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</si>
  <si>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</si>
  <si>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</si>
  <si>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</si>
  <si>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</si>
  <si>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</si>
  <si>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</si>
  <si>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</si>
  <si>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</si>
  <si>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</si>
  <si>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</si>
  <si>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</si>
  <si>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</si>
  <si>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</si>
  <si>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</si>
  <si>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</si>
  <si>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</si>
  <si>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</si>
  <si>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</si>
  <si>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</si>
  <si>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</si>
  <si>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</si>
  <si>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</si>
  <si>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</si>
  <si>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</si>
  <si>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</si>
  <si>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</si>
  <si>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</si>
  <si>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</si>
  <si>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</si>
  <si>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</si>
  <si>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</si>
  <si>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</si>
  <si>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</si>
  <si>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</si>
  <si>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</si>
  <si>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</si>
  <si>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</si>
  <si>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</si>
  <si>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</si>
  <si>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</si>
  <si>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</si>
  <si>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</si>
  <si>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</si>
  <si>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</si>
  <si>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</si>
  <si>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</si>
  <si>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</si>
  <si>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</si>
  <si>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</si>
  <si>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</si>
  <si>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</si>
  <si>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</si>
  <si>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</si>
  <si>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</si>
  <si>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</si>
  <si>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</si>
  <si>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</si>
  <si>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</si>
  <si>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</si>
  <si>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</si>
  <si>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</si>
  <si>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</si>
  <si>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</si>
  <si>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</si>
  <si>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</si>
  <si>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</si>
  <si>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</si>
  <si>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</si>
  <si>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</si>
  <si>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</si>
  <si>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</si>
  <si>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</si>
  <si>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</si>
  <si>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</si>
  <si>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</si>
  <si>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</si>
  <si>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</si>
  <si>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</si>
  <si>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</si>
  <si>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</si>
  <si>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</si>
  <si>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</si>
  <si>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</si>
  <si>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</si>
  <si>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</si>
  <si>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</si>
  <si>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</si>
  <si>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</si>
  <si>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</si>
  <si>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</si>
  <si>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</si>
  <si>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</si>
  <si>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</si>
  <si>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</si>
  <si>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</si>
  <si>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</si>
  <si>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</si>
  <si>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</si>
  <si>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</si>
  <si>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</si>
  <si>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</si>
  <si>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</si>
  <si>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</si>
  <si>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</si>
  <si>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</si>
  <si>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</si>
  <si>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</si>
  <si>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</si>
  <si>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</si>
  <si>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</si>
  <si>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</si>
  <si>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</si>
  <si>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</si>
  <si>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</si>
  <si>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</si>
  <si>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</si>
  <si>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</si>
  <si>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</si>
  <si>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</si>
  <si>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</si>
  <si>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</si>
  <si>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</si>
  <si>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</si>
  <si>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</si>
  <si>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</si>
  <si>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</si>
  <si>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</si>
  <si>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</si>
  <si>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</si>
  <si>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</si>
  <si>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</si>
  <si>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</si>
  <si>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</si>
  <si>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</si>
  <si>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</si>
  <si>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</si>
  <si>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</si>
  <si>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</si>
  <si>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</si>
  <si>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</si>
  <si>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</si>
  <si>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</si>
  <si>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</si>
  <si>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</si>
  <si>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</si>
  <si>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</si>
  <si>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</si>
  <si>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</si>
  <si>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</si>
  <si>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</si>
  <si>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</si>
  <si>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</si>
  <si>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</si>
  <si>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</si>
  <si>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</si>
  <si>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</si>
  <si>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</si>
  <si>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</si>
  <si>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</si>
  <si>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</si>
  <si>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</si>
  <si>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</si>
  <si>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</si>
  <si>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</si>
  <si>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</si>
  <si>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</si>
  <si>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</si>
  <si>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</si>
  <si>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</si>
  <si>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</si>
  <si>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</si>
  <si>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</si>
  <si>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</si>
  <si>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</si>
  <si>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</si>
  <si>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</si>
  <si>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</si>
  <si>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</si>
  <si>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</si>
  <si>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</si>
  <si>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</si>
  <si>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</si>
  <si>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</si>
  <si>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</si>
  <si>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</si>
  <si>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</si>
  <si>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</si>
  <si>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</si>
  <si>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</si>
  <si>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</si>
  <si>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</si>
  <si>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</si>
  <si>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</si>
  <si>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</si>
  <si>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</si>
  <si>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</si>
  <si>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</si>
  <si>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</si>
  <si>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</si>
  <si>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</si>
  <si>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</si>
  <si>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</si>
  <si>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</si>
  <si>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</si>
  <si>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</si>
  <si>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</si>
  <si>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</si>
  <si>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</si>
  <si>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</si>
  <si>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</si>
  <si>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</si>
  <si>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</si>
  <si>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</si>
  <si>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</si>
  <si>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</si>
  <si>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</si>
  <si>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</si>
  <si>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</si>
  <si>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</si>
  <si>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</si>
  <si>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</si>
  <si>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</si>
  <si>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</si>
  <si>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</si>
  <si>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</si>
  <si>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</si>
  <si>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</si>
  <si>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</si>
  <si>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</si>
  <si>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</si>
  <si>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</si>
  <si>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</si>
  <si>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</si>
  <si>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</si>
  <si>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</si>
  <si>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</si>
  <si>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</si>
  <si>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</si>
  <si>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</si>
  <si>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</si>
  <si>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</si>
  <si>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</si>
  <si>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</si>
  <si>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</si>
  <si>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</si>
  <si>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</si>
  <si>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</si>
  <si>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</si>
  <si>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</si>
  <si>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</si>
  <si>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</si>
  <si>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</si>
  <si>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</si>
  <si>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</si>
  <si>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</si>
  <si>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</si>
  <si>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</si>
  <si>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</si>
  <si>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</si>
  <si>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</si>
  <si>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</si>
  <si>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</si>
  <si>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</si>
  <si>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</si>
  <si>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</si>
  <si>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</si>
  <si>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</si>
  <si>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</si>
  <si>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</si>
  <si>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</si>
  <si>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</si>
  <si>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</si>
  <si>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</si>
  <si>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</si>
  <si>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</si>
  <si>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</si>
  <si>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</si>
  <si>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</si>
  <si>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</si>
  <si>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</si>
  <si>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</si>
  <si>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</si>
  <si>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</si>
  <si>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</si>
  <si>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</si>
  <si>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</si>
  <si>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</si>
  <si>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</si>
  <si>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</si>
  <si>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</si>
  <si>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</si>
  <si>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</si>
  <si>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</si>
  <si>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</si>
  <si>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</si>
  <si>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</si>
  <si>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</si>
  <si>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</si>
  <si>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</si>
  <si>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</si>
  <si>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</si>
  <si>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</si>
  <si>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</si>
  <si>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</si>
  <si>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</si>
  <si>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</si>
  <si>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</si>
  <si>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</si>
  <si>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</si>
  <si>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</si>
  <si>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</si>
  <si>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</si>
  <si>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</si>
  <si>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</si>
  <si>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</si>
  <si>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</si>
  <si>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</si>
  <si>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</si>
  <si>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</si>
  <si>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</si>
  <si>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</si>
  <si>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</si>
  <si>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</si>
  <si>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</si>
  <si>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</si>
  <si>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</si>
  <si>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</si>
  <si>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</si>
  <si>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</si>
  <si>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</si>
  <si>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</si>
  <si>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</si>
  <si>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</si>
  <si>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</si>
  <si>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</si>
  <si>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</si>
  <si>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</si>
  <si>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</si>
  <si>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</si>
  <si>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</si>
  <si>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</si>
  <si>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</si>
  <si>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</si>
  <si>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</si>
  <si>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</si>
  <si>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</si>
  <si>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</si>
  <si>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</si>
  <si>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</si>
  <si>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</si>
  <si>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</si>
  <si>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</si>
  <si>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</si>
  <si>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</si>
  <si>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</si>
  <si>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</si>
  <si>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</si>
  <si>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</si>
  <si>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</si>
  <si>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</si>
  <si>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</si>
  <si>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</si>
  <si>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</si>
  <si>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</si>
  <si>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</si>
  <si>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</si>
  <si>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</si>
  <si>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</si>
  <si>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</si>
  <si>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</si>
  <si>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</si>
  <si>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</si>
  <si>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</si>
  <si>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</si>
  <si>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</si>
  <si>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</si>
  <si>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</si>
  <si>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</si>
  <si>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</si>
  <si>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</si>
  <si>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</si>
  <si>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</si>
  <si>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</si>
  <si>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</si>
  <si>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</si>
  <si>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</si>
  <si>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</si>
  <si>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</si>
  <si>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</si>
  <si>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</si>
  <si>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</si>
  <si>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</si>
  <si>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</si>
  <si>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</si>
  <si>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</si>
  <si>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</si>
  <si>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</si>
  <si>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</si>
  <si>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</si>
  <si>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</si>
  <si>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</si>
  <si>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</si>
  <si>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</si>
  <si>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</si>
  <si>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</si>
  <si>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</si>
  <si>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</si>
  <si>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</si>
  <si>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</si>
  <si>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</si>
  <si>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</si>
  <si>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</si>
  <si>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</si>
  <si>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</si>
  <si>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</si>
  <si>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</si>
  <si>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</si>
  <si>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</si>
  <si>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</si>
  <si>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</si>
  <si>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</si>
  <si>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</si>
  <si>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</si>
  <si>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</si>
  <si>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</si>
  <si>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</si>
  <si>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</si>
  <si>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</si>
  <si>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</si>
  <si>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</si>
  <si>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</si>
  <si>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</si>
  <si>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</si>
  <si>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</si>
  <si>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</si>
  <si>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</si>
  <si>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</si>
  <si>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</si>
  <si>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</si>
  <si>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</si>
  <si>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</si>
  <si>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</si>
  <si>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</si>
  <si>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</si>
  <si>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</si>
  <si>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</si>
  <si>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</si>
  <si>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</si>
  <si>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</si>
  <si>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</si>
  <si>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</si>
  <si>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</si>
  <si>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</si>
  <si>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</si>
  <si>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</si>
  <si>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</si>
  <si>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</si>
  <si>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</si>
  <si>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</si>
  <si>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</si>
  <si>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</si>
  <si>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</si>
  <si>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</si>
  <si>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</si>
  <si>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</si>
  <si>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</si>
  <si>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</si>
  <si>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</si>
  <si>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</si>
  <si>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</si>
  <si>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</si>
  <si>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</si>
  <si>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</si>
  <si>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</si>
  <si>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</si>
  <si>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</si>
  <si>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</si>
  <si>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</si>
  <si>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</si>
  <si>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</si>
  <si>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</si>
  <si>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</si>
  <si>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</si>
  <si>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</si>
  <si>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</si>
  <si>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</si>
  <si>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</si>
  <si>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</si>
  <si>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</si>
  <si>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</si>
  <si>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</si>
  <si>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</si>
  <si>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</si>
  <si>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</si>
  <si>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</si>
  <si>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</si>
  <si>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</si>
  <si>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</si>
  <si>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</si>
  <si>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</si>
  <si>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</si>
  <si>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</si>
  <si>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</si>
  <si>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</si>
  <si>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</si>
  <si>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</si>
  <si>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</si>
  <si>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</si>
  <si>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</si>
  <si>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</si>
  <si>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</si>
  <si>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</si>
  <si>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</si>
  <si>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</si>
  <si>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</si>
  <si>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</si>
  <si>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</si>
  <si>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</si>
  <si>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</si>
  <si>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</si>
  <si>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</si>
  <si>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</si>
  <si>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</si>
  <si>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</si>
  <si>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</si>
  <si>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</si>
  <si>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</si>
  <si>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</si>
  <si>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</si>
  <si>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</si>
  <si>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</si>
  <si>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</si>
  <si>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</si>
  <si>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</si>
  <si>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</si>
  <si>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</si>
  <si>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</si>
  <si>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</si>
  <si>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</si>
  <si>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</si>
  <si>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</si>
  <si>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</si>
  <si>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</si>
  <si>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</si>
  <si>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</si>
  <si>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</si>
  <si>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</si>
  <si>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</si>
  <si>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</si>
  <si>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</si>
  <si>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</si>
  <si>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</si>
  <si>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</si>
  <si>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</si>
  <si>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</si>
  <si>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</si>
  <si>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</si>
  <si>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</si>
  <si>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</si>
  <si>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</si>
  <si>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</si>
  <si>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</si>
  <si>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</si>
  <si>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</si>
  <si>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</si>
  <si>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</si>
  <si>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</si>
  <si>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</si>
  <si>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</si>
  <si>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</si>
  <si>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</si>
  <si>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</si>
  <si>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</si>
  <si>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</si>
  <si>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</si>
  <si>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</si>
  <si>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</si>
  <si>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</si>
  <si>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</si>
  <si>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</si>
  <si>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</si>
  <si>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</si>
  <si>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</si>
  <si>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</si>
  <si>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</si>
  <si>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</si>
  <si>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</si>
  <si>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</si>
  <si>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</si>
  <si>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</si>
  <si>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</si>
  <si>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</si>
  <si>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</si>
  <si>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</si>
  <si>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</si>
  <si>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</si>
  <si>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</si>
  <si>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</si>
  <si>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</si>
  <si>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</si>
  <si>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</si>
  <si>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</si>
  <si>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</si>
  <si>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</si>
  <si>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</si>
  <si>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</si>
  <si>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</si>
  <si>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</si>
  <si>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</si>
  <si>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</si>
  <si>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</si>
  <si>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</si>
  <si>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</si>
  <si>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</si>
  <si>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</si>
  <si>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</si>
  <si>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</si>
  <si>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</si>
  <si>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</si>
  <si>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</si>
  <si>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</si>
  <si>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</si>
  <si>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</si>
  <si>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</si>
  <si>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</si>
  <si>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</si>
  <si>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</si>
  <si>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</si>
  <si>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</si>
  <si>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</si>
  <si>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</si>
  <si>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</si>
  <si>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</si>
  <si>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</si>
  <si>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</si>
  <si>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</si>
  <si>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</si>
  <si>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</si>
  <si>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</si>
  <si>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</si>
  <si>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</si>
  <si>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</si>
  <si>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</si>
  <si>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</si>
  <si>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</si>
  <si>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</si>
  <si>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</si>
  <si>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</si>
  <si>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</si>
  <si>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</si>
  <si>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</si>
  <si>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</si>
  <si>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</si>
  <si>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</si>
  <si>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</si>
  <si>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</si>
  <si>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</si>
  <si>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</si>
  <si>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</si>
  <si>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</si>
  <si>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</si>
  <si>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</si>
  <si>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</si>
  <si>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</si>
  <si>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</si>
  <si>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</si>
  <si>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</si>
  <si>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</si>
  <si>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</si>
  <si>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</si>
  <si>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</si>
  <si>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</si>
  <si>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</si>
  <si>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</si>
  <si>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</si>
  <si>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</si>
  <si>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</si>
  <si>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</si>
  <si>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</si>
  <si>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</si>
  <si>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</si>
  <si>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</si>
  <si>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</si>
  <si>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</si>
  <si>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</si>
  <si>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</si>
  <si>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</si>
  <si>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</si>
  <si>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</si>
  <si>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</si>
  <si>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</si>
  <si>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</si>
  <si>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</si>
  <si>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</si>
  <si>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</si>
  <si>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</si>
  <si>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</si>
  <si>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</si>
  <si>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</si>
  <si>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</si>
  <si>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</si>
  <si>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</si>
  <si>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</si>
  <si>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</si>
  <si>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</si>
  <si>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</si>
  <si>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</si>
  <si>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</si>
  <si>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</si>
  <si>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</si>
  <si>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</si>
  <si>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</si>
  <si>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</si>
  <si>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</si>
  <si>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</si>
  <si>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</si>
  <si>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</si>
  <si>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</si>
  <si>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</si>
  <si>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</si>
  <si>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</si>
  <si>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</si>
  <si>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</si>
  <si>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</si>
  <si>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</si>
  <si>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</si>
  <si>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</si>
  <si>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</si>
  <si>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</si>
  <si>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</si>
  <si>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</si>
  <si>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</si>
  <si>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</si>
  <si>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</si>
  <si>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</si>
  <si>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</si>
  <si>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</si>
  <si>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</si>
  <si>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</si>
  <si>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</si>
  <si>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</si>
  <si>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</si>
  <si>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</si>
  <si>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</si>
  <si>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</si>
  <si>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</si>
  <si>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</si>
  <si>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</si>
  <si>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</si>
  <si>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</si>
  <si>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</si>
  <si>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</si>
  <si>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</si>
  <si>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</si>
  <si>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</si>
  <si>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</si>
  <si>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</si>
  <si>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</si>
  <si>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</si>
  <si>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</si>
  <si>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</si>
  <si>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</si>
  <si>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</si>
  <si>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</si>
  <si>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</si>
  <si>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</si>
  <si>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</si>
  <si>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</si>
  <si>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</si>
  <si>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</si>
  <si>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</si>
  <si>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</si>
  <si>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</si>
  <si>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</si>
  <si>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</si>
  <si>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</si>
  <si>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</si>
  <si>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</si>
  <si>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</si>
  <si>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</si>
  <si>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</si>
  <si>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</si>
  <si>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</si>
  <si>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</si>
  <si>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</si>
  <si>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</si>
  <si>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</si>
  <si>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</si>
  <si>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</si>
  <si>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</si>
  <si>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</si>
  <si>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</si>
  <si>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</si>
  <si>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</si>
  <si>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</si>
  <si>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</si>
  <si>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</si>
  <si>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</si>
  <si>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</si>
  <si>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</si>
  <si>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</si>
  <si>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</si>
  <si>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</si>
  <si>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</si>
  <si>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</si>
  <si>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</si>
  <si>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</si>
  <si>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</si>
  <si>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</si>
  <si>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</si>
  <si>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</si>
  <si>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</si>
  <si>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</si>
  <si>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</si>
  <si>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</si>
  <si>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</si>
  <si>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</si>
  <si>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</si>
  <si>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</si>
  <si>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</si>
  <si>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</si>
  <si>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</si>
  <si>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</si>
  <si>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</si>
  <si>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</si>
  <si>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</si>
  <si>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</si>
  <si>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</si>
  <si>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</si>
  <si>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</si>
  <si>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</si>
  <si>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</si>
  <si>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</si>
  <si>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</si>
  <si>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</si>
  <si>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</si>
  <si>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</si>
  <si>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</si>
  <si>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</si>
  <si>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</si>
  <si>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</si>
  <si>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</si>
  <si>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</si>
  <si>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</si>
  <si>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</si>
  <si>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</si>
  <si>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</si>
  <si>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</si>
  <si>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</si>
  <si>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</si>
  <si>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</si>
  <si>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</si>
  <si>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</si>
  <si>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</si>
  <si>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</si>
  <si>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</si>
  <si>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</si>
  <si>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</si>
  <si>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</si>
  <si>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</si>
  <si>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</si>
  <si>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</si>
  <si>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</si>
  <si>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</si>
  <si>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</si>
  <si>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</si>
  <si>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</si>
  <si>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</si>
  <si>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</si>
  <si>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</si>
  <si>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</si>
  <si>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</si>
  <si>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</si>
  <si>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</si>
  <si>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</si>
  <si>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</si>
  <si>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</si>
  <si>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</si>
  <si>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</si>
  <si>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</si>
  <si>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</si>
  <si>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</si>
  <si>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</si>
  <si>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</si>
  <si>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</si>
  <si>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</si>
  <si>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</si>
  <si>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</si>
  <si>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</si>
  <si>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</si>
  <si>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</si>
  <si>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</si>
  <si>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</si>
  <si>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</si>
  <si>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</si>
  <si>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</si>
  <si>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</si>
  <si>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</si>
  <si>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</si>
  <si>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</si>
  <si>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</si>
  <si>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</si>
  <si>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</si>
  <si>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</si>
  <si>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</si>
  <si>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</si>
  <si>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</si>
  <si>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</si>
  <si>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</si>
  <si>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</si>
  <si>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</si>
  <si>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</si>
  <si>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</si>
  <si>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</si>
  <si>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</si>
  <si>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</si>
  <si>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</si>
  <si>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</si>
  <si>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</si>
  <si>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</si>
  <si>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</si>
  <si>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</si>
  <si>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</si>
  <si>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</si>
  <si>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</si>
  <si>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</si>
  <si>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</si>
  <si>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</si>
  <si>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</si>
  <si>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</si>
  <si>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</si>
  <si>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</si>
  <si>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</si>
  <si>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</si>
  <si>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</si>
  <si>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</si>
  <si>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</si>
  <si>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</si>
  <si>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</si>
  <si>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</si>
  <si>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</si>
  <si>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</si>
  <si>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</si>
  <si>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</si>
  <si>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</si>
  <si>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</si>
  <si>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</si>
  <si>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</si>
  <si>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</si>
  <si>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</si>
  <si>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</si>
  <si>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</si>
  <si>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</si>
  <si>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</si>
  <si>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</si>
  <si>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</si>
  <si>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</si>
  <si>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</si>
  <si>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</si>
  <si>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</si>
  <si>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</si>
  <si>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</si>
  <si>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</si>
  <si>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</si>
  <si>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</si>
  <si>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</si>
  <si>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</si>
  <si>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</si>
  <si>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</si>
  <si>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</si>
  <si>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</si>
  <si>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</si>
  <si>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</si>
  <si>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</si>
  <si>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</si>
  <si>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</si>
  <si>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</si>
  <si>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</si>
  <si>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</si>
  <si>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</si>
  <si>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</si>
  <si>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</si>
  <si>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</si>
  <si>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</si>
  <si>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</si>
  <si>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</si>
  <si>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</si>
  <si>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</si>
  <si>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</si>
  <si>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</si>
  <si>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</si>
  <si>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</si>
  <si>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</si>
  <si>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</si>
  <si>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</si>
  <si>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</si>
  <si>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</si>
  <si>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</si>
  <si>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</si>
  <si>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</si>
  <si>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</si>
  <si>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</si>
  <si>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</si>
  <si>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</si>
  <si>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</si>
  <si>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</si>
  <si>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</si>
  <si>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</si>
  <si>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</si>
  <si>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</si>
  <si>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</si>
  <si>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</si>
  <si>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</si>
  <si>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</si>
  <si>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</si>
  <si>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</si>
  <si>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</si>
  <si>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</si>
  <si>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</si>
  <si>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</si>
  <si>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</si>
  <si>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</si>
  <si>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</si>
  <si>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</si>
  <si>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</si>
  <si>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</si>
  <si>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</si>
  <si>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</si>
  <si>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</si>
  <si>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</si>
  <si>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</si>
  <si>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</si>
  <si>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</si>
  <si>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</si>
  <si>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</si>
  <si>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</si>
  <si>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</si>
  <si>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</si>
  <si>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</si>
  <si>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</si>
  <si>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</si>
  <si>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</si>
  <si>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</si>
  <si>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</si>
  <si>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</si>
  <si>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</si>
  <si>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</si>
  <si>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</si>
  <si>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</si>
  <si>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</si>
  <si>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</si>
  <si>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</si>
  <si>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</si>
  <si>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</si>
  <si>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</si>
  <si>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</si>
  <si>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</si>
  <si>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</si>
  <si>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</si>
  <si>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</si>
  <si>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</si>
  <si>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</si>
  <si>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</si>
  <si>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</si>
  <si>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</si>
  <si>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</si>
  <si>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</si>
  <si>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</si>
  <si>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</si>
  <si>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</si>
  <si>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</si>
  <si>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</si>
  <si>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</si>
  <si>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</si>
  <si>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</si>
  <si>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</si>
  <si>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</si>
  <si>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</si>
  <si>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</si>
  <si>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</si>
  <si>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</si>
  <si>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</si>
  <si>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</si>
  <si>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</si>
  <si>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</si>
  <si>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</si>
  <si>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</si>
  <si>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</si>
  <si>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</si>
  <si>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</si>
  <si>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</si>
  <si>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</si>
  <si>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</si>
  <si>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</si>
  <si>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</si>
  <si>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</si>
  <si>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</si>
  <si>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</si>
  <si>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</si>
  <si>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</si>
  <si>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</si>
  <si>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</si>
  <si>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</si>
  <si>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</si>
  <si>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</si>
  <si>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</si>
  <si>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</si>
  <si>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</si>
  <si>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</si>
  <si>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</si>
  <si>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</si>
  <si>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</si>
  <si>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</si>
  <si>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</si>
  <si>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</si>
  <si>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</si>
  <si>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</si>
  <si>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</si>
  <si>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</si>
  <si>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</si>
  <si>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</si>
  <si>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</si>
  <si>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</si>
  <si>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</si>
  <si>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</si>
  <si>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</si>
  <si>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</si>
  <si>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</si>
  <si>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</si>
  <si>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</si>
  <si>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</si>
  <si>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</si>
  <si>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</si>
  <si>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</si>
  <si>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</si>
  <si>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</si>
  <si>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</si>
  <si>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</si>
  <si>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</si>
  <si>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</si>
  <si>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</si>
  <si>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</si>
  <si>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</si>
  <si>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</si>
  <si>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</si>
  <si>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</si>
  <si>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</si>
  <si>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</si>
  <si>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</si>
  <si>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</si>
  <si>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</si>
  <si>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</si>
  <si>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</si>
  <si>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</si>
  <si>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</si>
  <si>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</si>
  <si>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</si>
  <si>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</si>
  <si>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</si>
  <si>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</si>
  <si>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</si>
  <si>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</si>
  <si>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</si>
  <si>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</si>
  <si>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</si>
  <si>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</si>
  <si>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</si>
  <si>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</si>
  <si>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</si>
  <si>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</si>
  <si>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</si>
  <si>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</si>
  <si>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</si>
  <si>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</si>
  <si>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</si>
  <si>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</si>
  <si>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</si>
  <si>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</si>
  <si>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</si>
  <si>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</si>
  <si>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</si>
  <si>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</si>
  <si>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</si>
  <si>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</si>
  <si>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</si>
  <si>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</si>
  <si>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</si>
  <si>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</si>
  <si>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</si>
  <si>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</si>
  <si>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</si>
  <si>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</si>
  <si>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</si>
  <si>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</si>
  <si>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</si>
  <si>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</si>
  <si>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</si>
  <si>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</si>
  <si>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</si>
  <si>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</si>
  <si>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</si>
  <si>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</si>
  <si>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</si>
  <si>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</si>
  <si>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</si>
  <si>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</si>
  <si>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</si>
  <si>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</si>
  <si>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</si>
  <si>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</si>
  <si>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</si>
  <si>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</si>
  <si>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</si>
  <si>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</si>
  <si>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</si>
  <si>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</si>
  <si>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</si>
  <si>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</si>
  <si>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</si>
  <si>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</si>
  <si>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</si>
  <si>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</si>
  <si>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</si>
  <si>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</si>
  <si>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</si>
  <si>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</si>
  <si>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</si>
  <si>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</si>
  <si>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</si>
  <si>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</si>
  <si>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</si>
  <si>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</si>
  <si>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</si>
  <si>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</si>
  <si>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</si>
  <si>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</si>
  <si>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</si>
  <si>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</si>
  <si>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</si>
  <si>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</si>
  <si>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</si>
  <si>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</si>
  <si>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</si>
  <si>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</si>
  <si>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</si>
  <si>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</si>
  <si>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</si>
  <si>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</si>
  <si>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</si>
  <si>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</si>
  <si>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</si>
  <si>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</si>
  <si>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</si>
  <si>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</si>
  <si>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</si>
  <si>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</si>
  <si>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</si>
  <si>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</si>
  <si>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</si>
  <si>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</si>
  <si>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</si>
  <si>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</si>
  <si>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</si>
  <si>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</si>
  <si>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</si>
  <si>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</si>
  <si>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</si>
  <si>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</si>
  <si>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</si>
  <si>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</si>
  <si>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</si>
  <si>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</si>
  <si>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</si>
  <si>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</si>
  <si>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</si>
  <si>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</si>
  <si>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</si>
  <si>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</si>
  <si>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</si>
  <si>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</si>
  <si>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</si>
  <si>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</si>
  <si>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</si>
  <si>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</si>
  <si>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</si>
  <si>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</si>
  <si>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</si>
  <si>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</si>
  <si>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</si>
  <si>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</si>
  <si>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</si>
  <si>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</si>
  <si>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</si>
  <si>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</si>
  <si>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</si>
  <si>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</si>
  <si>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</si>
  <si>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</si>
  <si>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</si>
  <si>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</si>
  <si>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</si>
  <si>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</si>
  <si>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</si>
  <si>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</si>
  <si>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</si>
  <si>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</si>
  <si>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</si>
  <si>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</si>
  <si>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</si>
  <si>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</si>
  <si>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</si>
  <si>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</si>
  <si>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</si>
  <si>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</si>
  <si>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</si>
  <si>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</si>
  <si>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</si>
  <si>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</si>
  <si>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</si>
  <si>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</si>
  <si>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</si>
  <si>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</si>
  <si>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</si>
  <si>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</si>
  <si>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</si>
  <si>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</si>
  <si>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</si>
  <si>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</si>
  <si>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</si>
  <si>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</si>
  <si>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</si>
  <si>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</si>
  <si>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</si>
  <si>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</si>
  <si>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</si>
  <si>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</si>
  <si>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</si>
  <si>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</si>
  <si>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</si>
  <si>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</si>
  <si>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</si>
  <si>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</si>
  <si>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</si>
  <si>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</si>
  <si>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</si>
  <si>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</si>
  <si>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</si>
  <si>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</si>
  <si>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</si>
  <si>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</si>
  <si>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</si>
  <si>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</si>
  <si>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</si>
  <si>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</si>
  <si>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</si>
  <si>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</si>
  <si>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</si>
  <si>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</si>
  <si>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</si>
  <si>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</si>
  <si>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</si>
  <si>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</si>
  <si>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</si>
  <si>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</si>
  <si>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</si>
  <si>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</si>
  <si>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</si>
  <si>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</si>
  <si>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</si>
  <si>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</si>
  <si>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</si>
  <si>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</si>
  <si>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</si>
  <si>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</si>
  <si>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</si>
  <si>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</si>
  <si>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</si>
  <si>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</si>
  <si>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</si>
  <si>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</si>
  <si>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</si>
  <si>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</si>
  <si>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</si>
  <si>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</si>
  <si>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</si>
  <si>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</si>
  <si>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</si>
  <si>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</si>
  <si>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</si>
  <si>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</si>
  <si>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</si>
  <si>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</si>
  <si>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</si>
  <si>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</si>
  <si>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</si>
  <si>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</si>
  <si>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</si>
  <si>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</si>
  <si>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</si>
  <si>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</si>
  <si>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</si>
  <si>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</si>
  <si>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</si>
  <si>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</si>
  <si>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</si>
  <si>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</si>
  <si>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</si>
  <si>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</si>
  <si>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</si>
  <si>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</si>
  <si>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</si>
  <si>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</si>
  <si>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</si>
  <si>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</si>
  <si>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</si>
  <si>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</si>
  <si>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</si>
  <si>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</si>
  <si>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</si>
  <si>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</si>
  <si>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</si>
  <si>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</si>
  <si>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</si>
  <si>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</si>
  <si>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</si>
  <si>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</si>
  <si>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</si>
  <si>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</si>
  <si>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</si>
  <si>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</si>
  <si>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</si>
  <si>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</si>
  <si>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</si>
  <si>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</si>
  <si>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</si>
  <si>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</si>
  <si>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</si>
  <si>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</si>
  <si>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</si>
  <si>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</si>
  <si>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</si>
  <si>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</si>
  <si>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</si>
  <si>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</si>
  <si>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</si>
  <si>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</si>
  <si>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</si>
  <si>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</si>
  <si>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</si>
  <si>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</si>
  <si>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</si>
  <si>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</si>
  <si>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</si>
  <si>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</si>
  <si>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</si>
  <si>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</si>
  <si>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</si>
  <si>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</si>
  <si>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</si>
  <si>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</si>
  <si>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</si>
  <si>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</si>
  <si>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</si>
  <si>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</si>
  <si>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</si>
  <si>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</si>
  <si>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</si>
  <si>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</si>
  <si>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</si>
  <si>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</si>
  <si>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</si>
  <si>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</si>
  <si>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</si>
  <si>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</si>
  <si>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</si>
  <si>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</si>
  <si>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</si>
  <si>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</si>
  <si>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</si>
  <si>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</si>
  <si>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</si>
  <si>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</si>
  <si>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</si>
  <si>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</si>
  <si>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</si>
  <si>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</si>
  <si>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</si>
  <si>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</si>
  <si>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</si>
  <si>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</si>
  <si>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</si>
  <si>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</si>
  <si>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</si>
  <si>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</si>
  <si>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</si>
  <si>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</si>
  <si>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</si>
  <si>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</si>
  <si>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</si>
  <si>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</si>
  <si>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</si>
  <si>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</si>
  <si>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</si>
  <si>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</si>
  <si>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</si>
  <si>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</si>
  <si>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</si>
  <si>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</si>
  <si>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</si>
  <si>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</si>
  <si>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</si>
  <si>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</si>
  <si>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</si>
  <si>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</si>
  <si>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</si>
  <si>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</si>
  <si>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</si>
  <si>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</si>
  <si>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</si>
  <si>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</si>
  <si>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</si>
  <si>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</si>
  <si>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</si>
  <si>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</si>
  <si>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</si>
  <si>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</si>
  <si>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</si>
  <si>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</si>
  <si>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</si>
  <si>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</si>
  <si>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</si>
  <si>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</si>
  <si>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</si>
  <si>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</si>
  <si>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</si>
  <si>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</si>
  <si>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</si>
  <si>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</si>
  <si>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</si>
  <si>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</si>
  <si>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</si>
  <si>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</si>
  <si>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</si>
  <si>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</si>
  <si>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</si>
  <si>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</si>
  <si>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</si>
  <si>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</si>
  <si>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</si>
  <si>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</si>
  <si>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</si>
  <si>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</si>
  <si>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</si>
  <si>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</si>
  <si>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</si>
  <si>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</si>
  <si>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</si>
  <si>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</si>
  <si>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</si>
  <si>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</si>
  <si>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</si>
  <si>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</si>
  <si>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</si>
  <si>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</si>
  <si>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</si>
  <si>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</si>
  <si>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</si>
  <si>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</si>
  <si>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</si>
  <si>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</si>
  <si>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</si>
  <si>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</si>
  <si>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</si>
  <si>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</si>
  <si>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</si>
  <si>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</si>
  <si>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</si>
  <si>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</si>
  <si>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</si>
  <si>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</si>
  <si>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</si>
  <si>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</si>
  <si>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</si>
  <si>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</si>
  <si>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</si>
  <si>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</si>
  <si>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</si>
  <si>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</si>
  <si>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</si>
  <si>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</si>
  <si>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</si>
  <si>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</si>
  <si>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</si>
  <si>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</si>
  <si>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</si>
  <si>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</si>
  <si>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</si>
  <si>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</si>
  <si>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</si>
  <si>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</si>
  <si>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</si>
  <si>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</si>
  <si>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</si>
  <si>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</si>
  <si>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</si>
  <si>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</si>
  <si>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</si>
  <si>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</si>
  <si>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</si>
  <si>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</si>
  <si>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</si>
  <si>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</si>
  <si>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</si>
  <si>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</si>
  <si>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</si>
  <si>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</si>
  <si>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</si>
  <si>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</si>
  <si>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</si>
  <si>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</si>
  <si>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</si>
  <si>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</si>
  <si>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</si>
  <si>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</si>
  <si>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</si>
  <si>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</si>
  <si>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</si>
  <si>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</si>
  <si>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</si>
  <si>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</si>
  <si>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</si>
  <si>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</si>
  <si>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</si>
  <si>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</si>
  <si>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</si>
  <si>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</si>
  <si>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</si>
  <si>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</si>
  <si>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</si>
  <si>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</si>
  <si>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</si>
  <si>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</si>
  <si>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</si>
  <si>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</si>
  <si>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</si>
  <si>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</si>
  <si>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</si>
  <si>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</si>
  <si>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</si>
  <si>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</si>
  <si>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</si>
  <si>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</si>
  <si>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</si>
  <si>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</si>
  <si>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</si>
  <si>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</si>
  <si>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</si>
  <si>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</si>
  <si>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</si>
  <si>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</si>
  <si>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</si>
  <si>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</si>
  <si>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</si>
  <si>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</si>
  <si>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</si>
  <si>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</si>
  <si>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</si>
  <si>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</si>
  <si>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</si>
  <si>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</si>
  <si>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</si>
  <si>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</si>
  <si>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</si>
  <si>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</si>
  <si>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</si>
  <si>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</si>
  <si>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</si>
  <si>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</si>
  <si>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</si>
  <si>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</si>
  <si>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</si>
  <si>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</si>
  <si>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</si>
  <si>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</si>
  <si>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</si>
  <si>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</si>
  <si>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</si>
  <si>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</si>
  <si>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</si>
  <si>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</si>
  <si>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</si>
  <si>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</si>
  <si>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</si>
  <si>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</si>
  <si>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</si>
  <si>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</si>
  <si>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</si>
  <si>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</si>
  <si>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</si>
  <si>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</si>
  <si>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</si>
  <si>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</si>
  <si>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</si>
  <si>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</si>
  <si>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</si>
  <si>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</si>
  <si>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</si>
  <si>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</si>
  <si>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</si>
  <si>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</si>
  <si>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</si>
  <si>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</si>
  <si>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</si>
  <si>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</si>
  <si>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</si>
  <si>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</si>
  <si>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</si>
  <si>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</si>
  <si>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</si>
  <si>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</si>
  <si>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</si>
  <si>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</si>
  <si>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</si>
  <si>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</si>
  <si>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</si>
  <si>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</si>
  <si>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</si>
  <si>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</si>
  <si>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</si>
  <si>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</si>
  <si>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</si>
  <si>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</si>
  <si>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</si>
  <si>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</si>
  <si>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</si>
  <si>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</si>
  <si>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</si>
  <si>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</si>
  <si>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</si>
  <si>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</si>
  <si>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</si>
  <si>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</si>
  <si>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</si>
  <si>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</si>
  <si>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</si>
  <si>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</si>
  <si>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</si>
  <si>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</si>
  <si>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</si>
  <si>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</si>
  <si>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</si>
  <si>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</si>
  <si>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</si>
  <si>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</si>
  <si>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</si>
  <si>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</si>
  <si>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</si>
  <si>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</si>
  <si>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</si>
  <si>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</si>
  <si>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</si>
  <si>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</si>
  <si>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</si>
  <si>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</si>
  <si>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</si>
  <si>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</si>
  <si>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</si>
  <si>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</si>
  <si>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</si>
  <si>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</si>
  <si>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</si>
  <si>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</si>
  <si>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</si>
  <si>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</si>
  <si>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</si>
  <si>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</si>
  <si>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</si>
  <si>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</si>
  <si>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</si>
  <si>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</si>
  <si>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</si>
  <si>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</si>
  <si>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</si>
  <si>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</si>
  <si>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</si>
  <si>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</si>
  <si>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</si>
  <si>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</si>
  <si>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</si>
  <si>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</si>
  <si>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</si>
  <si>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</si>
  <si>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</si>
  <si>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</si>
  <si>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</si>
  <si>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</si>
  <si>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</si>
  <si>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</si>
  <si>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</si>
  <si>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</si>
  <si>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</si>
  <si>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</si>
  <si>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</si>
  <si>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</si>
  <si>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</si>
  <si>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</si>
  <si>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</si>
  <si>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</si>
  <si>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</si>
  <si>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</si>
  <si>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</si>
  <si>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</si>
  <si>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</si>
  <si>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</si>
  <si>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</si>
  <si>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</si>
  <si>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</si>
  <si>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</si>
  <si>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</si>
  <si>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</si>
  <si>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</si>
  <si>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</si>
  <si>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</si>
  <si>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</si>
  <si>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</si>
  <si>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</si>
  <si>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</si>
  <si>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</si>
  <si>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</si>
  <si>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</si>
  <si>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</si>
  <si>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</si>
  <si>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</si>
  <si>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</si>
  <si>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</si>
  <si>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</si>
  <si>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</si>
  <si>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</si>
  <si>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</si>
  <si>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</si>
  <si>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</si>
  <si>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</si>
  <si>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</si>
  <si>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</si>
  <si>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</si>
  <si>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</si>
  <si>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</si>
  <si>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</si>
  <si>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</si>
  <si>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</si>
  <si>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</si>
  <si>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</si>
  <si>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</si>
  <si>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</si>
  <si>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</si>
  <si>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</si>
  <si>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</si>
  <si>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</si>
  <si>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</si>
  <si>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</si>
  <si>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</si>
  <si>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</si>
  <si>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</si>
  <si>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</si>
  <si>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</si>
  <si>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</si>
  <si>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</si>
  <si>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</si>
  <si>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</si>
  <si>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</si>
  <si>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</si>
  <si>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</si>
  <si>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</si>
  <si>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</si>
  <si>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</si>
  <si>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</si>
  <si>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</si>
  <si>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</si>
  <si>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</si>
  <si>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</si>
  <si>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</si>
  <si>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</si>
  <si>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</si>
  <si>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</si>
  <si>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</si>
  <si>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</si>
  <si>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</si>
  <si>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</si>
  <si>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</si>
  <si>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</si>
  <si>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</si>
  <si>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</si>
  <si>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</si>
  <si>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</si>
  <si>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</si>
  <si>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</si>
  <si>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</si>
  <si>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</si>
  <si>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</si>
  <si>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</si>
  <si>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</si>
  <si>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</si>
  <si>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</si>
  <si>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</si>
  <si>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</si>
  <si>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</si>
  <si>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</si>
  <si>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</si>
  <si>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</si>
  <si>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</si>
  <si>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</si>
  <si>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</si>
  <si>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</si>
  <si>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</si>
  <si>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</si>
  <si>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</si>
  <si>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</si>
  <si>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</si>
  <si>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</si>
  <si>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</si>
  <si>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</si>
  <si>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</si>
  <si>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</si>
  <si>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</si>
  <si>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</si>
  <si>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</si>
  <si>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</si>
  <si>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</si>
  <si>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</si>
  <si>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</si>
  <si>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</si>
  <si>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</si>
  <si>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</si>
  <si>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</si>
  <si>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</si>
  <si>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</si>
  <si>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</si>
  <si>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</si>
  <si>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</si>
  <si>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</si>
  <si>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</si>
  <si>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</si>
  <si>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</si>
  <si>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</si>
  <si>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</si>
  <si>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</si>
  <si>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</si>
  <si>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</si>
  <si>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</si>
  <si>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</si>
  <si>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</si>
  <si>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</si>
  <si>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</si>
  <si>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</si>
  <si>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</si>
  <si>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</si>
  <si>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</si>
  <si>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</si>
  <si>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</si>
  <si>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</si>
  <si>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</si>
  <si>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</si>
  <si>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</si>
  <si>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</si>
  <si>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</si>
  <si>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</si>
  <si>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</si>
  <si>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</si>
  <si>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</si>
  <si>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</si>
  <si>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</si>
  <si>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</si>
  <si>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</si>
  <si>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</si>
  <si>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</si>
  <si>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</si>
  <si>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</si>
  <si>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</si>
  <si>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</si>
  <si>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</si>
  <si>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</si>
  <si>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</si>
  <si>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</si>
  <si>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</si>
  <si>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</si>
  <si>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</si>
  <si>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</si>
  <si>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</si>
  <si>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</si>
  <si>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</si>
  <si>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</si>
  <si>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</si>
  <si>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</si>
  <si>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</si>
  <si>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</si>
  <si>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</si>
  <si>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</si>
  <si>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</si>
  <si>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</si>
  <si>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</si>
  <si>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</si>
  <si>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</si>
  <si>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</si>
  <si>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</si>
  <si>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</si>
  <si>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</si>
  <si>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</si>
  <si>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</si>
  <si>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</si>
  <si>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</si>
  <si>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</si>
  <si>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</si>
  <si>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</si>
  <si>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</si>
  <si>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</si>
  <si>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</si>
  <si>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</si>
  <si>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</si>
  <si>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</si>
  <si>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</si>
  <si>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</si>
  <si>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</si>
  <si>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</si>
  <si>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</si>
  <si>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</si>
  <si>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</si>
  <si>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</si>
  <si>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</si>
  <si>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</si>
  <si>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</si>
  <si>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</si>
  <si>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</si>
  <si>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</si>
  <si>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</si>
  <si>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</si>
  <si>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</si>
  <si>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</si>
  <si>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</si>
  <si>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</si>
  <si>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</si>
  <si>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</si>
  <si>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</si>
  <si>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</si>
  <si>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</si>
  <si>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</si>
  <si>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</si>
  <si>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</si>
  <si>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</si>
  <si>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</si>
  <si>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</si>
  <si>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</si>
  <si>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</si>
  <si>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</si>
  <si>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</si>
  <si>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</si>
  <si>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</si>
  <si>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</si>
  <si>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</si>
  <si>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</si>
  <si>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</si>
  <si>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</si>
  <si>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</si>
  <si>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</si>
  <si>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</si>
  <si>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</si>
  <si>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</si>
  <si>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</si>
  <si>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</si>
  <si>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</si>
  <si>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</si>
  <si>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</si>
  <si>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</si>
  <si>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</si>
  <si>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</si>
  <si>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</si>
  <si>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</si>
  <si>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</si>
  <si>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</si>
  <si>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</si>
  <si>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</si>
  <si>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</si>
  <si>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</si>
  <si>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</si>
  <si>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</si>
  <si>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</si>
  <si>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</si>
  <si>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</si>
  <si>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</si>
  <si>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</si>
  <si>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</si>
  <si>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</si>
  <si>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</si>
  <si>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</si>
  <si>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</si>
  <si>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</si>
  <si>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</si>
  <si>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</si>
  <si>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</si>
  <si>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</si>
  <si>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</si>
  <si>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</si>
  <si>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</si>
  <si>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</si>
  <si>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</si>
  <si>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</si>
  <si>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</si>
  <si>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</si>
  <si>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</si>
  <si>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</si>
  <si>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</si>
  <si>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</si>
  <si>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</si>
  <si>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</si>
  <si>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</si>
  <si>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</si>
  <si>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</si>
  <si>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</si>
  <si>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</si>
  <si>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</si>
  <si>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</si>
  <si>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</si>
  <si>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</si>
  <si>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</si>
  <si>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</si>
  <si>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</si>
  <si>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</si>
  <si>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</si>
  <si>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</si>
  <si>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</si>
  <si>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</si>
  <si>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</si>
  <si>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</si>
  <si>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</si>
  <si>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</si>
  <si>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</si>
  <si>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</si>
  <si>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</si>
  <si>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</si>
  <si>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</si>
  <si>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</si>
  <si>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</si>
  <si>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</si>
  <si>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</si>
  <si>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</si>
  <si>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</si>
  <si>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</si>
  <si>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</si>
  <si>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</si>
  <si>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</si>
  <si>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</si>
  <si>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</si>
  <si>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</si>
  <si>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</si>
  <si>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</si>
  <si>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</si>
  <si>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</si>
  <si>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</si>
  <si>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</si>
  <si>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</si>
  <si>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</si>
  <si>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</si>
  <si>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</si>
  <si>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</si>
  <si>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</si>
  <si>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</si>
  <si>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</si>
  <si>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</si>
  <si>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</si>
  <si>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</si>
  <si>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</si>
  <si>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</si>
  <si>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</si>
  <si>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</si>
  <si>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</si>
  <si>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</si>
  <si>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</si>
  <si>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</si>
  <si>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</si>
  <si>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</si>
  <si>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</si>
  <si>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</si>
  <si>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</si>
  <si>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</si>
  <si>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</si>
  <si>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</si>
  <si>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</si>
  <si>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</si>
  <si>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</si>
  <si>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</si>
  <si>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</si>
  <si>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</si>
  <si>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</si>
  <si>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</si>
  <si>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</si>
  <si>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</si>
  <si>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</si>
  <si>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</si>
  <si>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</si>
  <si>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</si>
  <si>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</si>
  <si>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</si>
  <si>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</si>
  <si>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</si>
  <si>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</si>
  <si>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</si>
  <si>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</si>
  <si>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</si>
  <si>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</si>
  <si>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</si>
  <si>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</si>
  <si>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</si>
  <si>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</si>
  <si>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</si>
  <si>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</si>
  <si>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</si>
  <si>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</si>
  <si>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</si>
  <si>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</si>
  <si>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</si>
  <si>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</si>
  <si>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</si>
  <si>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</si>
  <si>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</si>
  <si>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</si>
  <si>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</si>
  <si>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</si>
  <si>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</si>
  <si>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</si>
  <si>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</si>
  <si>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</si>
  <si>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</si>
  <si>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</si>
  <si>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</si>
  <si>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</si>
  <si>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</si>
  <si>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</si>
  <si>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</si>
  <si>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</si>
  <si>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</si>
  <si>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</si>
  <si>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</si>
  <si>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</si>
  <si>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</si>
  <si>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</si>
  <si>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</si>
  <si>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</si>
  <si>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</si>
  <si>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</si>
  <si>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</si>
  <si>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</si>
  <si>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</si>
  <si>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</si>
  <si>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</si>
  <si>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</si>
  <si>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</si>
  <si>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</si>
  <si>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</si>
  <si>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</si>
  <si>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</si>
  <si>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</si>
  <si>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</si>
  <si>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</si>
  <si>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</si>
  <si>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</si>
  <si>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</si>
  <si>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</si>
  <si>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</si>
  <si>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</si>
  <si>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</si>
  <si>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</si>
  <si>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</si>
  <si>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</si>
  <si>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</si>
  <si>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</si>
  <si>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</si>
  <si>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</si>
  <si>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</si>
  <si>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</si>
  <si>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</si>
  <si>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</si>
  <si>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</si>
  <si>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</si>
  <si>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</si>
  <si>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</si>
  <si>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</si>
  <si>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</si>
  <si>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</si>
  <si>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</si>
  <si>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</si>
  <si>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</si>
  <si>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</si>
  <si>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</si>
  <si>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</si>
  <si>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</si>
  <si>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</si>
  <si>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</si>
  <si>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</si>
  <si>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</si>
  <si>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</si>
  <si>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</si>
  <si>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</si>
  <si>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</si>
  <si>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</si>
  <si>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</si>
  <si>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</si>
  <si>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</si>
  <si>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</si>
  <si>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</si>
  <si>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</si>
  <si>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</si>
  <si>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</si>
  <si>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</si>
  <si>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</si>
  <si>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</si>
  <si>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</si>
  <si>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</si>
  <si>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</si>
  <si>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</si>
  <si>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</si>
  <si>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</si>
  <si>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</si>
  <si>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</si>
  <si>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</si>
  <si>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</si>
  <si>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</si>
  <si>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</si>
  <si>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</si>
  <si>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</si>
  <si>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</si>
  <si>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</si>
  <si>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</si>
  <si>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</si>
  <si>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</si>
  <si>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</si>
  <si>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</si>
  <si>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</si>
  <si>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</si>
  <si>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</si>
  <si>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</si>
  <si>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</si>
  <si>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</si>
  <si>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</si>
  <si>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</si>
  <si>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</si>
  <si>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</si>
  <si>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</si>
  <si>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</si>
  <si>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</si>
  <si>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</si>
  <si>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</si>
  <si>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</si>
  <si>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</si>
  <si>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</si>
  <si>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</si>
  <si>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</si>
  <si>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</si>
  <si>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</si>
  <si>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</si>
  <si>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</si>
  <si>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</si>
  <si>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</si>
  <si>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</si>
  <si>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</si>
  <si>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</si>
  <si>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</si>
  <si>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</si>
  <si>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</si>
  <si>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</si>
  <si>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</si>
  <si>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</si>
  <si>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</si>
  <si>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</si>
  <si>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</si>
  <si>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</si>
  <si>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</si>
  <si>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</si>
  <si>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</si>
  <si>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</si>
  <si>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</si>
  <si>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</si>
  <si>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</si>
  <si>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</si>
  <si>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</si>
  <si>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</si>
  <si>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</si>
  <si>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</si>
  <si>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</si>
  <si>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</si>
  <si>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</si>
  <si>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</si>
  <si>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</si>
  <si>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</si>
  <si>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</si>
  <si>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</si>
  <si>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</si>
  <si>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</si>
  <si>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</si>
  <si>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</si>
  <si>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</si>
  <si>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</si>
  <si>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</si>
  <si>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</si>
  <si>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</si>
  <si>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</si>
  <si>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</si>
  <si>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</si>
  <si>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</si>
  <si>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</si>
  <si>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</si>
  <si>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</si>
  <si>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</si>
  <si>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</si>
  <si>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</si>
  <si>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</si>
  <si>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</si>
  <si>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</si>
  <si>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</si>
  <si>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</si>
  <si>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</si>
  <si>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</si>
  <si>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</si>
  <si>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</si>
  <si>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</si>
  <si>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</si>
  <si>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</si>
  <si>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</si>
  <si>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</si>
  <si>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</si>
  <si>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</si>
  <si>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</si>
  <si>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</si>
  <si>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</si>
  <si>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</si>
  <si>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</si>
  <si>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</si>
  <si>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</si>
  <si>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</si>
  <si>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</si>
  <si>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</si>
  <si>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</si>
  <si>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</si>
  <si>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</si>
  <si>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</si>
  <si>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</si>
  <si>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</si>
  <si>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</si>
  <si>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</si>
  <si>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</si>
  <si>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</si>
  <si>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</si>
  <si>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</si>
  <si>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</si>
  <si>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</si>
  <si>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</si>
  <si>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</si>
  <si>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</si>
  <si>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</si>
  <si>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</si>
  <si>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</si>
  <si>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</si>
  <si>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</si>
  <si>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</si>
  <si>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</si>
  <si>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</si>
  <si>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</si>
  <si>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</si>
  <si>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</si>
  <si>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</si>
  <si>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</si>
  <si>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</si>
  <si>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</si>
  <si>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</si>
  <si>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</si>
  <si>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</si>
  <si>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</si>
  <si>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</si>
  <si>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</si>
  <si>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</si>
  <si>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</si>
  <si>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</si>
  <si>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</si>
  <si>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</si>
  <si>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</si>
  <si>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</si>
  <si>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</si>
  <si>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</si>
  <si>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</si>
  <si>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</si>
  <si>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</si>
  <si>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</si>
  <si>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</si>
  <si>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</si>
  <si>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</si>
  <si>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</si>
  <si>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</si>
  <si>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</si>
  <si>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</si>
  <si>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</si>
  <si>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</si>
  <si>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</si>
  <si>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</si>
  <si>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</si>
  <si>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</si>
  <si>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</si>
  <si>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</si>
  <si>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</si>
  <si>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</si>
  <si>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</si>
  <si>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</si>
  <si>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</si>
  <si>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</si>
  <si>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</si>
  <si>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</si>
  <si>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</si>
  <si>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</si>
  <si>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</si>
  <si>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</si>
  <si>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</si>
  <si>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</si>
  <si>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</si>
  <si>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</si>
  <si>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</si>
  <si>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</si>
  <si>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</si>
  <si>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</si>
  <si>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</si>
  <si>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</si>
  <si>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</si>
  <si>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</si>
  <si>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</si>
  <si>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</si>
  <si>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</si>
  <si>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</si>
  <si>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</si>
  <si>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</si>
  <si>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</si>
  <si>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</si>
  <si>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</si>
  <si>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</si>
  <si>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</si>
  <si>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</si>
  <si>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</si>
  <si>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</si>
  <si>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</si>
  <si>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</si>
  <si>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</si>
  <si>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</si>
  <si>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</si>
  <si>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</si>
  <si>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</si>
  <si>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</si>
  <si>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</si>
  <si>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</si>
  <si>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</si>
  <si>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</si>
  <si>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</si>
  <si>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</si>
  <si>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</si>
  <si>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</si>
  <si>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</si>
  <si>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</si>
  <si>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</si>
  <si>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</si>
  <si>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</si>
  <si>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</si>
  <si>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</si>
  <si>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</si>
  <si>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</si>
  <si>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</si>
  <si>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</si>
  <si>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</si>
  <si>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</si>
  <si>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</si>
  <si>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</si>
  <si>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</si>
  <si>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</si>
  <si>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</si>
  <si>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</si>
  <si>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</si>
  <si>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</si>
  <si>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</si>
  <si>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</si>
  <si>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</si>
  <si>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</si>
  <si>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</si>
  <si>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</si>
  <si>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</si>
  <si>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</si>
  <si>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</si>
  <si>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</si>
  <si>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</si>
  <si>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</si>
  <si>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</si>
  <si>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</si>
  <si>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</si>
  <si>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</si>
  <si>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</si>
  <si>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</si>
  <si>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</si>
  <si>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</si>
  <si>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</si>
  <si>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</si>
  <si>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</si>
  <si>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</si>
  <si>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</si>
  <si>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</si>
  <si>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</si>
  <si>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</si>
  <si>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</si>
  <si>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</si>
  <si>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</si>
  <si>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</si>
  <si>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</si>
  <si>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</si>
  <si>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</si>
  <si>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</si>
  <si>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</si>
  <si>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</si>
  <si>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</si>
  <si>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</si>
  <si>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</si>
  <si>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</si>
  <si>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</si>
  <si>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</si>
  <si>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</si>
  <si>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</si>
  <si>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</si>
  <si>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</si>
  <si>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</si>
  <si>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</si>
  <si>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</si>
  <si>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</si>
  <si>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</si>
  <si>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</si>
  <si>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</si>
  <si>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</si>
  <si>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</si>
  <si>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</si>
  <si>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</si>
  <si>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</si>
  <si>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</si>
  <si>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</si>
  <si>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</si>
  <si>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</si>
  <si>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</si>
  <si>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</si>
  <si>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</si>
  <si>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</si>
  <si>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</si>
  <si>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</si>
  <si>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</si>
  <si>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</si>
  <si>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</si>
  <si>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</si>
  <si>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</si>
  <si>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</si>
  <si>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</si>
  <si>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</si>
  <si>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</si>
  <si>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</si>
  <si>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</si>
  <si>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</si>
  <si>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</si>
  <si>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</si>
  <si>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</si>
  <si>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</si>
  <si>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</si>
  <si>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</si>
  <si>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</si>
  <si>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</si>
  <si>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</si>
  <si>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</si>
  <si>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</si>
  <si>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</si>
  <si>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</si>
  <si>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</si>
  <si>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</si>
  <si>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</si>
  <si>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</si>
  <si>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</si>
  <si>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</si>
  <si>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</si>
  <si>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</si>
  <si>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</si>
  <si>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</si>
  <si>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</si>
  <si>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</si>
  <si>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</si>
  <si>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</si>
  <si>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</si>
  <si>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</si>
  <si>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</si>
  <si>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</si>
  <si>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</si>
  <si>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</si>
  <si>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</si>
  <si>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</si>
  <si>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</si>
  <si>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</si>
  <si>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</si>
  <si>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</si>
  <si>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</si>
  <si>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</si>
  <si>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</si>
  <si>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</si>
  <si>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</si>
  <si>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</si>
  <si>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</si>
  <si>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</si>
  <si>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</si>
  <si>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</si>
  <si>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</si>
  <si>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</si>
  <si>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</si>
  <si>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</si>
  <si>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</si>
  <si>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</si>
  <si>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</si>
  <si>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</si>
  <si>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</si>
  <si>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</si>
  <si>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</si>
  <si>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</si>
  <si>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</si>
  <si>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</si>
  <si>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</si>
  <si>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</si>
  <si>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</si>
  <si>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</si>
  <si>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</si>
  <si>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</si>
  <si>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</si>
  <si>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</si>
  <si>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</si>
  <si>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</si>
  <si>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</si>
  <si>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</si>
  <si>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</si>
  <si>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</si>
  <si>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</si>
  <si>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</si>
  <si>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</si>
  <si>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</si>
  <si>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</si>
  <si>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</si>
  <si>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</si>
  <si>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</si>
  <si>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</si>
  <si>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</si>
  <si>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</si>
  <si>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</si>
  <si>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</si>
  <si>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</si>
  <si>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</si>
  <si>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</si>
  <si>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</si>
  <si>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</si>
  <si>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</si>
  <si>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</si>
  <si>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</si>
  <si>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</si>
  <si>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</si>
  <si>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</si>
  <si>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</si>
  <si>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</si>
  <si>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</si>
  <si>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</si>
  <si>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</si>
  <si>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</si>
  <si>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</si>
  <si>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</si>
  <si>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</si>
  <si>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</si>
  <si>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</si>
  <si>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</si>
  <si>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</si>
  <si>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</si>
  <si>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</si>
  <si>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</si>
  <si>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</si>
  <si>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</si>
  <si>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</si>
  <si>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</si>
  <si>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</si>
  <si>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</si>
  <si>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</si>
  <si>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</si>
  <si>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</si>
  <si>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</si>
  <si>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</si>
  <si>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</si>
  <si>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</si>
  <si>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</si>
  <si>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</si>
  <si>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</si>
  <si>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</si>
  <si>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</si>
  <si>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</si>
  <si>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</si>
  <si>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</si>
  <si>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</si>
  <si>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</si>
  <si>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</si>
  <si>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</si>
  <si>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</si>
  <si>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</si>
  <si>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</si>
  <si>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</si>
  <si>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</si>
  <si>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</si>
  <si>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</si>
  <si>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</si>
  <si>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</si>
  <si>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</si>
  <si>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</si>
  <si>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</si>
  <si>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</si>
  <si>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</si>
  <si>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</si>
  <si>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</si>
  <si>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</si>
  <si>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</si>
  <si>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</si>
  <si>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</si>
  <si>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</si>
  <si>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</si>
  <si>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</si>
  <si>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</si>
  <si>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</si>
  <si>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</si>
  <si>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</si>
  <si>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</si>
  <si>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</si>
  <si>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</si>
  <si>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</si>
  <si>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</si>
  <si>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</si>
  <si>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</si>
  <si>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</si>
  <si>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</si>
  <si>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</si>
  <si>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</si>
  <si>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</si>
  <si>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</si>
  <si>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</si>
  <si>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</si>
  <si>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</si>
  <si>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</si>
  <si>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</si>
  <si>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</si>
  <si>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</si>
  <si>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</si>
  <si>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</si>
  <si>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</si>
  <si>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</si>
  <si>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</si>
  <si>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</si>
  <si>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</si>
  <si>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</si>
  <si>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</si>
  <si>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</si>
  <si>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</si>
  <si>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</si>
  <si>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</si>
  <si>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</si>
  <si>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</si>
  <si>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</si>
  <si>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</si>
  <si>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</si>
  <si>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</si>
  <si>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</si>
  <si>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</si>
  <si>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</si>
  <si>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</si>
  <si>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</si>
  <si>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</si>
  <si>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</si>
  <si>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</si>
  <si>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</si>
  <si>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</si>
  <si>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</si>
  <si>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</si>
  <si>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</si>
  <si>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</si>
  <si>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</si>
  <si>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</si>
  <si>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</si>
  <si>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</si>
  <si>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</si>
  <si>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</si>
  <si>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</si>
  <si>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</si>
  <si>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</si>
  <si>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</si>
  <si>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</si>
  <si>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</si>
  <si>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</si>
  <si>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</si>
  <si>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</si>
  <si>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</si>
  <si>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</si>
  <si>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</si>
  <si>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</si>
  <si>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</si>
  <si>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</si>
  <si>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</si>
  <si>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</si>
  <si>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</si>
  <si>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</si>
  <si>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</si>
  <si>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</si>
  <si>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</si>
  <si>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</si>
  <si>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</si>
  <si>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</si>
  <si>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</si>
  <si>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</si>
  <si>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</si>
  <si>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</si>
  <si>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</si>
  <si>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</si>
  <si>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</si>
  <si>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</si>
  <si>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</si>
  <si>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</si>
  <si>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</si>
  <si>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</si>
  <si>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</si>
  <si>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</si>
  <si>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</si>
  <si>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</si>
  <si>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</si>
  <si>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</si>
  <si>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</si>
  <si>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</si>
  <si>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</si>
  <si>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</si>
  <si>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</si>
  <si>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</si>
  <si>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</si>
  <si>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</si>
  <si>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</si>
  <si>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</si>
  <si>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</si>
  <si>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</si>
  <si>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</si>
  <si>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</si>
  <si>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</si>
  <si>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</si>
  <si>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</si>
  <si>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</si>
  <si>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</si>
  <si>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</si>
  <si>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</si>
  <si>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</si>
  <si>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</si>
  <si>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</si>
  <si>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</si>
  <si>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</si>
  <si>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</si>
  <si>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</si>
  <si>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</si>
  <si>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</si>
  <si>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</si>
  <si>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</si>
  <si>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</si>
  <si>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</si>
  <si>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</si>
  <si>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</si>
  <si>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</si>
  <si>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</si>
  <si>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</si>
  <si>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</si>
  <si>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</si>
  <si>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</si>
  <si>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</si>
  <si>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</si>
  <si>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</si>
  <si>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</si>
  <si>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</si>
  <si>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</si>
  <si>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</si>
  <si>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</si>
  <si>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</si>
  <si>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</si>
  <si>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</si>
  <si>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</si>
  <si>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</si>
  <si>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</si>
  <si>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</si>
  <si>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</si>
  <si>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</si>
  <si>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</si>
  <si>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</si>
  <si>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</si>
  <si>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</si>
  <si>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</si>
  <si>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</si>
  <si>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</si>
  <si>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</si>
  <si>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</si>
  <si>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</si>
  <si>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</si>
  <si>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</si>
  <si>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</si>
  <si>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</si>
  <si>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</si>
  <si>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</si>
  <si>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</si>
  <si>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</si>
  <si>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</si>
  <si>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</si>
  <si>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</si>
  <si>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</si>
  <si>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</si>
  <si>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</si>
  <si>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</si>
  <si>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</si>
  <si>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</si>
  <si>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</si>
  <si>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</si>
  <si>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</si>
  <si>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</si>
  <si>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</si>
  <si>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</si>
  <si>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</si>
  <si>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</si>
  <si>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</si>
  <si>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</si>
  <si>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</si>
  <si>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</si>
  <si>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</si>
  <si>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</si>
  <si>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</si>
  <si>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</si>
  <si>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</si>
  <si>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</si>
  <si>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</si>
  <si>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</si>
  <si>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</si>
  <si>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</si>
  <si>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</si>
  <si>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</si>
  <si>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</si>
  <si>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</si>
  <si>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</si>
  <si>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</si>
  <si>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</si>
  <si>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</si>
  <si>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</si>
  <si>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</si>
  <si>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</si>
  <si>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</si>
  <si>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</si>
  <si>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</si>
  <si>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</si>
  <si>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</si>
  <si>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</si>
  <si>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</si>
  <si>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</si>
  <si>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</si>
  <si>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</si>
  <si>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</si>
  <si>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</si>
  <si>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</si>
  <si>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</si>
  <si>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</si>
  <si>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</si>
  <si>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</si>
  <si>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</si>
  <si>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</si>
  <si>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</si>
  <si>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</si>
  <si>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</si>
  <si>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</si>
  <si>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</si>
  <si>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</si>
  <si>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</si>
  <si>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</si>
  <si>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</si>
  <si>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</si>
  <si>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</si>
  <si>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</si>
  <si>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</si>
  <si>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</si>
  <si>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</si>
  <si>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</si>
  <si>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</si>
  <si>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</si>
  <si>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</si>
  <si>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</si>
  <si>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</si>
  <si>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</si>
  <si>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</si>
  <si>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</si>
  <si>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</si>
  <si>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</si>
  <si>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</si>
  <si>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</si>
  <si>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</si>
  <si>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</si>
  <si>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</si>
  <si>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</si>
  <si>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</si>
  <si>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</si>
  <si>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</si>
  <si>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</si>
  <si>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</si>
  <si>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</si>
  <si>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</si>
  <si>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</si>
  <si>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</si>
  <si>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</si>
  <si>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</si>
  <si>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</si>
  <si>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</si>
  <si>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</si>
  <si>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</si>
  <si>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</si>
  <si>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</si>
  <si>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</si>
  <si>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</si>
  <si>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</si>
  <si>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</si>
  <si>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</si>
  <si>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</si>
  <si>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</si>
  <si>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</si>
  <si>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</si>
  <si>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</si>
  <si>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</si>
  <si>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</si>
  <si>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</si>
  <si>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</si>
  <si>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</si>
  <si>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</si>
  <si>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</si>
  <si>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</si>
  <si>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</si>
  <si>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</si>
  <si>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</si>
  <si>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</si>
  <si>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</si>
  <si>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</si>
  <si>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</si>
  <si>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</si>
  <si>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</si>
  <si>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</si>
  <si>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</si>
  <si>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</si>
  <si>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</si>
  <si>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</si>
  <si>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</si>
  <si>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</si>
  <si>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</si>
  <si>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</si>
  <si>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</si>
  <si>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</si>
  <si>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</si>
  <si>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</si>
  <si>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</si>
  <si>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</si>
  <si>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</si>
  <si>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</si>
  <si>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</si>
  <si>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</si>
  <si>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</si>
  <si>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</si>
  <si>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</si>
  <si>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</si>
  <si>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</si>
  <si>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</si>
  <si>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</si>
  <si>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</si>
  <si>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</si>
  <si>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</si>
  <si>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</si>
  <si>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</si>
  <si>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</si>
  <si>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</si>
  <si>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</si>
  <si>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</si>
  <si>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</si>
  <si>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</si>
  <si>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</si>
  <si>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</si>
  <si>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</si>
  <si>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</si>
  <si>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</si>
  <si>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</si>
  <si>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</si>
  <si>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</si>
  <si>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</si>
  <si>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</si>
  <si>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</si>
  <si>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</si>
  <si>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</si>
  <si>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</si>
  <si>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</si>
  <si>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</si>
  <si>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</si>
  <si>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</si>
  <si>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</si>
  <si>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</si>
  <si>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</si>
  <si>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</si>
  <si>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</si>
  <si>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</si>
  <si>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</si>
  <si>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</si>
  <si>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</si>
  <si>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</si>
  <si>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</si>
  <si>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</si>
  <si>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</si>
  <si>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</si>
  <si>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</si>
  <si>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</si>
  <si>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</si>
  <si>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</si>
  <si>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</si>
  <si>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</si>
  <si>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</si>
  <si>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</si>
  <si>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</si>
  <si>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</si>
  <si>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</si>
  <si>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</si>
  <si>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</si>
  <si>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</si>
  <si>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</si>
  <si>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</si>
  <si>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</si>
  <si>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</si>
  <si>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</si>
  <si>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</si>
  <si>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</si>
  <si>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</si>
  <si>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</si>
  <si>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</si>
  <si>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</si>
  <si>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</si>
  <si>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</si>
  <si>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</si>
  <si>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</si>
  <si>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</si>
  <si>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</si>
  <si>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</si>
  <si>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</si>
  <si>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</si>
  <si>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</si>
  <si>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</si>
  <si>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</si>
  <si>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</si>
  <si>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</si>
  <si>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</si>
  <si>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</si>
  <si>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</si>
  <si>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</si>
  <si>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</si>
  <si>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</si>
  <si>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</si>
  <si>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</si>
  <si>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</si>
  <si>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</si>
  <si>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</si>
  <si>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</si>
  <si>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</si>
  <si>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</si>
  <si>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</si>
  <si>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</si>
  <si>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</si>
  <si>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</si>
  <si>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</si>
  <si>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</si>
  <si>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</si>
  <si>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</si>
  <si>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</si>
  <si>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</si>
  <si>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</si>
  <si>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</si>
  <si>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</si>
  <si>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</si>
  <si>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</si>
  <si>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</si>
  <si>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</si>
  <si>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</si>
  <si>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</si>
  <si>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</si>
  <si>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</si>
  <si>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</si>
  <si>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</si>
  <si>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</si>
  <si>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</si>
  <si>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</si>
  <si>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</si>
  <si>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</si>
  <si>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</si>
  <si>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</si>
  <si>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</si>
  <si>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</si>
  <si>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</si>
  <si>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</si>
  <si>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</si>
  <si>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</si>
  <si>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</si>
  <si>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</si>
  <si>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</si>
  <si>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</si>
  <si>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</si>
  <si>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</si>
  <si>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</si>
  <si>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</si>
  <si>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</si>
  <si>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</si>
  <si>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</si>
  <si>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</si>
  <si>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</si>
  <si>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</si>
  <si>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</si>
  <si>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</si>
  <si>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</si>
  <si>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</si>
  <si>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</si>
  <si>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</si>
  <si>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</si>
  <si>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</si>
  <si>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</si>
  <si>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</si>
  <si>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</si>
  <si>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</si>
  <si>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</si>
  <si>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</si>
  <si>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</si>
  <si>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</si>
  <si>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</si>
  <si>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</si>
  <si>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</si>
  <si>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</si>
  <si>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</si>
  <si>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</si>
  <si>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</si>
  <si>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</si>
  <si>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</si>
  <si>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</si>
  <si>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</si>
  <si>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</si>
  <si>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</si>
  <si>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</si>
  <si>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</si>
  <si>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</si>
  <si>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</si>
  <si>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</si>
  <si>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</si>
  <si>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</si>
  <si>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</si>
  <si>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</si>
  <si>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</si>
  <si>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</si>
  <si>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</si>
  <si>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</si>
  <si>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</si>
  <si>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</si>
  <si>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</si>
  <si>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</si>
  <si>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</si>
  <si>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</si>
  <si>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</si>
  <si>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</si>
  <si>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</si>
  <si>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</si>
  <si>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</si>
  <si>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</si>
  <si>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</si>
  <si>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</si>
  <si>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</si>
  <si>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</si>
  <si>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</si>
  <si>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</si>
  <si>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</si>
  <si>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</si>
  <si>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</si>
  <si>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</si>
  <si>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</si>
  <si>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</si>
  <si>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</si>
  <si>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</si>
  <si>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</si>
  <si>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</si>
  <si>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</si>
  <si>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</si>
  <si>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</si>
  <si>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</si>
  <si>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</si>
  <si>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</si>
  <si>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</si>
  <si>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</si>
  <si>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</si>
  <si>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</si>
  <si>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</si>
  <si>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</si>
  <si>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</si>
  <si>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</si>
  <si>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</si>
  <si>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</si>
  <si>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</si>
  <si>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</si>
  <si>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</si>
  <si>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</si>
  <si>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</si>
  <si>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</si>
  <si>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</si>
  <si>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</si>
  <si>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</si>
  <si>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</si>
  <si>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</si>
  <si>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</si>
  <si>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</si>
  <si>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</si>
  <si>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</si>
  <si>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</si>
  <si>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</si>
  <si>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</si>
  <si>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</si>
  <si>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</si>
  <si>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</si>
  <si>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</si>
  <si>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</si>
  <si>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</si>
  <si>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</si>
  <si>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</si>
  <si>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</si>
  <si>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</si>
  <si>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</si>
  <si>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</si>
  <si>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</si>
  <si>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</si>
  <si>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</si>
  <si>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</si>
  <si>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</si>
  <si>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</si>
  <si>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</si>
  <si>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</si>
  <si>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</si>
  <si>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</si>
  <si>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</si>
  <si>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</si>
  <si>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</si>
  <si>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</si>
  <si>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</si>
  <si>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</si>
  <si>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</si>
  <si>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</si>
  <si>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</si>
  <si>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</si>
  <si>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</si>
  <si>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</si>
  <si>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</si>
  <si>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</si>
  <si>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</si>
  <si>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</si>
  <si>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</si>
  <si>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</si>
  <si>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</si>
  <si>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</si>
  <si>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</si>
  <si>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</si>
  <si>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</si>
  <si>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</si>
  <si>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</si>
  <si>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</si>
  <si>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</si>
  <si>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</si>
  <si>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</si>
  <si>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</si>
  <si>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</si>
  <si>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</si>
  <si>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</si>
  <si>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</si>
  <si>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</si>
  <si>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</si>
  <si>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</si>
  <si>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</si>
  <si>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</si>
  <si>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</si>
  <si>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</si>
  <si>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</si>
  <si>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</si>
  <si>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</si>
  <si>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</si>
  <si>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</si>
  <si>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</si>
  <si>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</si>
  <si>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</si>
  <si>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</si>
  <si>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</si>
  <si>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</si>
  <si>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</si>
  <si>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</si>
  <si>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</si>
  <si>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</si>
  <si>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</si>
  <si>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</si>
  <si>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</si>
  <si>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</si>
  <si>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</si>
  <si>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</si>
  <si>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</si>
  <si>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</si>
  <si>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</si>
  <si>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</si>
  <si>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</si>
  <si>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</si>
  <si>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</si>
  <si>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</si>
  <si>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</si>
  <si>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</si>
  <si>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</si>
  <si>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</si>
  <si>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</si>
  <si>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</si>
  <si>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</si>
  <si>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</si>
  <si>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</si>
  <si>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</si>
  <si>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</si>
  <si>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</si>
  <si>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</si>
  <si>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</si>
  <si>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</si>
  <si>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</si>
  <si>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</si>
  <si>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</si>
  <si>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</si>
  <si>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</si>
  <si>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</si>
  <si>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</si>
  <si>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</si>
  <si>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</si>
  <si>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</si>
  <si>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</si>
  <si>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</si>
  <si>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</si>
  <si>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</si>
  <si>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</si>
  <si>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</si>
  <si>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</si>
  <si>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</si>
  <si>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</si>
  <si>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</si>
  <si>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</si>
  <si>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</si>
  <si>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</si>
  <si>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</si>
  <si>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</si>
  <si>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</si>
  <si>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</si>
  <si>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</si>
  <si>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</si>
  <si>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</si>
  <si>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</si>
  <si>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</si>
  <si>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</si>
  <si>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</si>
  <si>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</si>
  <si>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</si>
  <si>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</si>
  <si>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</si>
  <si>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</si>
  <si>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</si>
  <si>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</si>
  <si>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</si>
  <si>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</si>
  <si>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</si>
  <si>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</si>
  <si>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</si>
  <si>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</si>
  <si>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</si>
  <si>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</si>
  <si>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</si>
  <si>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</si>
  <si>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</si>
  <si>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</si>
  <si>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</si>
  <si>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</si>
  <si>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</si>
  <si>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</si>
  <si>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</si>
  <si>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</si>
  <si>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</si>
  <si>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</si>
  <si>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</si>
  <si>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</si>
  <si>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</si>
  <si>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</si>
  <si>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</si>
  <si>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</si>
  <si>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</si>
  <si>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</si>
  <si>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</si>
  <si>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</si>
  <si>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</si>
  <si>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</si>
  <si>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</si>
  <si>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</si>
  <si>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</si>
  <si>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</si>
  <si>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</si>
  <si>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</si>
  <si>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</si>
  <si>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</si>
  <si>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</si>
  <si>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</si>
  <si>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</si>
  <si>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</si>
  <si>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</si>
  <si>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</si>
  <si>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</si>
  <si>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</si>
  <si>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</si>
  <si>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</si>
  <si>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</si>
  <si>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</si>
  <si>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</si>
  <si>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</si>
  <si>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</si>
  <si>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</si>
  <si>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</si>
  <si>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</si>
  <si>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</si>
  <si>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</si>
  <si>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</si>
  <si>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</si>
  <si>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</si>
  <si>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</si>
  <si>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</si>
  <si>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</si>
  <si>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</si>
  <si>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</si>
  <si>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</si>
  <si>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</si>
  <si>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</si>
  <si>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</si>
  <si>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</si>
  <si>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</si>
  <si>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</si>
  <si>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</si>
  <si>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</si>
  <si>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</si>
  <si>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</si>
  <si>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</si>
  <si>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</si>
  <si>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</si>
  <si>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</si>
  <si>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</si>
  <si>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</si>
  <si>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</si>
  <si>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</si>
  <si>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</si>
  <si>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</si>
  <si>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</si>
  <si>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</si>
  <si>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</si>
  <si>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</si>
  <si>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</si>
  <si>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</si>
  <si>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</si>
  <si>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</si>
  <si>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</si>
  <si>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</si>
  <si>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</si>
  <si>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</si>
  <si>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</si>
  <si>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</si>
  <si>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</si>
  <si>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</si>
  <si>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</si>
  <si>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</si>
  <si>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</si>
  <si>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</si>
  <si>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</si>
  <si>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</si>
  <si>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</si>
  <si>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</si>
  <si>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</si>
  <si>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</si>
  <si>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</si>
  <si>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</si>
  <si>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</si>
  <si>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</si>
  <si>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</si>
  <si>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</si>
  <si>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</si>
  <si>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</si>
  <si>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</si>
  <si>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</si>
  <si>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</si>
  <si>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</si>
  <si>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</si>
  <si>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</si>
  <si>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</si>
  <si>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</si>
  <si>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</si>
  <si>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</si>
  <si>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</si>
  <si>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</si>
  <si>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</si>
  <si>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</si>
  <si>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</si>
  <si>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</si>
  <si>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</si>
  <si>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</si>
  <si>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</si>
  <si>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</si>
  <si>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</si>
  <si>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</si>
  <si>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</si>
  <si>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</si>
  <si>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</si>
  <si>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</si>
  <si>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</si>
  <si>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</si>
  <si>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</si>
  <si>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</si>
  <si>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</si>
  <si>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</si>
  <si>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</si>
  <si>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</si>
  <si>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</si>
  <si>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</si>
  <si>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</si>
  <si>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</si>
  <si>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</si>
  <si>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</si>
  <si>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</si>
  <si>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</si>
  <si>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</si>
  <si>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</si>
  <si>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</si>
  <si>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</si>
  <si>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</si>
  <si>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</si>
  <si>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</si>
  <si>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</si>
  <si>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</si>
  <si>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</si>
  <si>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</si>
  <si>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</si>
  <si>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</si>
  <si>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</si>
  <si>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</si>
  <si>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</si>
  <si>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</si>
  <si>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</si>
  <si>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</si>
  <si>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</si>
  <si>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</si>
  <si>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</si>
  <si>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</si>
  <si>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</si>
  <si>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</si>
  <si>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</si>
  <si>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</si>
  <si>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</si>
  <si>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</si>
  <si>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</si>
  <si>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</si>
  <si>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</si>
  <si>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</si>
  <si>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</si>
  <si>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</si>
  <si>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</si>
  <si>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</si>
  <si>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</si>
  <si>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</si>
  <si>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</si>
  <si>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</si>
  <si>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</si>
  <si>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</si>
  <si>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</si>
  <si>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</si>
  <si>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</si>
  <si>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</si>
  <si>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</si>
  <si>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</si>
  <si>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</si>
  <si>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</si>
  <si>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</si>
  <si>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</si>
  <si>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</si>
  <si>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</si>
  <si>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</si>
  <si>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</si>
  <si>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</si>
  <si>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</si>
  <si>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</si>
  <si>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</si>
  <si>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</si>
  <si>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</si>
  <si>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</si>
  <si>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</si>
  <si>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</si>
  <si>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</si>
  <si>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</si>
  <si>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</si>
  <si>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</si>
  <si>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</si>
  <si>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</si>
  <si>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</si>
  <si>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</si>
  <si>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</si>
  <si>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</si>
  <si>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</si>
  <si>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</si>
  <si>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</si>
  <si>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</si>
  <si>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</si>
  <si>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</si>
  <si>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</si>
  <si>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</si>
  <si>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</si>
  <si>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</si>
  <si>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</si>
  <si>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</si>
  <si>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</si>
  <si>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</si>
  <si>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</si>
  <si>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</si>
  <si>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</si>
  <si>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</si>
  <si>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</si>
  <si>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</si>
  <si>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</si>
  <si>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</si>
  <si>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</si>
  <si>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</si>
  <si>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</si>
  <si>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</si>
  <si>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</si>
  <si>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</si>
  <si>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</si>
  <si>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</si>
  <si>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</si>
  <si>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</si>
  <si>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</si>
  <si>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</si>
  <si>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</si>
  <si>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</si>
  <si>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</si>
  <si>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</si>
  <si>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</si>
  <si>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</si>
  <si>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</si>
  <si>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</si>
  <si>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</si>
  <si>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</si>
  <si>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</si>
  <si>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</si>
  <si>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</si>
  <si>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</si>
  <si>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</si>
  <si>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</si>
  <si>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</si>
  <si>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</si>
  <si>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</si>
  <si>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</si>
  <si>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</si>
  <si>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</si>
  <si>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</si>
  <si>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</si>
  <si>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</si>
  <si>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</si>
  <si>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</si>
  <si>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</si>
  <si>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</si>
  <si>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</si>
  <si>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</si>
  <si>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</si>
  <si>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</si>
  <si>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</si>
  <si>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</si>
  <si>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</si>
  <si>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</si>
  <si>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</si>
  <si>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</si>
  <si>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</si>
  <si>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</si>
  <si>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</si>
  <si>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</si>
  <si>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</si>
  <si>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</si>
  <si>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</si>
  <si>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</si>
  <si>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</si>
  <si>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</si>
  <si>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</si>
  <si>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</si>
  <si>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</si>
  <si>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</si>
  <si>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</si>
  <si>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</si>
  <si>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</si>
  <si>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</si>
  <si>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</si>
  <si>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</si>
  <si>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</si>
  <si>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</si>
  <si>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</si>
  <si>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</si>
  <si>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</si>
  <si>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</si>
  <si>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</si>
  <si>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</si>
  <si>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</si>
  <si>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</si>
  <si>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</si>
  <si>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</si>
  <si>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</si>
  <si>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</si>
  <si>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</si>
  <si>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</si>
  <si>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</si>
  <si>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</si>
  <si>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</si>
  <si>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</si>
  <si>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</si>
  <si>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</si>
  <si>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</si>
  <si>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</si>
  <si>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</si>
  <si>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</si>
  <si>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</si>
  <si>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</si>
  <si>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</si>
  <si>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</si>
  <si>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</si>
  <si>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</si>
  <si>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</si>
  <si>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</si>
  <si>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</si>
  <si>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</si>
  <si>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</si>
  <si>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</si>
  <si>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</si>
  <si>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</si>
  <si>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</si>
  <si>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</si>
  <si>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</si>
  <si>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</si>
  <si>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</si>
  <si>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</si>
  <si>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</si>
  <si>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</si>
  <si>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</si>
  <si>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</si>
  <si>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</si>
  <si>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</si>
  <si>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</si>
  <si>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</si>
  <si>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</si>
  <si>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</si>
  <si>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</si>
  <si>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</si>
  <si>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</si>
  <si>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</si>
  <si>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</si>
  <si>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</si>
  <si>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</si>
  <si>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</si>
  <si>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</si>
  <si>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</si>
  <si>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</si>
  <si>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</si>
  <si>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</si>
  <si>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</si>
  <si>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</si>
  <si>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</si>
  <si>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</si>
  <si>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</si>
  <si>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</si>
  <si>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</si>
  <si>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</si>
  <si>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</si>
  <si>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</si>
  <si>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</si>
  <si>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</si>
  <si>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</si>
  <si>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</si>
  <si>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</si>
  <si>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</si>
  <si>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</si>
  <si>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</si>
  <si>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</si>
  <si>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</si>
  <si>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</si>
  <si>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</si>
  <si>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</si>
  <si>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</si>
  <si>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</si>
  <si>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</si>
  <si>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</si>
  <si>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</si>
  <si>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</si>
  <si>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</si>
  <si>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</si>
  <si>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</si>
  <si>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</si>
  <si>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</si>
  <si>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</si>
  <si>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</si>
  <si>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</si>
  <si>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</si>
  <si>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</si>
  <si>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</si>
  <si>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</si>
  <si>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</si>
  <si>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</si>
  <si>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</si>
  <si>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</si>
  <si>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</si>
  <si>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</si>
  <si>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</si>
  <si>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</si>
  <si>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</si>
  <si>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</si>
  <si>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</si>
  <si>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</si>
  <si>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</si>
  <si>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</si>
  <si>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</si>
  <si>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</si>
  <si>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</si>
  <si>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</si>
  <si>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</si>
  <si>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</si>
  <si>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</si>
  <si>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</si>
  <si>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</si>
  <si>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</si>
  <si>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</si>
  <si>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</si>
  <si>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</si>
  <si>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</si>
  <si>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</si>
  <si>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</si>
  <si>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</si>
  <si>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</si>
  <si>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</si>
  <si>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</si>
  <si>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</si>
  <si>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</si>
  <si>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</si>
  <si>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</si>
  <si>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</si>
  <si>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</si>
  <si>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</si>
  <si>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</si>
  <si>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</si>
  <si>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</si>
  <si>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</si>
  <si>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</si>
  <si>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</si>
  <si>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</si>
  <si>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</si>
  <si>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</si>
  <si>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</si>
  <si>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</si>
  <si>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</si>
  <si>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</si>
  <si>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</si>
  <si>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</si>
  <si>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</si>
  <si>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</si>
  <si>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</si>
  <si>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</si>
  <si>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</si>
  <si>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</si>
  <si>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</si>
  <si>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</si>
  <si>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</si>
  <si>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</si>
  <si>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</si>
  <si>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</si>
  <si>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</si>
  <si>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</si>
  <si>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</si>
  <si>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</si>
  <si>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</si>
  <si>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</si>
  <si>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</si>
  <si>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</si>
  <si>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</si>
  <si>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</si>
  <si>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</si>
  <si>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</si>
  <si>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</si>
  <si>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</si>
  <si>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</si>
  <si>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</si>
  <si>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</si>
  <si>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</si>
  <si>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</si>
  <si>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</si>
  <si>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</si>
  <si>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</si>
  <si>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</si>
  <si>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</si>
  <si>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</si>
  <si>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</si>
  <si>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</si>
  <si>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</si>
  <si>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</si>
  <si>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</si>
  <si>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</si>
  <si>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</si>
  <si>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</si>
  <si>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</si>
  <si>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</si>
  <si>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</si>
  <si>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</si>
  <si>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</si>
  <si>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</si>
  <si>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</si>
  <si>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</si>
  <si>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</si>
  <si>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</si>
  <si>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</si>
  <si>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</si>
  <si>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</si>
  <si>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</si>
  <si>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</si>
  <si>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</si>
  <si>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</si>
  <si>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</si>
  <si>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</si>
  <si>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</si>
  <si>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</si>
  <si>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</si>
  <si>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</si>
  <si>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</si>
  <si>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</si>
  <si>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</si>
  <si>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</si>
  <si>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</si>
  <si>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</si>
  <si>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</si>
  <si>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</si>
  <si>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</si>
  <si>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</si>
  <si>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</si>
  <si>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</si>
  <si>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</si>
  <si>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</si>
  <si>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</si>
  <si>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</si>
  <si>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</si>
  <si>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</si>
  <si>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</si>
  <si>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</si>
  <si>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</si>
  <si>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</si>
  <si>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</si>
  <si>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</si>
  <si>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</si>
  <si>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</si>
  <si>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</si>
  <si>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</si>
  <si>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</si>
  <si>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</si>
  <si>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</si>
  <si>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</si>
  <si>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</si>
  <si>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</si>
  <si>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</si>
  <si>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</si>
  <si>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</si>
  <si>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</si>
  <si>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</si>
  <si>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</si>
  <si>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</si>
  <si>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</si>
  <si>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</si>
  <si>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</si>
  <si>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</si>
  <si>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</si>
  <si>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</si>
  <si>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</si>
  <si>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</si>
  <si>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</si>
  <si>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</si>
  <si>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</si>
  <si>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</si>
  <si>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</si>
  <si>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</si>
  <si>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</si>
  <si>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</si>
  <si>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</si>
  <si>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</si>
  <si>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</si>
  <si>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</si>
  <si>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</si>
  <si>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</si>
  <si>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</si>
  <si>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</si>
  <si>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</si>
  <si>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</si>
  <si>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</si>
  <si>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</si>
  <si>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</si>
  <si>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</si>
  <si>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</si>
  <si>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</si>
  <si>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</si>
  <si>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</si>
  <si>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</si>
  <si>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</si>
  <si>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</si>
  <si>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</si>
  <si>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</si>
  <si>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</si>
  <si>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</si>
  <si>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</si>
  <si>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</si>
  <si>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</si>
  <si>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</si>
  <si>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</si>
  <si>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</si>
  <si>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</si>
  <si>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</si>
  <si>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</si>
  <si>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</si>
  <si>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</si>
  <si>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</si>
  <si>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</si>
  <si>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</si>
  <si>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</si>
  <si>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</si>
  <si>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</si>
  <si>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</si>
  <si>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</si>
  <si>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</si>
  <si>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</si>
  <si>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</si>
  <si>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</si>
  <si>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</si>
  <si>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</si>
  <si>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</si>
  <si>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</si>
  <si>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</si>
  <si>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</si>
  <si>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</si>
  <si>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</si>
  <si>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</si>
  <si>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</si>
  <si>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</si>
  <si>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</si>
  <si>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</si>
  <si>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</si>
  <si>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</si>
  <si>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</si>
  <si>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</si>
  <si>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</si>
  <si>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</si>
  <si>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</si>
  <si>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</si>
  <si>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</si>
  <si>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</si>
  <si>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</si>
  <si>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</si>
  <si>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</si>
  <si>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</si>
  <si>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</si>
  <si>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</si>
  <si>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</si>
  <si>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</si>
  <si>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</si>
  <si>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</si>
  <si>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</si>
  <si>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</si>
  <si>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</si>
  <si>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</si>
  <si>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</si>
  <si>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</si>
  <si>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</si>
  <si>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</si>
  <si>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</si>
  <si>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</si>
  <si>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</si>
  <si>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</si>
  <si>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</si>
  <si>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</si>
  <si>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</si>
  <si>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</si>
  <si>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</si>
  <si>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</si>
  <si>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</si>
  <si>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</si>
  <si>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</si>
  <si>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</si>
  <si>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</si>
  <si>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</si>
  <si>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</si>
  <si>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</si>
  <si>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</si>
  <si>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</si>
  <si>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</si>
  <si>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</si>
  <si>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</si>
  <si>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</si>
  <si>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</si>
  <si>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</si>
  <si>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</si>
  <si>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</si>
  <si>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</si>
  <si>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</si>
  <si>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</si>
  <si>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</si>
  <si>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</si>
  <si>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</si>
  <si>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</si>
  <si>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</si>
  <si>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</si>
  <si>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</si>
  <si>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</si>
  <si>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</si>
  <si>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</si>
  <si>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순익 - 지출금 = 여유자본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</si>
  <si>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</si>
  <si>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</si>
  <si>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</si>
  <si>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</si>
  <si>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</si>
  <si>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</si>
  <si>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</si>
  <si>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</si>
  <si>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</si>
  <si>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</si>
  <si>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</si>
  <si>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</si>
  <si>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</si>
  <si>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</si>
  <si>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</si>
  <si>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</si>
  <si>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</si>
  <si>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</si>
  <si>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</si>
  <si>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</si>
  <si>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</si>
  <si>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</si>
  <si>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</si>
  <si>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</si>
  <si>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</si>
  <si>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</si>
  <si>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</si>
  <si>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</si>
  <si>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</si>
  <si>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</si>
  <si>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</si>
  <si>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</si>
  <si>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</si>
  <si>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</si>
  <si>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</si>
  <si>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</si>
  <si>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</si>
  <si>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</si>
  <si>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</si>
  <si>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</si>
  <si>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</si>
  <si>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</si>
  <si>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</si>
  <si>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</si>
  <si>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</si>
  <si>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</si>
  <si>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</si>
  <si>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</si>
  <si>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</si>
  <si>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</si>
  <si>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</si>
  <si>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</si>
  <si>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</si>
  <si>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</si>
  <si>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</si>
  <si>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</si>
  <si>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</si>
  <si>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</si>
  <si>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</si>
  <si>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</si>
  <si>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</si>
  <si>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</si>
  <si>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</si>
  <si>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</si>
  <si>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</si>
  <si>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</si>
  <si>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</si>
  <si>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</si>
  <si>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</si>
  <si>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</si>
  <si>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</si>
  <si>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10월달 가게세,관리비</t>
  </si>
  <si>
    <t>카드+현금 총매출</t>
  </si>
  <si>
    <t>삼촌 10%</t>
  </si>
  <si>
    <t>빼고 정산 받을 금액</t>
  </si>
  <si>
    <t>8만 미입금</t>
    <phoneticPr fontId="4" type="noConversion"/>
  </si>
  <si>
    <t>휴무</t>
    <phoneticPr fontId="4" type="noConversion"/>
  </si>
  <si>
    <t>2023-01-02코스트코</t>
    <phoneticPr fontId="4" type="noConversion"/>
  </si>
  <si>
    <t>2023-01-02다판다</t>
    <phoneticPr fontId="4" type="noConversion"/>
  </si>
  <si>
    <t>예거마이스터 1L</t>
    <phoneticPr fontId="4" type="noConversion"/>
  </si>
  <si>
    <t>호세쿠엘보 데킬라</t>
    <phoneticPr fontId="4" type="noConversion"/>
  </si>
  <si>
    <t>조니워커 블루라벨</t>
    <phoneticPr fontId="4" type="noConversion"/>
  </si>
  <si>
    <t>소비가</t>
    <phoneticPr fontId="4" type="noConversion"/>
  </si>
  <si>
    <t>A.자산</t>
    <phoneticPr fontId="4" type="noConversion"/>
  </si>
  <si>
    <t>2억원 대출 원리금(이자)</t>
    <phoneticPr fontId="4" type="noConversion"/>
  </si>
  <si>
    <t>합계</t>
    <phoneticPr fontId="4" type="noConversion"/>
  </si>
  <si>
    <t>1월달 가게세,관리비</t>
    <phoneticPr fontId="4" type="noConversion"/>
  </si>
  <si>
    <t>2023-01-17코스트코</t>
    <phoneticPr fontId="4" type="noConversion"/>
  </si>
  <si>
    <t>2기(2023-01)</t>
    <phoneticPr fontId="4" type="noConversion"/>
  </si>
  <si>
    <t xml:space="preserve">  </t>
    <phoneticPr fontId="4" type="noConversion"/>
  </si>
  <si>
    <t>엄마 1300000</t>
    <phoneticPr fontId="4" type="noConversion"/>
  </si>
  <si>
    <t>1월달 관리비</t>
    <phoneticPr fontId="4" type="noConversion"/>
  </si>
  <si>
    <t>빼고 정산 받을 금액</t>
    <phoneticPr fontId="4" type="noConversion"/>
  </si>
  <si>
    <t>숙모손님</t>
    <phoneticPr fontId="4" type="noConversion"/>
  </si>
  <si>
    <t>2월달 관리비</t>
    <phoneticPr fontId="4" type="noConversion"/>
  </si>
  <si>
    <t>2월달 가게세,관리비</t>
    <phoneticPr fontId="4" type="noConversion"/>
  </si>
  <si>
    <t>3기(2023-02)</t>
    <phoneticPr fontId="4" type="noConversion"/>
  </si>
  <si>
    <t xml:space="preserve">현욱현대카드값 </t>
    <phoneticPr fontId="4" type="noConversion"/>
  </si>
  <si>
    <t xml:space="preserve">현욱롯대카드값 </t>
    <phoneticPr fontId="4" type="noConversion"/>
  </si>
  <si>
    <t>현욱삼성카드값</t>
    <phoneticPr fontId="4" type="noConversion"/>
  </si>
  <si>
    <t xml:space="preserve">카드값총금액 </t>
    <phoneticPr fontId="4" type="noConversion"/>
  </si>
  <si>
    <t>노래방 순수익</t>
    <phoneticPr fontId="4" type="noConversion"/>
  </si>
  <si>
    <t>엄마 1300000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</si>
</sst>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  <numFmt numFmtId="180" formatCode="&quot;₩&quot;#,##0.0_);[Red]\(&quot;₩&quot;#,##0.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180" fontId="0" fillId="0" borderId="0" xfId="0" applyNumberFormat="1"/>
    <xf numFmtId="177" fontId="0" fillId="0" borderId="1" xfId="0" applyNumberFormat="1" applyFill="1" applyBorder="1"/>
    <xf numFmtId="177" fontId="0" fillId="0" borderId="1" xfId="0" applyNumberFormat="1" applyFill="1" applyBorder="1" applyAlignment="1">
      <alignment horizontal="right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right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12929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163284</xdr:colOff>
      <xdr:row>47</xdr:row>
      <xdr:rowOff>40821</xdr:rowOff>
    </xdr:from>
    <xdr:to>
      <xdr:col>1</xdr:col>
      <xdr:colOff>1360714</xdr:colOff>
      <xdr:row>80</xdr:row>
      <xdr:rowOff>103817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4" y="10872107"/>
          <a:ext cx="3088823" cy="7070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huk0377@naver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43" zoomScale="80" zoomScaleNormal="80" workbookViewId="0">
      <selection activeCell="I27" sqref="I27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5646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7" t="s">
        <v>265</v>
      </c>
      <c r="F56" s="218"/>
      <c r="G56" s="218"/>
      <c r="H56" s="218"/>
      <c r="I56" s="219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6"/>
  <sheetViews>
    <sheetView topLeftCell="A16" workbookViewId="0">
      <selection activeCell="H17" sqref="H17"/>
    </sheetView>
  </sheetViews>
  <sheetFormatPr defaultRowHeight="16.5"/>
  <cols>
    <col min="1" max="1" width="24.375" style="1" customWidth="1"/>
    <col min="2" max="6" width="12.875" style="9" customWidth="1"/>
    <col min="7" max="7" width="13" customWidth="1"/>
    <col min="8" max="8" width="13.75" customWidth="1"/>
  </cols>
  <sheetData>
    <row r="1" spans="1:6">
      <c r="A1" s="1" t="s">
        <v>5614</v>
      </c>
      <c r="B1" s="9" t="s">
        <v>5590</v>
      </c>
      <c r="D1" s="9" t="s">
        <v>5684</v>
      </c>
      <c r="F1" s="9" t="s">
        <v>5692</v>
      </c>
    </row>
    <row r="2" spans="1:6">
      <c r="A2" s="204" t="s">
        <v>5679</v>
      </c>
      <c r="B2" s="205"/>
      <c r="C2" s="205"/>
      <c r="D2" s="205"/>
      <c r="E2" s="205"/>
      <c r="F2" s="205"/>
    </row>
    <row r="3" spans="1:6">
      <c r="A3" s="208" t="s">
        <v>5617</v>
      </c>
      <c r="B3" s="209"/>
      <c r="C3" s="209"/>
      <c r="D3" s="209"/>
      <c r="E3" s="209"/>
      <c r="F3" s="209"/>
    </row>
    <row r="4" spans="1:6">
      <c r="A4" s="208" t="s">
        <v>5604</v>
      </c>
      <c r="B4" s="209">
        <v>67343271</v>
      </c>
      <c r="C4" s="209">
        <f>D4-B4</f>
        <v>-8742917</v>
      </c>
      <c r="D4" s="209">
        <v>58600354</v>
      </c>
      <c r="E4" s="209">
        <f>F4-D4</f>
        <v>100902</v>
      </c>
      <c r="F4" s="209">
        <v>58701256</v>
      </c>
    </row>
    <row r="5" spans="1:6">
      <c r="A5" s="208" t="s">
        <v>5605</v>
      </c>
      <c r="B5" s="209">
        <v>6735288</v>
      </c>
      <c r="C5" s="209">
        <f t="shared" ref="C5:C46" si="0">D5-B5</f>
        <v>5754106</v>
      </c>
      <c r="D5" s="209">
        <v>12489394</v>
      </c>
      <c r="E5" s="209">
        <f t="shared" ref="E5:E46" si="1">F5-D5</f>
        <v>292792</v>
      </c>
      <c r="F5" s="209">
        <v>12782186</v>
      </c>
    </row>
    <row r="6" spans="1:6">
      <c r="A6" s="208" t="s">
        <v>5589</v>
      </c>
      <c r="B6" s="209">
        <f>B4+B5</f>
        <v>74078559</v>
      </c>
      <c r="C6" s="209">
        <f t="shared" si="0"/>
        <v>-2988811</v>
      </c>
      <c r="D6" s="209">
        <f>D4+D5</f>
        <v>71089748</v>
      </c>
      <c r="E6" s="209">
        <f t="shared" si="1"/>
        <v>393694</v>
      </c>
      <c r="F6" s="209">
        <f>F4+F5</f>
        <v>71483442</v>
      </c>
    </row>
    <row r="7" spans="1:6">
      <c r="A7" s="208" t="s">
        <v>5606</v>
      </c>
      <c r="B7" s="209">
        <v>25470000</v>
      </c>
      <c r="C7" s="209">
        <f t="shared" si="0"/>
        <v>-4000000</v>
      </c>
      <c r="D7" s="209">
        <v>21470000</v>
      </c>
      <c r="E7" s="209">
        <f t="shared" si="1"/>
        <v>3857367</v>
      </c>
      <c r="F7" s="209">
        <v>25327367</v>
      </c>
    </row>
    <row r="8" spans="1:6">
      <c r="A8" s="208" t="s">
        <v>5607</v>
      </c>
      <c r="B8" s="209">
        <v>5704000</v>
      </c>
      <c r="C8" s="209">
        <f t="shared" si="0"/>
        <v>2529148</v>
      </c>
      <c r="D8" s="209">
        <v>8233148</v>
      </c>
      <c r="E8" s="209">
        <f t="shared" si="1"/>
        <v>426726</v>
      </c>
      <c r="F8" s="209">
        <v>8659874</v>
      </c>
    </row>
    <row r="9" spans="1:6">
      <c r="A9" s="122" t="s">
        <v>5596</v>
      </c>
      <c r="B9" s="123">
        <f>B7+B8</f>
        <v>31174000</v>
      </c>
      <c r="C9" s="123">
        <f t="shared" si="0"/>
        <v>-1470852</v>
      </c>
      <c r="D9" s="123">
        <f>D7+D8</f>
        <v>29703148</v>
      </c>
      <c r="E9" s="123">
        <f t="shared" si="1"/>
        <v>4284093</v>
      </c>
      <c r="F9" s="123">
        <f>F7+F8</f>
        <v>33987241</v>
      </c>
    </row>
    <row r="10" spans="1:6">
      <c r="A10" s="208" t="s">
        <v>5597</v>
      </c>
      <c r="B10" s="209">
        <f>B6-B9</f>
        <v>42904559</v>
      </c>
      <c r="C10" s="209">
        <f t="shared" si="0"/>
        <v>-1517959</v>
      </c>
      <c r="D10" s="209">
        <f>D6-D9</f>
        <v>41386600</v>
      </c>
      <c r="E10" s="209">
        <f t="shared" si="1"/>
        <v>-3890399</v>
      </c>
      <c r="F10" s="209">
        <f>F6-F9</f>
        <v>37496201</v>
      </c>
    </row>
    <row r="11" spans="1:6">
      <c r="A11" s="204" t="s">
        <v>5625</v>
      </c>
      <c r="B11" s="205"/>
      <c r="C11" s="205"/>
      <c r="D11" s="205"/>
      <c r="E11" s="205"/>
      <c r="F11" s="205"/>
    </row>
    <row r="12" spans="1:6">
      <c r="A12" s="208" t="s">
        <v>5608</v>
      </c>
      <c r="B12" s="209">
        <f>'12월 매출'!B39</f>
        <v>207000</v>
      </c>
      <c r="C12" s="209">
        <f t="shared" si="0"/>
        <v>384000</v>
      </c>
      <c r="D12" s="209">
        <v>591000</v>
      </c>
      <c r="E12" s="209">
        <v>230000</v>
      </c>
      <c r="F12" s="209">
        <v>591000</v>
      </c>
    </row>
    <row r="13" spans="1:6">
      <c r="A13" s="208" t="s">
        <v>5612</v>
      </c>
      <c r="B13" s="209"/>
      <c r="C13" s="209"/>
      <c r="D13" s="209"/>
      <c r="E13" s="209"/>
      <c r="F13" s="209"/>
    </row>
    <row r="14" spans="1:6">
      <c r="A14" s="208" t="s">
        <v>5609</v>
      </c>
      <c r="B14" s="209">
        <f>187000+300000</f>
        <v>487000</v>
      </c>
      <c r="C14" s="209">
        <f t="shared" si="0"/>
        <v>-485000</v>
      </c>
      <c r="D14" s="209">
        <v>2000</v>
      </c>
      <c r="E14" s="209">
        <f t="shared" si="1"/>
        <v>0</v>
      </c>
      <c r="F14" s="209">
        <v>2000</v>
      </c>
    </row>
    <row r="15" spans="1:6">
      <c r="A15" s="208" t="s">
        <v>5610</v>
      </c>
      <c r="B15" s="209">
        <f>103633+300328</f>
        <v>403961</v>
      </c>
      <c r="C15" s="209">
        <f t="shared" si="0"/>
        <v>-397013</v>
      </c>
      <c r="D15" s="209">
        <v>6948</v>
      </c>
      <c r="E15" s="209">
        <f t="shared" si="1"/>
        <v>0</v>
      </c>
      <c r="F15" s="209">
        <v>6948</v>
      </c>
    </row>
    <row r="16" spans="1:6">
      <c r="A16" s="208" t="s">
        <v>5611</v>
      </c>
      <c r="B16" s="209">
        <v>10000</v>
      </c>
      <c r="C16" s="209">
        <f t="shared" si="0"/>
        <v>81</v>
      </c>
      <c r="D16" s="209">
        <v>10081</v>
      </c>
      <c r="E16" s="209">
        <f t="shared" si="1"/>
        <v>0</v>
      </c>
      <c r="F16" s="209">
        <v>10081</v>
      </c>
    </row>
    <row r="17" spans="1:6">
      <c r="A17" s="208" t="s">
        <v>5613</v>
      </c>
      <c r="B17" s="209">
        <v>689865</v>
      </c>
      <c r="C17" s="209">
        <f t="shared" si="0"/>
        <v>-689865</v>
      </c>
      <c r="D17" s="209">
        <v>0</v>
      </c>
      <c r="E17" s="209">
        <f t="shared" si="1"/>
        <v>960000</v>
      </c>
      <c r="F17" s="209">
        <v>960000</v>
      </c>
    </row>
    <row r="18" spans="1:6">
      <c r="A18" s="208" t="s">
        <v>5603</v>
      </c>
      <c r="B18" s="209">
        <f>SUM(B12:B17)</f>
        <v>1797826</v>
      </c>
      <c r="C18" s="209">
        <f t="shared" si="0"/>
        <v>-1187797</v>
      </c>
      <c r="D18" s="209">
        <f>SUM(D12:D17)</f>
        <v>610029</v>
      </c>
      <c r="E18" s="209">
        <f t="shared" si="1"/>
        <v>960000</v>
      </c>
      <c r="F18" s="209">
        <f>SUM(F12:F17)</f>
        <v>1570029</v>
      </c>
    </row>
    <row r="19" spans="1:6">
      <c r="A19" s="204" t="s">
        <v>5623</v>
      </c>
      <c r="B19" s="205"/>
      <c r="C19" s="205"/>
      <c r="D19" s="205"/>
      <c r="E19" s="205"/>
      <c r="F19" s="205"/>
    </row>
    <row r="20" spans="1:6">
      <c r="A20" s="1" t="s">
        <v>5593</v>
      </c>
      <c r="B20" s="9">
        <v>15726217</v>
      </c>
      <c r="C20" s="9">
        <f t="shared" si="0"/>
        <v>-340000</v>
      </c>
      <c r="D20" s="9">
        <f>B20-340000</f>
        <v>15386217</v>
      </c>
      <c r="E20" s="9">
        <f>F20-D20</f>
        <v>-281776</v>
      </c>
      <c r="F20" s="9">
        <v>15104441</v>
      </c>
    </row>
    <row r="21" spans="1:6">
      <c r="A21" s="1" t="s">
        <v>5591</v>
      </c>
      <c r="B21" s="9">
        <v>11000000</v>
      </c>
      <c r="C21" s="9">
        <f t="shared" si="0"/>
        <v>-370000</v>
      </c>
      <c r="D21" s="9">
        <f>B21-370000</f>
        <v>10630000</v>
      </c>
      <c r="E21" s="9">
        <f t="shared" si="1"/>
        <v>-370103</v>
      </c>
      <c r="F21" s="9">
        <f>D21-370103</f>
        <v>10259897</v>
      </c>
    </row>
    <row r="22" spans="1:6">
      <c r="A22" s="122" t="s">
        <v>5624</v>
      </c>
      <c r="B22" s="123">
        <v>20000000</v>
      </c>
      <c r="C22" s="123"/>
      <c r="D22" s="123">
        <v>20000000</v>
      </c>
      <c r="E22" s="123"/>
      <c r="F22" s="123">
        <v>20000000</v>
      </c>
    </row>
    <row r="23" spans="1:6">
      <c r="A23" s="206" t="s">
        <v>5602</v>
      </c>
      <c r="B23" s="207" t="s">
        <v>5619</v>
      </c>
      <c r="C23" s="207"/>
      <c r="D23" s="207" t="s">
        <v>5619</v>
      </c>
      <c r="E23" s="207"/>
      <c r="F23" s="207" t="s">
        <v>5619</v>
      </c>
    </row>
    <row r="24" spans="1:6">
      <c r="A24" s="1" t="s">
        <v>5616</v>
      </c>
      <c r="B24" s="9">
        <v>12000000</v>
      </c>
      <c r="C24" s="9">
        <f t="shared" si="0"/>
        <v>-345000</v>
      </c>
      <c r="D24" s="9">
        <f>B24-345000</f>
        <v>11655000</v>
      </c>
      <c r="E24" s="9">
        <f t="shared" si="1"/>
        <v>-335796</v>
      </c>
      <c r="F24" s="9">
        <f>D24-335796</f>
        <v>11319204</v>
      </c>
    </row>
    <row r="25" spans="1:6">
      <c r="A25" s="1" t="s">
        <v>5594</v>
      </c>
      <c r="B25" s="9">
        <v>20000000</v>
      </c>
      <c r="C25" s="9">
        <f t="shared" si="0"/>
        <v>-460000</v>
      </c>
      <c r="D25" s="9">
        <f>B25-460000</f>
        <v>19540000</v>
      </c>
      <c r="E25" s="9">
        <f t="shared" si="1"/>
        <v>-460000</v>
      </c>
      <c r="F25" s="9">
        <f>D25-460000</f>
        <v>19080000</v>
      </c>
    </row>
    <row r="26" spans="1:6">
      <c r="A26" s="202" t="s">
        <v>5627</v>
      </c>
      <c r="B26" s="203">
        <f>SUM(B20:B25)</f>
        <v>78726217</v>
      </c>
      <c r="C26" s="203">
        <f t="shared" si="0"/>
        <v>-1515000</v>
      </c>
      <c r="D26" s="203">
        <f>SUM(D20:D25)</f>
        <v>77211217</v>
      </c>
      <c r="E26" s="203">
        <f t="shared" si="1"/>
        <v>-1447675</v>
      </c>
      <c r="F26" s="203">
        <f>SUM(F20:F25)</f>
        <v>75763542</v>
      </c>
    </row>
    <row r="27" spans="1:6">
      <c r="A27" s="1" t="s">
        <v>5600</v>
      </c>
      <c r="B27" s="9">
        <v>346012</v>
      </c>
      <c r="C27" s="9">
        <f t="shared" si="0"/>
        <v>0</v>
      </c>
      <c r="D27" s="9">
        <v>346012</v>
      </c>
      <c r="E27" s="9">
        <f t="shared" si="1"/>
        <v>0</v>
      </c>
      <c r="F27" s="9">
        <v>346012</v>
      </c>
    </row>
    <row r="28" spans="1:6">
      <c r="A28" s="1" t="s">
        <v>5599</v>
      </c>
      <c r="B28" s="9">
        <v>370103</v>
      </c>
      <c r="C28" s="9">
        <f t="shared" si="0"/>
        <v>0</v>
      </c>
      <c r="D28" s="9">
        <v>370103</v>
      </c>
      <c r="E28" s="9">
        <f t="shared" si="1"/>
        <v>0</v>
      </c>
      <c r="F28" s="9">
        <v>370103</v>
      </c>
    </row>
    <row r="29" spans="1:6">
      <c r="A29" s="1" t="s">
        <v>5592</v>
      </c>
      <c r="B29" s="9">
        <v>0</v>
      </c>
      <c r="C29" s="9">
        <f t="shared" si="0"/>
        <v>0</v>
      </c>
      <c r="D29" s="9">
        <v>0</v>
      </c>
      <c r="E29" s="9">
        <f t="shared" si="1"/>
        <v>0</v>
      </c>
      <c r="F29" s="9">
        <v>0</v>
      </c>
    </row>
    <row r="30" spans="1:6">
      <c r="A30" s="1" t="s">
        <v>5615</v>
      </c>
      <c r="B30" s="9">
        <v>335796</v>
      </c>
      <c r="C30" s="9">
        <f t="shared" si="0"/>
        <v>0</v>
      </c>
      <c r="D30" s="9">
        <v>335796</v>
      </c>
      <c r="E30" s="9">
        <f t="shared" si="1"/>
        <v>0</v>
      </c>
      <c r="F30" s="9">
        <v>335796</v>
      </c>
    </row>
    <row r="31" spans="1:6">
      <c r="A31" s="1" t="s">
        <v>5601</v>
      </c>
      <c r="B31" s="9">
        <v>448994</v>
      </c>
      <c r="C31" s="9">
        <f t="shared" si="0"/>
        <v>0</v>
      </c>
      <c r="D31" s="9">
        <v>448994</v>
      </c>
      <c r="E31" s="9">
        <f t="shared" si="1"/>
        <v>0</v>
      </c>
      <c r="F31" s="9">
        <v>448994</v>
      </c>
    </row>
    <row r="32" spans="1:6">
      <c r="A32" s="83" t="s">
        <v>5628</v>
      </c>
      <c r="B32" s="110">
        <f>SUM(B27:B31)</f>
        <v>1500905</v>
      </c>
      <c r="C32" s="110">
        <f t="shared" si="0"/>
        <v>0</v>
      </c>
      <c r="D32" s="110">
        <f>SUM(D27:D31)</f>
        <v>1500905</v>
      </c>
      <c r="E32" s="110">
        <f t="shared" si="1"/>
        <v>0</v>
      </c>
      <c r="F32" s="110">
        <f>SUM(F27:F31)</f>
        <v>1500905</v>
      </c>
    </row>
    <row r="33" spans="1:6">
      <c r="A33" s="1" t="s">
        <v>5693</v>
      </c>
      <c r="B33" s="9">
        <v>1108710</v>
      </c>
      <c r="C33" s="9">
        <f t="shared" si="0"/>
        <v>32000</v>
      </c>
      <c r="D33" s="9">
        <v>1140710</v>
      </c>
      <c r="E33" s="9">
        <f t="shared" si="1"/>
        <v>-281176</v>
      </c>
      <c r="F33" s="9">
        <v>859534</v>
      </c>
    </row>
    <row r="34" spans="1:6">
      <c r="A34" s="1" t="s">
        <v>5694</v>
      </c>
      <c r="B34" s="9">
        <v>509314</v>
      </c>
      <c r="C34" s="9">
        <f t="shared" si="0"/>
        <v>0</v>
      </c>
      <c r="D34" s="9">
        <v>509314</v>
      </c>
      <c r="E34" s="9">
        <f t="shared" si="1"/>
        <v>500596</v>
      </c>
      <c r="F34" s="9">
        <v>1009910</v>
      </c>
    </row>
    <row r="35" spans="1:6">
      <c r="A35" s="1" t="s">
        <v>5695</v>
      </c>
      <c r="B35" s="9">
        <v>0</v>
      </c>
      <c r="C35" s="9">
        <f t="shared" si="0"/>
        <v>214800</v>
      </c>
      <c r="D35" s="9">
        <v>214800</v>
      </c>
      <c r="E35" s="9">
        <f t="shared" si="1"/>
        <v>-214800</v>
      </c>
      <c r="F35" s="9">
        <v>0</v>
      </c>
    </row>
    <row r="36" spans="1:6">
      <c r="A36" s="1" t="s">
        <v>5696</v>
      </c>
      <c r="B36" s="9">
        <f>SUM(B33:B35)</f>
        <v>1618024</v>
      </c>
      <c r="C36" s="9">
        <f t="shared" si="0"/>
        <v>246800</v>
      </c>
      <c r="D36" s="9">
        <f>SUM(D33:D35)</f>
        <v>1864824</v>
      </c>
      <c r="E36" s="9">
        <f t="shared" si="1"/>
        <v>4620</v>
      </c>
      <c r="F36" s="9">
        <f>SUM(F33:F35)</f>
        <v>1869444</v>
      </c>
    </row>
    <row r="37" spans="1:6">
      <c r="A37" s="1" t="s">
        <v>5598</v>
      </c>
      <c r="B37" s="9">
        <f>B32+B36</f>
        <v>3118929</v>
      </c>
      <c r="C37" s="9">
        <f t="shared" si="0"/>
        <v>246800</v>
      </c>
      <c r="D37" s="9">
        <f>D32+D36</f>
        <v>3365729</v>
      </c>
      <c r="E37" s="9">
        <f t="shared" si="1"/>
        <v>4620</v>
      </c>
      <c r="F37" s="9">
        <f>F32+F36</f>
        <v>3370349</v>
      </c>
    </row>
    <row r="38" spans="1:6">
      <c r="A38" s="122" t="s">
        <v>5697</v>
      </c>
      <c r="B38" s="123">
        <v>3455725</v>
      </c>
      <c r="C38" s="123">
        <f t="shared" si="0"/>
        <v>-302435</v>
      </c>
      <c r="D38" s="123">
        <v>3153290</v>
      </c>
      <c r="E38" s="123">
        <f t="shared" si="1"/>
        <v>-339685</v>
      </c>
      <c r="F38" s="123">
        <v>2813605</v>
      </c>
    </row>
    <row r="39" spans="1:6">
      <c r="A39" s="122" t="s">
        <v>5595</v>
      </c>
      <c r="B39" s="123">
        <f>B38-B33-B34-B27-B30-B31</f>
        <v>706899</v>
      </c>
      <c r="C39" s="123">
        <f t="shared" si="0"/>
        <v>-334435</v>
      </c>
      <c r="D39" s="123">
        <f>D38-D33-D34-D27-D30-D31</f>
        <v>372464</v>
      </c>
      <c r="E39" s="123">
        <f t="shared" si="1"/>
        <v>-559105</v>
      </c>
      <c r="F39" s="123">
        <f>F38-F33-F34-F27-F30-F31</f>
        <v>-186641</v>
      </c>
    </row>
    <row r="40" spans="1:6">
      <c r="A40" s="204" t="s">
        <v>5629</v>
      </c>
      <c r="B40" s="205"/>
      <c r="C40" s="205">
        <f t="shared" si="0"/>
        <v>0</v>
      </c>
      <c r="D40" s="205"/>
      <c r="E40" s="205">
        <f t="shared" si="1"/>
        <v>0</v>
      </c>
      <c r="F40" s="205"/>
    </row>
    <row r="41" spans="1:6">
      <c r="A41" s="1" t="s">
        <v>5622</v>
      </c>
      <c r="B41" s="9">
        <v>200000000</v>
      </c>
      <c r="C41" s="9">
        <f t="shared" si="0"/>
        <v>0</v>
      </c>
      <c r="D41" s="9">
        <v>200000000</v>
      </c>
      <c r="E41" s="9">
        <f t="shared" si="1"/>
        <v>-860186</v>
      </c>
      <c r="F41" s="9">
        <f>D41-860186</f>
        <v>199139814</v>
      </c>
    </row>
    <row r="42" spans="1:6">
      <c r="A42" s="1" t="s">
        <v>5626</v>
      </c>
      <c r="B42" s="9">
        <v>70000000</v>
      </c>
      <c r="D42" s="9">
        <v>70000000</v>
      </c>
      <c r="F42" s="9">
        <v>70000000</v>
      </c>
    </row>
    <row r="43" spans="1:6">
      <c r="A43" s="1" t="s">
        <v>5618</v>
      </c>
      <c r="B43" s="9">
        <v>130000000</v>
      </c>
      <c r="D43" s="9">
        <v>130000000</v>
      </c>
      <c r="F43" s="9">
        <v>130000000</v>
      </c>
    </row>
    <row r="44" spans="1:6">
      <c r="A44" s="1" t="s">
        <v>5680</v>
      </c>
      <c r="B44" s="9">
        <v>1100000</v>
      </c>
      <c r="C44" s="9">
        <f t="shared" si="0"/>
        <v>0</v>
      </c>
      <c r="D44" s="9">
        <v>1100000</v>
      </c>
      <c r="E44" s="9">
        <f t="shared" si="1"/>
        <v>0</v>
      </c>
      <c r="F44" s="9">
        <v>1100000</v>
      </c>
    </row>
    <row r="45" spans="1:6">
      <c r="A45" s="1" t="s">
        <v>5620</v>
      </c>
      <c r="B45" s="9">
        <v>5000000</v>
      </c>
      <c r="C45" s="9">
        <f t="shared" si="0"/>
        <v>0</v>
      </c>
      <c r="D45" s="9">
        <v>5000000</v>
      </c>
      <c r="E45" s="9">
        <f t="shared" si="1"/>
        <v>0</v>
      </c>
      <c r="F45" s="9">
        <v>5000000</v>
      </c>
    </row>
    <row r="46" spans="1:6">
      <c r="A46" s="122" t="s">
        <v>5621</v>
      </c>
      <c r="B46" s="123">
        <f>B45-B44</f>
        <v>3900000</v>
      </c>
      <c r="C46" s="123">
        <f t="shared" si="0"/>
        <v>0</v>
      </c>
      <c r="D46" s="123">
        <f>D45-D44</f>
        <v>3900000</v>
      </c>
      <c r="E46" s="123">
        <f t="shared" si="1"/>
        <v>0</v>
      </c>
      <c r="F46" s="123">
        <f>F45-F44</f>
        <v>3900000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6" t="s">
        <v>129</v>
      </c>
      <c r="I1" s="226"/>
      <c r="J1" s="226"/>
      <c r="K1" s="226"/>
      <c r="L1" s="226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20" t="s">
        <v>125</v>
      </c>
      <c r="I2" s="221"/>
      <c r="J2" s="221"/>
      <c r="K2" s="221"/>
      <c r="L2" s="222"/>
    </row>
    <row r="3" spans="2:12">
      <c r="B3" s="223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20"/>
      <c r="I3" s="221"/>
      <c r="J3" s="221"/>
      <c r="K3" s="221"/>
      <c r="L3" s="222"/>
    </row>
    <row r="4" spans="2:12">
      <c r="B4" s="224"/>
      <c r="C4" s="24" t="s">
        <v>122</v>
      </c>
      <c r="D4" s="24"/>
      <c r="E4" s="24"/>
      <c r="F4" s="24"/>
      <c r="G4" s="24" t="s">
        <v>121</v>
      </c>
      <c r="H4" s="220"/>
      <c r="I4" s="221"/>
      <c r="J4" s="221"/>
      <c r="K4" s="221"/>
      <c r="L4" s="222"/>
    </row>
    <row r="5" spans="2:12">
      <c r="B5" s="225"/>
      <c r="C5" s="24"/>
      <c r="D5" s="24"/>
      <c r="E5" s="24" t="s">
        <v>120</v>
      </c>
      <c r="F5" s="24"/>
      <c r="G5" s="24">
        <v>707266</v>
      </c>
      <c r="H5" s="220"/>
      <c r="I5" s="221"/>
      <c r="J5" s="221"/>
      <c r="K5" s="221"/>
      <c r="L5" s="222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20"/>
      <c r="I6" s="221"/>
      <c r="J6" s="221"/>
      <c r="K6" s="221"/>
      <c r="L6" s="222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20"/>
      <c r="I7" s="221"/>
      <c r="J7" s="221"/>
      <c r="K7" s="221"/>
      <c r="L7" s="222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20"/>
      <c r="I8" s="221"/>
      <c r="J8" s="221"/>
      <c r="K8" s="221"/>
      <c r="L8" s="222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20"/>
      <c r="I9" s="221"/>
      <c r="J9" s="221"/>
      <c r="K9" s="221"/>
      <c r="L9" s="222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20"/>
      <c r="I10" s="221"/>
      <c r="J10" s="221"/>
      <c r="K10" s="221"/>
      <c r="L10" s="222"/>
    </row>
    <row r="11" spans="2:12">
      <c r="B11" s="24"/>
      <c r="C11" s="24"/>
      <c r="D11" s="24"/>
      <c r="E11" s="24"/>
      <c r="F11" s="24"/>
      <c r="G11" s="24"/>
      <c r="H11" s="220"/>
      <c r="I11" s="221"/>
      <c r="J11" s="221"/>
      <c r="K11" s="221"/>
      <c r="L11" s="222"/>
    </row>
    <row r="12" spans="2:12">
      <c r="B12" s="24"/>
      <c r="C12" s="24"/>
      <c r="D12" s="24"/>
      <c r="E12" s="24"/>
      <c r="F12" s="24"/>
      <c r="G12" s="24"/>
      <c r="H12" s="220"/>
      <c r="I12" s="221"/>
      <c r="J12" s="221"/>
      <c r="K12" s="221"/>
      <c r="L12" s="222"/>
    </row>
    <row r="13" spans="2:12">
      <c r="B13" s="24"/>
      <c r="C13" s="24"/>
      <c r="D13" s="24"/>
      <c r="E13" s="24"/>
      <c r="F13" s="24"/>
      <c r="G13" s="24"/>
      <c r="H13" s="220"/>
      <c r="I13" s="221"/>
      <c r="J13" s="221"/>
      <c r="K13" s="221"/>
      <c r="L13" s="222"/>
    </row>
    <row r="14" spans="2:12">
      <c r="B14" s="24"/>
      <c r="C14" s="24"/>
      <c r="D14" s="24"/>
      <c r="E14" s="24"/>
      <c r="F14" s="24"/>
      <c r="G14" s="24"/>
      <c r="H14" s="220"/>
      <c r="I14" s="221"/>
      <c r="J14" s="221"/>
      <c r="K14" s="221"/>
      <c r="L14" s="222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7" t="s">
        <v>138</v>
      </c>
      <c r="H1" s="228"/>
      <c r="I1" s="228"/>
      <c r="J1" s="228"/>
      <c r="K1" s="228"/>
      <c r="L1" s="229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5653</v>
      </c>
      <c r="C26" s="213" t="s">
        <v>5654</v>
      </c>
      <c r="D26" s="212" t="s">
        <v>5655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4"/>
  <sheetViews>
    <sheetView workbookViewId="0">
      <selection activeCell="I22" sqref="I22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30000</v>
      </c>
      <c r="B3" s="130" t="s">
        <v>342</v>
      </c>
      <c r="C3" s="132">
        <v>2</v>
      </c>
      <c r="D3" s="130">
        <f>A3*C3</f>
        <v>60000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10000</v>
      </c>
      <c r="B4" s="82" t="s">
        <v>347</v>
      </c>
      <c r="C4" s="133">
        <v>0</v>
      </c>
      <c r="D4" s="82">
        <f t="shared" ref="D4:D13" si="0">A4*C4</f>
        <v>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5000</v>
      </c>
      <c r="B5" s="83" t="s">
        <v>348</v>
      </c>
      <c r="C5" s="133">
        <v>6</v>
      </c>
      <c r="D5" s="83">
        <f t="shared" si="0"/>
        <v>30000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0</v>
      </c>
      <c r="D10" s="128">
        <f t="shared" si="0"/>
        <v>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v>40000</v>
      </c>
      <c r="B12" s="125" t="s">
        <v>351</v>
      </c>
      <c r="C12" s="125">
        <v>2</v>
      </c>
      <c r="D12" s="125">
        <f t="shared" si="0"/>
        <v>80000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210000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231000.00000000003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1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40000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160000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176000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5651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D24">
        <v>198000</v>
      </c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2</v>
      </c>
      <c r="I44" s="130">
        <f>F44*H44</f>
        <v>60000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0</v>
      </c>
      <c r="I45" s="82">
        <f t="shared" ref="I45:I52" si="4">F45*H45</f>
        <v>0</v>
      </c>
    </row>
    <row r="46" spans="1:14">
      <c r="F46" s="83">
        <f>B43</f>
        <v>1141.25</v>
      </c>
      <c r="G46" s="83" t="s">
        <v>348</v>
      </c>
      <c r="H46" s="133">
        <f>C5</f>
        <v>6</v>
      </c>
      <c r="I46" s="83">
        <f t="shared" si="4"/>
        <v>6847.5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0</v>
      </c>
      <c r="I49" s="128">
        <f t="shared" si="4"/>
        <v>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2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106847.5</v>
      </c>
    </row>
    <row r="55" spans="6:9">
      <c r="F55" s="1"/>
      <c r="G55" s="119" t="s">
        <v>360</v>
      </c>
      <c r="H55" s="129" t="s">
        <v>357</v>
      </c>
      <c r="I55" s="129">
        <f>I54*1.1</f>
        <v>117532.25000000001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7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workbookViewId="0">
      <selection activeCell="H18" sqref="H18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zoomScale="80" zoomScaleNormal="80" workbookViewId="0">
      <pane ySplit="1" topLeftCell="A14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7" t="s">
        <v>265</v>
      </c>
      <c r="F57" s="218"/>
      <c r="G57" s="218"/>
      <c r="H57" s="218"/>
      <c r="I57" s="219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opLeftCell="A7" zoomScale="85" zoomScaleNormal="85" workbookViewId="0">
      <selection activeCell="E12" sqref="E12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5650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5649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1" sqref="C11"/>
    </sheetView>
  </sheetViews>
  <sheetFormatPr defaultRowHeight="16.5"/>
  <cols>
    <col min="2" max="2" width="17.5" customWidth="1"/>
  </cols>
  <sheetData>
    <row r="1" spans="2:6">
      <c r="F1" t="s">
        <v>5678</v>
      </c>
    </row>
    <row r="2" spans="2:6">
      <c r="B2" t="s">
        <v>5547</v>
      </c>
      <c r="C2">
        <v>36500</v>
      </c>
      <c r="D2">
        <v>4</v>
      </c>
      <c r="E2">
        <f>C2*D2</f>
        <v>146000</v>
      </c>
      <c r="F2">
        <v>15</v>
      </c>
    </row>
    <row r="3" spans="2:6">
      <c r="B3" t="s">
        <v>5548</v>
      </c>
      <c r="C3">
        <v>49800</v>
      </c>
      <c r="D3">
        <v>4</v>
      </c>
      <c r="E3">
        <f t="shared" ref="E3:E6" si="0">C3*D3</f>
        <v>199200</v>
      </c>
      <c r="F3">
        <v>20</v>
      </c>
    </row>
    <row r="4" spans="2:6">
      <c r="B4" t="s">
        <v>5675</v>
      </c>
      <c r="C4">
        <v>39990</v>
      </c>
      <c r="D4">
        <v>4</v>
      </c>
      <c r="E4">
        <f t="shared" si="0"/>
        <v>159960</v>
      </c>
      <c r="F4">
        <v>16</v>
      </c>
    </row>
    <row r="5" spans="2:6">
      <c r="B5" t="s">
        <v>5676</v>
      </c>
      <c r="C5">
        <v>41990</v>
      </c>
      <c r="D5">
        <v>4</v>
      </c>
      <c r="E5">
        <f t="shared" si="0"/>
        <v>167960</v>
      </c>
      <c r="F5">
        <v>17</v>
      </c>
    </row>
    <row r="6" spans="2:6">
      <c r="B6" t="s">
        <v>5677</v>
      </c>
      <c r="C6">
        <v>283900</v>
      </c>
      <c r="D6">
        <v>2.5</v>
      </c>
      <c r="E6">
        <f t="shared" si="0"/>
        <v>709750</v>
      </c>
      <c r="F6">
        <v>70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:Q1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5650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5649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/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5443</v>
      </c>
      <c r="H12" s="173"/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/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/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29" activePane="bottomLeft" state="frozen"/>
      <selection pane="bottomLeft" activeCell="E30" sqref="E30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29" activePane="bottomLeft" state="frozen"/>
      <selection pane="bottomLeft" activeCell="D44" sqref="D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50" activePane="bottomLeft" state="frozen"/>
      <selection pane="bottomLeft" activeCell="K61" sqref="K61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5648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zoomScale="70" zoomScaleNormal="70" workbookViewId="0">
      <pane ySplit="1" topLeftCell="A50" activePane="bottomLeft" state="frozen"/>
      <selection pane="bottomLeft" activeCell="A83" sqref="A8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5659</v>
      </c>
      <c r="I26" s="192"/>
      <c r="J26" s="192"/>
      <c r="K26" s="192" t="s">
        <v>5656</v>
      </c>
      <c r="L26" s="188"/>
      <c r="M26" s="188"/>
      <c r="N26" s="188"/>
      <c r="O26" s="188"/>
      <c r="P26" s="188" t="s">
        <v>5657</v>
      </c>
      <c r="Q26" s="188" t="s">
        <v>5658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96" t="s">
        <v>5671</v>
      </c>
      <c r="AB26" s="188"/>
      <c r="AC26" s="188"/>
      <c r="AD26" s="188"/>
      <c r="AE26" s="200" t="s">
        <v>299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8160000</v>
      </c>
      <c r="C32" s="13"/>
      <c r="I32" s="151"/>
      <c r="U32" s="124" t="s">
        <v>329</v>
      </c>
      <c r="V32" s="108" t="s">
        <v>339</v>
      </c>
      <c r="W32" s="1"/>
      <c r="Y32" s="93" t="s">
        <v>5663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4449100</v>
      </c>
      <c r="C34" s="15">
        <f>B34*0.1</f>
        <v>444910</v>
      </c>
      <c r="I34" s="151"/>
      <c r="U34" s="163" t="s">
        <v>5665</v>
      </c>
      <c r="V34" s="108" t="s">
        <v>340</v>
      </c>
      <c r="W34" s="1"/>
      <c r="X34" s="1"/>
      <c r="Y34" s="93" t="s">
        <v>5664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7345100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93"/>
      <c r="AE37" s="9"/>
    </row>
    <row r="38" spans="1:32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2">
      <c r="E48" s="151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5" t="s">
        <v>5660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12609100</v>
      </c>
      <c r="Y50" s="9"/>
      <c r="AE50" s="9"/>
    </row>
    <row r="51" spans="4:31">
      <c r="E51" s="155" t="s">
        <v>5539</v>
      </c>
      <c r="F51" s="9">
        <f>C35</f>
        <v>1260910</v>
      </c>
      <c r="Y51" s="9"/>
      <c r="AE51" s="9"/>
    </row>
    <row r="52" spans="4:31">
      <c r="E52" s="155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8">
        <f>SUM(AA6:AF6)</f>
        <v>2335000</v>
      </c>
      <c r="J59" s="171"/>
      <c r="K59" s="166" t="s">
        <v>5647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8">
        <f>SUM(AA7:AF7)</f>
        <v>1373000</v>
      </c>
      <c r="J60" s="94"/>
      <c r="K60" s="166" t="s">
        <v>5662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12609100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2521820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7345100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1469020</v>
      </c>
    </row>
    <row r="66" spans="5:9" ht="17.25" thickTop="1">
      <c r="H66" s="97"/>
      <c r="I66" s="160"/>
    </row>
    <row r="67" spans="5:9">
      <c r="E67" s="1" t="s">
        <v>5666</v>
      </c>
      <c r="F67" s="1">
        <v>4155250</v>
      </c>
    </row>
    <row r="68" spans="5:9">
      <c r="E68" s="1" t="s">
        <v>5667</v>
      </c>
      <c r="F68" s="1">
        <v>2085510</v>
      </c>
    </row>
    <row r="69" spans="5:9">
      <c r="E69" s="1" t="s">
        <v>5668</v>
      </c>
      <c r="F69" s="1">
        <v>13798750</v>
      </c>
    </row>
    <row r="70" spans="5:9">
      <c r="E70" s="1" t="s">
        <v>5669</v>
      </c>
      <c r="F70" s="1">
        <v>1379875</v>
      </c>
    </row>
    <row r="71" spans="5:9">
      <c r="E71" s="1" t="s">
        <v>5670</v>
      </c>
      <c r="F71" s="1">
        <v>689865</v>
      </c>
      <c r="G71" s="9">
        <f>F52+F71</f>
        <v>1718845</v>
      </c>
    </row>
    <row r="76" spans="5:9">
      <c r="E76" s="1" t="s">
        <v>5661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3153290</v>
      </c>
      <c r="B83" s="9">
        <f>A83+C35</f>
        <v>4414200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39"/>
  <sheetViews>
    <sheetView topLeftCell="F1" zoomScale="70" zoomScaleNormal="70" workbookViewId="0">
      <pane ySplit="1" topLeftCell="A2" activePane="bottomLeft" state="frozen"/>
      <selection pane="bottomLeft" activeCell="A84" sqref="A8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44927</v>
      </c>
      <c r="C1" s="66">
        <v>44928</v>
      </c>
      <c r="D1" s="66">
        <v>44929</v>
      </c>
      <c r="E1" s="66">
        <v>44930</v>
      </c>
      <c r="F1" s="66">
        <v>44931</v>
      </c>
      <c r="G1" s="66">
        <v>44932</v>
      </c>
      <c r="H1" s="66">
        <v>44933</v>
      </c>
      <c r="I1" s="66">
        <v>44934</v>
      </c>
      <c r="J1" s="66">
        <v>44935</v>
      </c>
      <c r="K1" s="66">
        <v>44936</v>
      </c>
      <c r="L1" s="66">
        <v>44937</v>
      </c>
      <c r="M1" s="66">
        <v>44938</v>
      </c>
      <c r="N1" s="66">
        <v>44939</v>
      </c>
      <c r="O1" s="66">
        <v>44940</v>
      </c>
      <c r="P1" s="66">
        <v>44941</v>
      </c>
      <c r="Q1" s="66">
        <v>44942</v>
      </c>
      <c r="R1" s="66">
        <v>44943</v>
      </c>
      <c r="S1" s="66">
        <v>44944</v>
      </c>
      <c r="T1" s="66">
        <v>44945</v>
      </c>
      <c r="U1" s="66">
        <v>44946</v>
      </c>
      <c r="V1" s="66">
        <v>44947</v>
      </c>
      <c r="W1" s="66">
        <v>44948</v>
      </c>
      <c r="X1" s="66">
        <v>44949</v>
      </c>
      <c r="Y1" s="66">
        <v>44950</v>
      </c>
      <c r="Z1" s="66">
        <v>44951</v>
      </c>
      <c r="AA1" s="66">
        <v>44952</v>
      </c>
      <c r="AB1" s="66">
        <v>44953</v>
      </c>
      <c r="AC1" s="66">
        <v>44954</v>
      </c>
      <c r="AD1" s="66">
        <v>44955</v>
      </c>
      <c r="AE1" s="66">
        <v>44956</v>
      </c>
      <c r="AF1" s="66">
        <v>44957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0</v>
      </c>
      <c r="E3" s="5">
        <f t="shared" si="0"/>
        <v>600000</v>
      </c>
      <c r="F3" s="5">
        <f>SUM(F12,F14,F16,F18,F20,F22)</f>
        <v>352000</v>
      </c>
      <c r="G3" s="5">
        <f t="shared" si="0"/>
        <v>0</v>
      </c>
      <c r="H3" s="5">
        <f>SUM(H12,H14,H16,H18,H20,H22)</f>
        <v>409000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80000</v>
      </c>
      <c r="L3" s="5">
        <f t="shared" si="0"/>
        <v>0</v>
      </c>
      <c r="M3" s="5">
        <f t="shared" si="0"/>
        <v>532400</v>
      </c>
      <c r="N3" s="5">
        <f t="shared" si="0"/>
        <v>983950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50000</v>
      </c>
      <c r="T3" s="5">
        <f t="shared" si="0"/>
        <v>0</v>
      </c>
      <c r="U3" s="5">
        <f t="shared" si="0"/>
        <v>0</v>
      </c>
      <c r="V3" s="5">
        <f t="shared" si="0"/>
        <v>32000</v>
      </c>
      <c r="W3" s="5">
        <f t="shared" si="0"/>
        <v>0</v>
      </c>
      <c r="X3" s="5">
        <f t="shared" si="0"/>
        <v>306000</v>
      </c>
      <c r="Y3" s="5">
        <f>SUM(Y12,Y14,Y16,Y18,Y20,Y22)</f>
        <v>0</v>
      </c>
      <c r="Z3" s="5">
        <f t="shared" si="0"/>
        <v>10000</v>
      </c>
      <c r="AA3" s="5">
        <f t="shared" si="0"/>
        <v>1034000</v>
      </c>
      <c r="AB3" s="5">
        <f t="shared" si="0"/>
        <v>0</v>
      </c>
      <c r="AC3" s="5">
        <f t="shared" si="0"/>
        <v>162000</v>
      </c>
      <c r="AD3" s="5">
        <f t="shared" si="0"/>
        <v>55000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F4" s="112">
        <f>180000+80000+80000+80000+80000+80000</f>
        <v>580000</v>
      </c>
      <c r="G4" s="112">
        <f>100000+80000+80000+70000+80000</f>
        <v>410000</v>
      </c>
      <c r="I4" s="146"/>
      <c r="J4" s="112">
        <v>480000</v>
      </c>
      <c r="L4" s="112">
        <v>150000</v>
      </c>
      <c r="N4" s="112">
        <f>60000+260000</f>
        <v>320000</v>
      </c>
      <c r="O4" s="112">
        <v>340000</v>
      </c>
      <c r="S4" s="112">
        <v>180000</v>
      </c>
      <c r="U4" s="112">
        <v>200000</v>
      </c>
      <c r="X4" s="112">
        <f>180000+80000</f>
        <v>260000</v>
      </c>
      <c r="Z4" s="112">
        <v>122000</v>
      </c>
      <c r="AB4" s="112">
        <f>240000+240000+100000</f>
        <v>580000</v>
      </c>
      <c r="AC4" s="112">
        <f>320000+80000</f>
        <v>400000</v>
      </c>
    </row>
    <row r="5" spans="1:35" s="6" customFormat="1" ht="17.25">
      <c r="A5" s="47" t="s">
        <v>0</v>
      </c>
      <c r="H5" s="6">
        <f>480000+150000</f>
        <v>630000</v>
      </c>
      <c r="I5" s="147"/>
      <c r="K5" s="6">
        <v>6000</v>
      </c>
      <c r="M5" s="6">
        <f>230000-60000</f>
        <v>170000</v>
      </c>
      <c r="N5" s="6">
        <f>480000+400000</f>
        <v>880000</v>
      </c>
      <c r="V5" s="6">
        <v>390000</v>
      </c>
      <c r="Z5" s="6">
        <v>240000</v>
      </c>
      <c r="AC5" s="6">
        <f>75000+180000</f>
        <v>255000</v>
      </c>
      <c r="AD5" s="6">
        <v>180000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0</v>
      </c>
      <c r="E6" s="7">
        <f>E3+E4+E5</f>
        <v>600000</v>
      </c>
      <c r="F6" s="7">
        <f t="shared" ref="F6:AE6" si="1">F3+F4+F5</f>
        <v>932000</v>
      </c>
      <c r="G6" s="7">
        <f t="shared" si="1"/>
        <v>410000</v>
      </c>
      <c r="H6" s="7">
        <f t="shared" si="1"/>
        <v>1039000</v>
      </c>
      <c r="I6" s="115">
        <f>I3+I4+I5</f>
        <v>0</v>
      </c>
      <c r="J6" s="7">
        <f>J3+J4+J5</f>
        <v>480000</v>
      </c>
      <c r="K6" s="7">
        <f>K3+K4+K5</f>
        <v>86000</v>
      </c>
      <c r="L6" s="7">
        <f t="shared" si="1"/>
        <v>150000</v>
      </c>
      <c r="M6" s="7">
        <f t="shared" si="1"/>
        <v>702400</v>
      </c>
      <c r="N6" s="7">
        <f t="shared" si="1"/>
        <v>2183950</v>
      </c>
      <c r="O6" s="7">
        <f t="shared" si="1"/>
        <v>340000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230000</v>
      </c>
      <c r="T6" s="7">
        <f t="shared" si="1"/>
        <v>0</v>
      </c>
      <c r="U6" s="7">
        <f t="shared" si="1"/>
        <v>200000</v>
      </c>
      <c r="V6" s="7">
        <f t="shared" si="1"/>
        <v>422000</v>
      </c>
      <c r="W6" s="7">
        <f t="shared" si="1"/>
        <v>0</v>
      </c>
      <c r="X6" s="7">
        <f>X3+X4+X5</f>
        <v>566000</v>
      </c>
      <c r="Y6" s="7">
        <f>Y3+Y4+Y5</f>
        <v>0</v>
      </c>
      <c r="Z6" s="7">
        <f t="shared" si="1"/>
        <v>372000</v>
      </c>
      <c r="AA6" s="7">
        <f t="shared" si="1"/>
        <v>1034000</v>
      </c>
      <c r="AB6" s="7">
        <f t="shared" si="1"/>
        <v>580000</v>
      </c>
      <c r="AC6" s="7">
        <f t="shared" si="1"/>
        <v>817000</v>
      </c>
      <c r="AD6" s="7">
        <f t="shared" si="1"/>
        <v>235000</v>
      </c>
      <c r="AE6" s="7">
        <f t="shared" si="1"/>
        <v>0</v>
      </c>
      <c r="AF6" s="7">
        <f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0</v>
      </c>
      <c r="E7" s="8">
        <f>E6+E8</f>
        <v>268000</v>
      </c>
      <c r="F7" s="8">
        <f t="shared" si="2"/>
        <v>468000</v>
      </c>
      <c r="G7" s="8">
        <f t="shared" si="2"/>
        <v>198000</v>
      </c>
      <c r="H7" s="8">
        <f>H6+H8</f>
        <v>535000</v>
      </c>
      <c r="I7" s="148">
        <f>I6+I8</f>
        <v>0</v>
      </c>
      <c r="J7" s="8">
        <f>J6+J8</f>
        <v>228000</v>
      </c>
      <c r="K7" s="8">
        <f>K6+K8</f>
        <v>74000</v>
      </c>
      <c r="L7" s="8">
        <f t="shared" si="2"/>
        <v>90000</v>
      </c>
      <c r="M7" s="8">
        <f t="shared" si="2"/>
        <v>360400</v>
      </c>
      <c r="N7" s="8">
        <f t="shared" si="2"/>
        <v>1313950</v>
      </c>
      <c r="O7" s="8">
        <f t="shared" si="2"/>
        <v>168000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>S6+S8</f>
        <v>138000</v>
      </c>
      <c r="T7" s="8">
        <f t="shared" si="2"/>
        <v>0</v>
      </c>
      <c r="U7" s="8">
        <f>U6+U8</f>
        <v>108000</v>
      </c>
      <c r="V7" s="8">
        <f t="shared" si="2"/>
        <v>210000</v>
      </c>
      <c r="W7" s="8">
        <f t="shared" si="2"/>
        <v>0</v>
      </c>
      <c r="X7" s="8">
        <f t="shared" si="2"/>
        <v>282000</v>
      </c>
      <c r="Y7" s="8">
        <f t="shared" si="2"/>
        <v>0</v>
      </c>
      <c r="Z7" s="8">
        <f t="shared" si="2"/>
        <v>240000</v>
      </c>
      <c r="AA7" s="8">
        <f t="shared" si="2"/>
        <v>550000</v>
      </c>
      <c r="AB7" s="8">
        <f t="shared" si="2"/>
        <v>288000</v>
      </c>
      <c r="AC7" s="8">
        <f t="shared" si="2"/>
        <v>461000</v>
      </c>
      <c r="AD7" s="8">
        <f t="shared" si="2"/>
        <v>155000</v>
      </c>
      <c r="AE7" s="8">
        <f t="shared" si="2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0</v>
      </c>
      <c r="E8" s="18">
        <f t="shared" si="3"/>
        <v>-332000</v>
      </c>
      <c r="F8" s="18">
        <f t="shared" si="3"/>
        <v>-464000</v>
      </c>
      <c r="G8" s="18">
        <f t="shared" si="3"/>
        <v>-212000</v>
      </c>
      <c r="H8" s="18">
        <f>SUM(H13,H15,H17,H19,H21,H11,H23,H25)</f>
        <v>-504000</v>
      </c>
      <c r="I8" s="149">
        <f t="shared" ref="I8:AE8" si="4">SUM(I13,I15,I17,I19,I21,I11,I23,I25)</f>
        <v>0</v>
      </c>
      <c r="J8" s="18">
        <f t="shared" si="4"/>
        <v>-252000</v>
      </c>
      <c r="K8" s="18">
        <f t="shared" si="4"/>
        <v>-12000</v>
      </c>
      <c r="L8" s="18">
        <f t="shared" si="4"/>
        <v>-60000</v>
      </c>
      <c r="M8" s="18">
        <f t="shared" si="4"/>
        <v>-342000</v>
      </c>
      <c r="N8" s="18">
        <f t="shared" si="4"/>
        <v>-870000</v>
      </c>
      <c r="O8" s="18">
        <f>SUM(O13,O15,O17,O19,O21,O11,O23,O25)</f>
        <v>-172000</v>
      </c>
      <c r="P8" s="18">
        <f t="shared" si="4"/>
        <v>0</v>
      </c>
      <c r="Q8" s="18">
        <f t="shared" si="4"/>
        <v>0</v>
      </c>
      <c r="R8" s="18">
        <f t="shared" si="4"/>
        <v>0</v>
      </c>
      <c r="S8" s="18">
        <f>SUM(S13,S15,S17,S19,S21,S11,S23,S25)</f>
        <v>-92000</v>
      </c>
      <c r="T8" s="18">
        <f t="shared" si="4"/>
        <v>0</v>
      </c>
      <c r="U8" s="18">
        <f>SUM(U13,U15,U17,U19,U21,U11,U23,U25)</f>
        <v>-92000</v>
      </c>
      <c r="V8" s="18">
        <f>SUM(V13,V15,V17,V19,V21,V11,V23,V25)</f>
        <v>-212000</v>
      </c>
      <c r="W8" s="18">
        <f>SUM(W13,W15,W17,W19,W21,W11,W23,W25)</f>
        <v>0</v>
      </c>
      <c r="X8" s="18">
        <f>SUM(X13,X15,X17,X19,X21,X11,X23,X25)</f>
        <v>-284000</v>
      </c>
      <c r="Y8" s="18">
        <f t="shared" si="4"/>
        <v>0</v>
      </c>
      <c r="Z8" s="18">
        <f t="shared" si="4"/>
        <v>-132000</v>
      </c>
      <c r="AA8" s="18">
        <f>SUM(AA13,AA15,AA17,AA19,AA21,AA11,AA23,AA25)</f>
        <v>-484000</v>
      </c>
      <c r="AB8" s="18">
        <f>SUM(AB13,AB15,AB17,AB19,AB21,AB11,AB23,AB25)</f>
        <v>-292000</v>
      </c>
      <c r="AC8" s="18">
        <f t="shared" si="4"/>
        <v>-356000</v>
      </c>
      <c r="AD8" s="18">
        <f t="shared" si="4"/>
        <v>-80000</v>
      </c>
      <c r="AE8" s="18">
        <f t="shared" si="4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E13" s="11">
        <v>-320000</v>
      </c>
      <c r="F13" s="11">
        <f>-80000-40000-40000-40000</f>
        <v>-200000</v>
      </c>
      <c r="G13" s="11">
        <v>-40000</v>
      </c>
      <c r="H13" s="152">
        <f>-12000-12000</f>
        <v>-24000</v>
      </c>
      <c r="I13" s="152"/>
      <c r="J13" s="11">
        <v>-12000</v>
      </c>
      <c r="K13" s="11">
        <v>-12000</v>
      </c>
      <c r="L13" s="11">
        <v>-60000</v>
      </c>
      <c r="M13" s="11">
        <v>-200000</v>
      </c>
      <c r="N13" s="11">
        <f>-240000-36000-24000</f>
        <v>-300000</v>
      </c>
      <c r="O13" s="11">
        <v>-12000</v>
      </c>
      <c r="S13" s="11">
        <v>-12000</v>
      </c>
      <c r="U13" s="11">
        <v>-12000</v>
      </c>
      <c r="V13" s="11">
        <v>-12000</v>
      </c>
      <c r="X13" s="11">
        <f>-12000-12000</f>
        <v>-24000</v>
      </c>
      <c r="Z13" s="11">
        <v>-12000</v>
      </c>
      <c r="AA13" s="11">
        <f>-12000-12000</f>
        <v>-24000</v>
      </c>
      <c r="AB13" s="11">
        <v>-12000</v>
      </c>
      <c r="AC13" s="11">
        <v>-80000</v>
      </c>
    </row>
    <row r="14" spans="1:35" s="12" customFormat="1" ht="17.25">
      <c r="A14" s="56" t="s">
        <v>7</v>
      </c>
      <c r="D14" s="72"/>
      <c r="E14" s="12">
        <v>300000</v>
      </c>
      <c r="F14" s="12">
        <v>176000</v>
      </c>
      <c r="H14" s="72">
        <v>35000</v>
      </c>
      <c r="I14" s="72"/>
      <c r="K14" s="12">
        <v>80000</v>
      </c>
      <c r="M14" s="12">
        <v>422400</v>
      </c>
      <c r="N14" s="12">
        <v>352000</v>
      </c>
      <c r="S14" s="12">
        <v>50000</v>
      </c>
      <c r="V14" s="12">
        <v>32000</v>
      </c>
      <c r="X14" s="12">
        <v>306000</v>
      </c>
      <c r="Z14" s="12">
        <v>10000</v>
      </c>
      <c r="AA14" s="72">
        <f>704000+330000</f>
        <v>1034000</v>
      </c>
      <c r="AC14" s="12">
        <v>74000</v>
      </c>
      <c r="AD14" s="12">
        <v>45000</v>
      </c>
    </row>
    <row r="15" spans="1:35" s="10" customFormat="1" ht="17.25">
      <c r="A15" s="54" t="s">
        <v>9</v>
      </c>
      <c r="E15" s="10">
        <v>-12000</v>
      </c>
      <c r="F15" s="10">
        <f>-12000-12000</f>
        <v>-24000</v>
      </c>
      <c r="G15" s="10">
        <v>-12000</v>
      </c>
      <c r="H15" s="71">
        <f>-120000-120000</f>
        <v>-240000</v>
      </c>
      <c r="I15" s="71"/>
      <c r="J15" s="10">
        <v>-240000</v>
      </c>
      <c r="M15" s="10">
        <v>-40000</v>
      </c>
      <c r="N15" s="10">
        <v>-160000</v>
      </c>
      <c r="O15" s="10">
        <v>-160000</v>
      </c>
      <c r="S15" s="10">
        <v>-80000</v>
      </c>
      <c r="U15" s="10">
        <v>-80000</v>
      </c>
      <c r="V15" s="10">
        <v>-40000</v>
      </c>
      <c r="X15" s="10">
        <f>-80000-40000</f>
        <v>-120000</v>
      </c>
      <c r="Z15" s="10">
        <v>-120000</v>
      </c>
      <c r="AA15" s="10">
        <v>-320000</v>
      </c>
      <c r="AB15" s="10">
        <v>-120000</v>
      </c>
      <c r="AC15" s="10">
        <f>-24000-12000</f>
        <v>-36000</v>
      </c>
      <c r="AD15" s="10">
        <v>-40000</v>
      </c>
    </row>
    <row r="16" spans="1:35" s="12" customFormat="1" ht="17.25">
      <c r="A16" s="56" t="s">
        <v>6</v>
      </c>
      <c r="E16" s="12">
        <v>300000</v>
      </c>
      <c r="F16" s="12">
        <v>176000</v>
      </c>
      <c r="H16" s="72">
        <v>374000</v>
      </c>
      <c r="I16" s="72"/>
      <c r="M16" s="12">
        <v>110000</v>
      </c>
      <c r="N16" s="12">
        <v>356950</v>
      </c>
      <c r="Y16" s="72"/>
      <c r="Z16" s="72"/>
      <c r="AC16" s="12">
        <v>88000</v>
      </c>
      <c r="AD16" s="12">
        <v>10000</v>
      </c>
    </row>
    <row r="17" spans="1:38" s="10" customFormat="1" ht="17.25">
      <c r="A17" s="54" t="s">
        <v>8</v>
      </c>
      <c r="F17" s="10">
        <f>-40000-40000</f>
        <v>-80000</v>
      </c>
      <c r="G17" s="10">
        <v>-40000</v>
      </c>
      <c r="H17" s="71">
        <v>-80000</v>
      </c>
      <c r="I17" s="71"/>
      <c r="M17" s="10">
        <v>-40000</v>
      </c>
      <c r="N17" s="10">
        <f>-40000-60000-50000</f>
        <v>-150000</v>
      </c>
      <c r="V17" s="10">
        <f>-120000-40000</f>
        <v>-160000</v>
      </c>
      <c r="X17" s="10">
        <v>-120000</v>
      </c>
      <c r="AA17" s="10">
        <v>-140000</v>
      </c>
      <c r="AB17" s="10">
        <v>-120000</v>
      </c>
      <c r="AC17" s="10">
        <f>-80000-80000</f>
        <v>-160000</v>
      </c>
      <c r="AD17" s="10">
        <v>-40000</v>
      </c>
    </row>
    <row r="18" spans="1:38" s="12" customFormat="1" ht="17.25">
      <c r="A18" s="56" t="s">
        <v>10</v>
      </c>
      <c r="I18" s="72"/>
      <c r="N18" s="12">
        <v>176000</v>
      </c>
    </row>
    <row r="19" spans="1:38" s="10" customFormat="1" ht="17.25">
      <c r="A19" s="54" t="s">
        <v>11</v>
      </c>
      <c r="F19" s="10">
        <v>-80000</v>
      </c>
      <c r="G19" s="10">
        <f>-40000-40000-40000</f>
        <v>-120000</v>
      </c>
      <c r="H19" s="10">
        <v>-160000</v>
      </c>
      <c r="I19" s="71"/>
      <c r="M19" s="10">
        <v>-40000</v>
      </c>
      <c r="N19" s="10">
        <v>-80000</v>
      </c>
      <c r="X19" s="10">
        <v>-20000</v>
      </c>
      <c r="AB19" s="10">
        <v>-40000</v>
      </c>
      <c r="AC19" s="10">
        <v>-40000</v>
      </c>
      <c r="AD19" s="10" t="s">
        <v>5685</v>
      </c>
    </row>
    <row r="20" spans="1:38" s="12" customFormat="1" ht="17.25">
      <c r="A20" s="56" t="s">
        <v>10</v>
      </c>
      <c r="I20" s="72"/>
      <c r="N20" s="12">
        <v>99000</v>
      </c>
    </row>
    <row r="21" spans="1:38" s="10" customFormat="1" ht="17.25">
      <c r="A21" s="54" t="s">
        <v>11</v>
      </c>
      <c r="F21" s="10">
        <v>-80000</v>
      </c>
      <c r="I21" s="71"/>
      <c r="M21" s="10">
        <f>-10000-12000</f>
        <v>-22000</v>
      </c>
      <c r="N21" s="10">
        <f>-80000-80000</f>
        <v>-160000</v>
      </c>
      <c r="AC21" s="10">
        <v>-40000</v>
      </c>
    </row>
    <row r="22" spans="1:38" s="12" customFormat="1" ht="17.25">
      <c r="A22" s="56" t="s">
        <v>12</v>
      </c>
      <c r="I22" s="72"/>
    </row>
    <row r="23" spans="1:38" s="10" customFormat="1" ht="17.25">
      <c r="A23" s="54" t="s">
        <v>13</v>
      </c>
      <c r="I23" s="71"/>
      <c r="N23" s="10">
        <v>-20000</v>
      </c>
    </row>
    <row r="24" spans="1:38" s="9" customFormat="1" ht="17.25">
      <c r="A24" s="53"/>
      <c r="I24" s="151"/>
    </row>
    <row r="25" spans="1:38" s="9" customFormat="1" ht="17.25">
      <c r="A25" s="53"/>
      <c r="I25" s="151"/>
    </row>
    <row r="26" spans="1:38" s="20" customFormat="1" ht="59.25" customHeight="1">
      <c r="A26" s="57" t="s">
        <v>17</v>
      </c>
      <c r="B26" s="187" t="s">
        <v>5672</v>
      </c>
      <c r="C26" s="200" t="s">
        <v>299</v>
      </c>
      <c r="D26" s="200" t="s">
        <v>299</v>
      </c>
      <c r="E26" s="188"/>
      <c r="F26" s="188"/>
      <c r="G26" s="188"/>
      <c r="H26" s="188"/>
      <c r="I26" s="200" t="s">
        <v>299</v>
      </c>
      <c r="J26" s="188"/>
      <c r="K26" s="188"/>
      <c r="L26" s="188"/>
      <c r="M26" s="188"/>
      <c r="N26" s="188"/>
      <c r="O26" s="188"/>
      <c r="P26" s="200" t="s">
        <v>299</v>
      </c>
      <c r="Q26" s="200" t="s">
        <v>299</v>
      </c>
      <c r="R26" s="200" t="s">
        <v>299</v>
      </c>
      <c r="S26" s="188"/>
      <c r="T26" s="200" t="s">
        <v>299</v>
      </c>
      <c r="U26" s="188"/>
      <c r="V26" s="188"/>
      <c r="W26" s="187" t="s">
        <v>5672</v>
      </c>
      <c r="X26" s="188"/>
      <c r="Y26" s="187" t="s">
        <v>5672</v>
      </c>
      <c r="Z26" s="188"/>
      <c r="AA26" s="188"/>
      <c r="AB26" s="188"/>
      <c r="AC26" s="188"/>
      <c r="AD26" s="188"/>
      <c r="AE26" s="200" t="s">
        <v>299</v>
      </c>
      <c r="AF26" s="200" t="s">
        <v>299</v>
      </c>
      <c r="AG26" s="188"/>
      <c r="AH26" s="188"/>
      <c r="AI26" s="188"/>
      <c r="AJ26" s="188"/>
      <c r="AK26" s="188"/>
      <c r="AL26" s="188"/>
    </row>
    <row r="27" spans="1:38" s="19" customFormat="1" ht="17.25">
      <c r="A27" s="58"/>
      <c r="B27" s="20"/>
      <c r="C27" s="20"/>
      <c r="I27" s="153"/>
    </row>
    <row r="28" spans="1:38" s="19" customFormat="1" ht="17.25">
      <c r="A28" s="58"/>
      <c r="B28" s="20"/>
      <c r="C28" s="20"/>
      <c r="I28" s="153"/>
    </row>
    <row r="29" spans="1:38" s="19" customFormat="1" ht="17.25">
      <c r="A29" s="58"/>
      <c r="I29" s="153"/>
    </row>
    <row r="30" spans="1:38" s="21" customFormat="1" ht="17.25">
      <c r="A30" s="59" t="s">
        <v>22</v>
      </c>
      <c r="I30" s="154"/>
    </row>
    <row r="31" spans="1:38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8" s="9" customFormat="1" ht="18" thickBot="1">
      <c r="A32" s="77" t="s">
        <v>243</v>
      </c>
      <c r="B32" s="78">
        <f>SUM(B5:AF5)+SUM(B4:AF4)</f>
        <v>6773000</v>
      </c>
      <c r="C32" s="13"/>
      <c r="I32" s="151"/>
      <c r="U32" s="124" t="s">
        <v>329</v>
      </c>
      <c r="V32" s="108" t="s">
        <v>339</v>
      </c>
      <c r="W32" s="1"/>
      <c r="Y32" s="93" t="s">
        <v>268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4606350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4606350</v>
      </c>
      <c r="C34" s="15">
        <f>B34*0.1</f>
        <v>460635</v>
      </c>
      <c r="I34" s="151"/>
      <c r="U34" s="163" t="s">
        <v>372</v>
      </c>
      <c r="V34" s="108" t="s">
        <v>340</v>
      </c>
      <c r="W34" s="1"/>
      <c r="X34" s="1"/>
      <c r="Y34" s="93" t="s">
        <v>5664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11379350</v>
      </c>
      <c r="C35" s="15">
        <f>B35*0.1</f>
        <v>1137935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6135350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-5244000</v>
      </c>
      <c r="C37" s="9"/>
      <c r="E37" s="9"/>
      <c r="O37" s="193"/>
      <c r="AE37" s="9"/>
    </row>
    <row r="38" spans="1:32" ht="18" thickBot="1">
      <c r="A38" s="65" t="s">
        <v>189</v>
      </c>
      <c r="B38" s="45">
        <v>0</v>
      </c>
      <c r="D38" s="9"/>
      <c r="P38" s="9"/>
      <c r="AE38" s="9"/>
    </row>
    <row r="39" spans="1:32" ht="18" thickBot="1">
      <c r="A39" s="88" t="s">
        <v>193</v>
      </c>
      <c r="B39" s="89">
        <f>(207000+SUM(B5:AF5)+SUM(B8:AF8))+300000+300000+300000+250000+300000+600000+240000+10000-200000+300000+300000-200000+5000+300000</f>
        <v>519000</v>
      </c>
      <c r="C39" s="113"/>
      <c r="D39" s="114" t="s">
        <v>315</v>
      </c>
      <c r="E39" s="9"/>
      <c r="F39" s="9"/>
      <c r="P39" s="9"/>
      <c r="R39" s="9"/>
      <c r="AE39" s="9"/>
    </row>
    <row r="40" spans="1:32" ht="18" thickBot="1">
      <c r="A40" s="86" t="s">
        <v>197</v>
      </c>
      <c r="B40" s="87">
        <f>SUM(B4:AF4)</f>
        <v>4022000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6135350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9147350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677450</v>
      </c>
      <c r="P44" s="9"/>
      <c r="Y44" s="9"/>
      <c r="AE44" s="9"/>
    </row>
    <row r="45" spans="1:32">
      <c r="A45" s="1" t="s">
        <v>5687</v>
      </c>
      <c r="B45" s="9">
        <v>683810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2183810</v>
      </c>
      <c r="C47" s="9">
        <f>B45+B46</f>
        <v>2183810</v>
      </c>
      <c r="E47" s="155"/>
      <c r="Y47" s="9"/>
      <c r="AE47" s="9"/>
    </row>
    <row r="48" spans="1:32">
      <c r="E48" s="151" t="s">
        <v>5553</v>
      </c>
      <c r="F48" s="9">
        <f>B34</f>
        <v>4606350</v>
      </c>
      <c r="G48" s="1" t="s">
        <v>5541</v>
      </c>
      <c r="H48" s="15">
        <f>B34-(B34*0.005)</f>
        <v>4583318.25</v>
      </c>
      <c r="Y48" s="9"/>
      <c r="AE48" s="9"/>
    </row>
    <row r="49" spans="4:31">
      <c r="E49" s="155" t="s">
        <v>5682</v>
      </c>
      <c r="F49" s="9">
        <f>B47</f>
        <v>2183810</v>
      </c>
      <c r="Y49" s="9"/>
      <c r="AE49" s="9"/>
    </row>
    <row r="50" spans="4:31">
      <c r="E50" s="155" t="s">
        <v>5551</v>
      </c>
      <c r="F50" s="9">
        <f>B35</f>
        <v>11379350</v>
      </c>
      <c r="Y50" s="9"/>
      <c r="AE50" s="9"/>
    </row>
    <row r="51" spans="4:31">
      <c r="E51" s="155" t="s">
        <v>5539</v>
      </c>
      <c r="F51" s="9">
        <f>C35</f>
        <v>1137935</v>
      </c>
      <c r="Y51" s="9"/>
      <c r="AE51" s="9"/>
    </row>
    <row r="52" spans="4:31">
      <c r="E52" s="155" t="s">
        <v>5688</v>
      </c>
      <c r="F52" s="9">
        <f>F48-F49-F51</f>
        <v>1284605</v>
      </c>
      <c r="G52" s="1" t="s">
        <v>5541</v>
      </c>
      <c r="H52" s="9">
        <f>H48-F49-F51</f>
        <v>1261573.25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600000</v>
      </c>
      <c r="F59" s="101">
        <f>SUM(F6:L6)</f>
        <v>3097000</v>
      </c>
      <c r="G59" s="103">
        <f>SUM(M6:S6)</f>
        <v>3456350</v>
      </c>
      <c r="H59" s="107">
        <f>SUM(T6:Z6)</f>
        <v>1560000</v>
      </c>
      <c r="I59" s="158">
        <f>SUM(AA6:AF6)</f>
        <v>2666000</v>
      </c>
      <c r="J59" s="171"/>
      <c r="K59" s="166" t="s">
        <v>5673</v>
      </c>
      <c r="L59" s="165">
        <v>341270</v>
      </c>
      <c r="M59" s="95"/>
    </row>
    <row r="60" spans="4:31" ht="18" thickTop="1" thickBot="1">
      <c r="E60" s="99">
        <f>SUM(B7:E7)</f>
        <v>268000</v>
      </c>
      <c r="F60" s="101">
        <f>SUM(F7:L7)</f>
        <v>1593000</v>
      </c>
      <c r="G60" s="103">
        <f>SUM(M7:S7)</f>
        <v>1980350</v>
      </c>
      <c r="H60" s="107">
        <f>SUM(T7:Z7)</f>
        <v>840000</v>
      </c>
      <c r="I60" s="158">
        <f>SUM(AA7:AF7)</f>
        <v>1454000</v>
      </c>
      <c r="J60" s="94"/>
      <c r="K60" s="166" t="s">
        <v>5674</v>
      </c>
      <c r="L60" s="165">
        <v>30300</v>
      </c>
      <c r="M60" s="95"/>
    </row>
    <row r="61" spans="4:31" ht="18" thickTop="1" thickBot="1">
      <c r="J61" s="94"/>
      <c r="K61" s="166" t="s">
        <v>5683</v>
      </c>
      <c r="L61" s="165">
        <v>210120</v>
      </c>
      <c r="M61" s="95"/>
    </row>
    <row r="62" spans="4:31" ht="18" thickTop="1" thickBot="1">
      <c r="G62" s="94"/>
      <c r="H62" s="99" t="s">
        <v>264</v>
      </c>
      <c r="I62" s="159">
        <f>SUM(E59:I59)</f>
        <v>11379350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2275870</v>
      </c>
      <c r="J63" s="94"/>
      <c r="K63" s="172" t="s">
        <v>5407</v>
      </c>
      <c r="L63" s="170">
        <f>SUM(L58:L62)</f>
        <v>677450</v>
      </c>
      <c r="M63" s="95"/>
    </row>
    <row r="64" spans="4:31" ht="18" thickTop="1" thickBot="1">
      <c r="G64" s="94"/>
      <c r="H64" s="98" t="s">
        <v>374</v>
      </c>
      <c r="I64" s="159">
        <f>SUM(E60:I60)</f>
        <v>6135350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1227070</v>
      </c>
    </row>
    <row r="66" spans="5:9" ht="17.25" thickTop="1">
      <c r="H66" s="97"/>
      <c r="I66" s="160"/>
    </row>
    <row r="70" spans="5:9">
      <c r="E70" s="155" t="s">
        <v>5491</v>
      </c>
      <c r="F70" s="9">
        <f>F52</f>
        <v>1284605</v>
      </c>
    </row>
    <row r="71" spans="5:9">
      <c r="E71" s="1" t="s">
        <v>5670</v>
      </c>
      <c r="F71" s="1">
        <v>689865</v>
      </c>
      <c r="G71" s="9">
        <v>1718845</v>
      </c>
      <c r="I71" s="155" t="s">
        <v>5686</v>
      </c>
    </row>
    <row r="81" spans="1:9">
      <c r="D81" s="9"/>
    </row>
    <row r="82" spans="1:9">
      <c r="A82" s="175" t="s">
        <v>5492</v>
      </c>
    </row>
    <row r="83" spans="1:9">
      <c r="A83" s="176">
        <f>B36-B47-C35-L63</f>
        <v>2136155</v>
      </c>
      <c r="B83" s="9">
        <f>A83+C35</f>
        <v>3274090</v>
      </c>
    </row>
    <row r="84" spans="1:9">
      <c r="A84" s="173">
        <f>A83+L63</f>
        <v>2813605</v>
      </c>
      <c r="B84" s="9">
        <f>B83+L63</f>
        <v>3951540</v>
      </c>
      <c r="I84" s="1"/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139"/>
  <sheetViews>
    <sheetView tabSelected="1" zoomScale="70" zoomScaleNormal="70" workbookViewId="0">
      <pane ySplit="1" topLeftCell="A2" activePane="bottomLeft" state="frozen"/>
      <selection pane="bottomLeft" activeCell="L14" sqref="L1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44958</v>
      </c>
      <c r="C1" s="66">
        <v>44959</v>
      </c>
      <c r="D1" s="66">
        <v>44960</v>
      </c>
      <c r="E1" s="66">
        <v>44961</v>
      </c>
      <c r="F1" s="66">
        <v>44962</v>
      </c>
      <c r="G1" s="66">
        <v>44963</v>
      </c>
      <c r="H1" s="66">
        <v>44964</v>
      </c>
      <c r="I1" s="66">
        <v>44965</v>
      </c>
      <c r="J1" s="66">
        <v>44966</v>
      </c>
      <c r="K1" s="66">
        <v>44967</v>
      </c>
      <c r="L1" s="66">
        <v>44968</v>
      </c>
      <c r="M1" s="66">
        <v>44969</v>
      </c>
      <c r="N1" s="66">
        <v>44970</v>
      </c>
      <c r="O1" s="66">
        <v>44971</v>
      </c>
      <c r="P1" s="66">
        <v>44972</v>
      </c>
      <c r="Q1" s="66">
        <v>44973</v>
      </c>
      <c r="R1" s="66">
        <v>44974</v>
      </c>
      <c r="S1" s="66">
        <v>44975</v>
      </c>
      <c r="T1" s="66">
        <v>44976</v>
      </c>
      <c r="U1" s="66">
        <v>44977</v>
      </c>
      <c r="V1" s="66">
        <v>44978</v>
      </c>
      <c r="W1" s="66">
        <v>44979</v>
      </c>
      <c r="X1" s="66">
        <v>44980</v>
      </c>
      <c r="Y1" s="66">
        <v>44981</v>
      </c>
      <c r="Z1" s="66">
        <v>44982</v>
      </c>
      <c r="AA1" s="66">
        <v>44983</v>
      </c>
      <c r="AB1" s="66">
        <v>44984</v>
      </c>
      <c r="AC1" s="66">
        <v>44985</v>
      </c>
      <c r="AD1" s="66"/>
      <c r="AE1" s="66"/>
      <c r="AF1" s="66"/>
      <c r="AG1" s="3"/>
      <c r="AH1" s="3"/>
      <c r="AI1" s="3"/>
    </row>
    <row r="2" spans="1:35" s="68" customFormat="1" ht="17.25">
      <c r="A2" s="67" t="s">
        <v>203</v>
      </c>
      <c r="D2" s="68">
        <f>B3+C3+D3</f>
        <v>1060000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682000</v>
      </c>
      <c r="C3" s="5">
        <f t="shared" si="0"/>
        <v>298000</v>
      </c>
      <c r="D3" s="5">
        <f t="shared" si="0"/>
        <v>80000</v>
      </c>
      <c r="E3" s="5">
        <f t="shared" si="0"/>
        <v>0</v>
      </c>
      <c r="F3" s="5">
        <f>SUM(F12,F14,F16,F18,F20,F22)</f>
        <v>0</v>
      </c>
      <c r="G3" s="5">
        <f t="shared" si="0"/>
        <v>967000</v>
      </c>
      <c r="H3" s="5">
        <f>SUM(H12,H14,H16,H18,H20,H22)</f>
        <v>0</v>
      </c>
      <c r="I3" s="145">
        <f>SUM(I12,I14,I16,I18,I20,I22)</f>
        <v>0</v>
      </c>
      <c r="J3" s="5">
        <f>SUM(J12,J14,J16,J18,J20,J22)</f>
        <v>308000</v>
      </c>
      <c r="K3" s="5">
        <f>SUM(K12,K14,K16,K18,K20,K22,K24,K25,K32,K33,K34)</f>
        <v>993000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350000</f>
        <v>350000</v>
      </c>
      <c r="I4" s="146"/>
      <c r="K4" s="112">
        <f>330000+80000+80000+80000</f>
        <v>570000</v>
      </c>
    </row>
    <row r="5" spans="1:35" s="6" customFormat="1" ht="17.25">
      <c r="A5" s="47" t="s">
        <v>0</v>
      </c>
      <c r="D5" s="6">
        <v>310000</v>
      </c>
      <c r="F5" s="6">
        <v>30000</v>
      </c>
      <c r="I5" s="147"/>
      <c r="J5" s="6">
        <v>20000</v>
      </c>
      <c r="K5" s="6">
        <f>480000+200000</f>
        <v>680000</v>
      </c>
    </row>
    <row r="6" spans="1:35" s="7" customFormat="1" ht="17.25">
      <c r="A6" s="48" t="s">
        <v>1</v>
      </c>
      <c r="B6" s="7">
        <f>B3+B4+B5</f>
        <v>682000</v>
      </c>
      <c r="C6" s="7">
        <f t="shared" ref="C6:AC6" si="1">C3+C4+C5</f>
        <v>298000</v>
      </c>
      <c r="D6" s="7">
        <f t="shared" si="1"/>
        <v>740000</v>
      </c>
      <c r="E6" s="7">
        <f t="shared" si="1"/>
        <v>0</v>
      </c>
      <c r="F6" s="7">
        <f t="shared" si="1"/>
        <v>30000</v>
      </c>
      <c r="G6" s="7">
        <f t="shared" si="1"/>
        <v>967000</v>
      </c>
      <c r="H6" s="7">
        <f t="shared" si="1"/>
        <v>0</v>
      </c>
      <c r="I6" s="7">
        <f t="shared" si="1"/>
        <v>0</v>
      </c>
      <c r="J6" s="7">
        <f t="shared" si="1"/>
        <v>328000</v>
      </c>
      <c r="K6" s="7">
        <f t="shared" si="1"/>
        <v>2243000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>AD3+AD4+AD5</f>
        <v>0</v>
      </c>
      <c r="AE6" s="7">
        <f t="shared" ref="AE6" si="2">AE3+AE4+AE5</f>
        <v>0</v>
      </c>
    </row>
    <row r="7" spans="1:35" s="8" customFormat="1" ht="17.25">
      <c r="A7" s="49" t="s">
        <v>2</v>
      </c>
      <c r="B7" s="8">
        <f>B6+B8</f>
        <v>367000</v>
      </c>
      <c r="C7" s="8">
        <f>C6+C8</f>
        <v>183000</v>
      </c>
      <c r="D7" s="8">
        <f t="shared" ref="D7:AE7" si="3">D6+D8</f>
        <v>425000</v>
      </c>
      <c r="E7" s="8">
        <f>E6+E8</f>
        <v>0</v>
      </c>
      <c r="F7" s="8">
        <f t="shared" si="3"/>
        <v>30000</v>
      </c>
      <c r="G7" s="8">
        <f t="shared" si="3"/>
        <v>457000</v>
      </c>
      <c r="H7" s="8">
        <f>H6+H8</f>
        <v>0</v>
      </c>
      <c r="I7" s="148">
        <f>I6+I8</f>
        <v>0</v>
      </c>
      <c r="J7" s="8">
        <f>J6+J8</f>
        <v>208000</v>
      </c>
      <c r="K7" s="8">
        <f>K6+K8</f>
        <v>1168000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>S6+S8</f>
        <v>0</v>
      </c>
      <c r="T7" s="8">
        <f t="shared" si="3"/>
        <v>0</v>
      </c>
      <c r="U7" s="8">
        <f>U6+U8</f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4">SUM(B13,B15,B17,B19,B21,B23,B23)</f>
        <v>-315000</v>
      </c>
      <c r="C8" s="18">
        <f t="shared" si="4"/>
        <v>-115000</v>
      </c>
      <c r="D8" s="18">
        <f>SUM(D13,D15,D17,D19,D21,D23,D23)</f>
        <v>-315000</v>
      </c>
      <c r="E8" s="18">
        <f t="shared" si="4"/>
        <v>0</v>
      </c>
      <c r="F8" s="18">
        <f t="shared" si="4"/>
        <v>0</v>
      </c>
      <c r="G8" s="18">
        <f t="shared" si="4"/>
        <v>-510000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-120000</v>
      </c>
      <c r="K8" s="18">
        <f t="shared" si="5"/>
        <v>-1075000</v>
      </c>
      <c r="L8" s="18">
        <f t="shared" si="5"/>
        <v>0</v>
      </c>
      <c r="M8" s="18">
        <f t="shared" si="5"/>
        <v>0</v>
      </c>
      <c r="N8" s="18">
        <f t="shared" si="5"/>
        <v>0</v>
      </c>
      <c r="O8" s="18">
        <f>SUM(O13,O15,O17,O19,O21,O11,O23,O25)</f>
        <v>0</v>
      </c>
      <c r="P8" s="18">
        <f t="shared" si="5"/>
        <v>0</v>
      </c>
      <c r="Q8" s="18">
        <f t="shared" si="5"/>
        <v>0</v>
      </c>
      <c r="R8" s="18">
        <f t="shared" si="5"/>
        <v>0</v>
      </c>
      <c r="S8" s="18">
        <f>SUM(S13,S15,S17,S19,S21,S11,S23,S25)</f>
        <v>0</v>
      </c>
      <c r="T8" s="18">
        <f t="shared" si="5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5"/>
        <v>0</v>
      </c>
      <c r="Z8" s="18">
        <f t="shared" si="5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5"/>
        <v>0</v>
      </c>
      <c r="AD8" s="18">
        <f t="shared" si="5"/>
        <v>0</v>
      </c>
      <c r="AE8" s="18">
        <f t="shared" si="5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B11" s="215"/>
      <c r="C11" s="215"/>
      <c r="D11" s="215"/>
      <c r="E11" s="215"/>
      <c r="F11" s="215"/>
      <c r="G11" s="215"/>
      <c r="H11" s="215"/>
      <c r="I11" s="216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</row>
    <row r="12" spans="1:35" s="10" customFormat="1" ht="17.25">
      <c r="A12" s="54" t="s">
        <v>5</v>
      </c>
      <c r="B12" s="215"/>
      <c r="C12" s="216"/>
      <c r="D12" s="215"/>
      <c r="E12" s="215"/>
      <c r="F12" s="215"/>
      <c r="G12" s="216"/>
      <c r="H12" s="216"/>
      <c r="I12" s="216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</row>
    <row r="13" spans="1:35" s="11" customFormat="1" ht="17.25">
      <c r="A13" s="55" t="s">
        <v>15</v>
      </c>
      <c r="B13" s="215">
        <v>-15000</v>
      </c>
      <c r="C13" s="215">
        <v>-40000</v>
      </c>
      <c r="D13" s="215">
        <v>-160000</v>
      </c>
      <c r="E13" s="215"/>
      <c r="F13" s="215"/>
      <c r="G13" s="215">
        <f>-15000-15000</f>
        <v>-30000</v>
      </c>
      <c r="H13" s="216"/>
      <c r="I13" s="216"/>
      <c r="J13" s="215">
        <v>-40000</v>
      </c>
      <c r="K13" s="215">
        <f>-80000-80000-60000-15000</f>
        <v>-235000</v>
      </c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</row>
    <row r="14" spans="1:35" s="12" customFormat="1" ht="17.25">
      <c r="A14" s="56" t="s">
        <v>7</v>
      </c>
      <c r="B14" s="123">
        <v>506000</v>
      </c>
      <c r="C14" s="123">
        <v>242000</v>
      </c>
      <c r="D14" s="230">
        <v>55000</v>
      </c>
      <c r="E14" s="215"/>
      <c r="F14" s="215"/>
      <c r="G14" s="215">
        <v>967000</v>
      </c>
      <c r="H14" s="216"/>
      <c r="I14" s="216"/>
      <c r="J14" s="215">
        <v>110000</v>
      </c>
      <c r="K14" s="215">
        <v>902000</v>
      </c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  <c r="AB14" s="215"/>
      <c r="AC14" s="215"/>
      <c r="AD14" s="215"/>
      <c r="AE14" s="215"/>
      <c r="AF14" s="215"/>
    </row>
    <row r="15" spans="1:35" s="10" customFormat="1" ht="17.25">
      <c r="A15" s="54" t="s">
        <v>9</v>
      </c>
      <c r="B15" s="215">
        <f>-160000-60000</f>
        <v>-220000</v>
      </c>
      <c r="C15" s="215">
        <v>-60000</v>
      </c>
      <c r="D15" s="215">
        <f>-40000-20000-40000-40000</f>
        <v>-140000</v>
      </c>
      <c r="E15" s="215"/>
      <c r="F15" s="215"/>
      <c r="G15" s="215">
        <v>-480000</v>
      </c>
      <c r="H15" s="216"/>
      <c r="I15" s="216"/>
      <c r="J15" s="215">
        <v>-40000</v>
      </c>
      <c r="K15" s="215">
        <f>-80000-80000-80000-80000-80000</f>
        <v>-400000</v>
      </c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</row>
    <row r="16" spans="1:35" s="12" customFormat="1" ht="17.25">
      <c r="A16" s="56" t="s">
        <v>6</v>
      </c>
      <c r="B16" s="123">
        <v>176000</v>
      </c>
      <c r="C16" s="123">
        <v>56000</v>
      </c>
      <c r="D16" s="123">
        <v>25000</v>
      </c>
      <c r="E16" s="215"/>
      <c r="F16" s="215"/>
      <c r="G16" s="215"/>
      <c r="H16" s="216"/>
      <c r="I16" s="216"/>
      <c r="J16" s="215">
        <v>88000</v>
      </c>
      <c r="K16" s="215">
        <v>47000</v>
      </c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6"/>
      <c r="Z16" s="216"/>
      <c r="AA16" s="215"/>
      <c r="AB16" s="215"/>
      <c r="AC16" s="215"/>
      <c r="AD16" s="215"/>
      <c r="AE16" s="215"/>
      <c r="AF16" s="215"/>
    </row>
    <row r="17" spans="1:38" s="10" customFormat="1" ht="17.25">
      <c r="A17" s="54" t="s">
        <v>8</v>
      </c>
      <c r="B17" s="215">
        <v>-80000</v>
      </c>
      <c r="C17" s="215">
        <v>-15000</v>
      </c>
      <c r="D17" s="215">
        <v>-15000</v>
      </c>
      <c r="E17" s="215"/>
      <c r="F17" s="215"/>
      <c r="G17" s="215"/>
      <c r="H17" s="216"/>
      <c r="I17" s="216"/>
      <c r="J17" s="215">
        <v>-40000</v>
      </c>
      <c r="K17" s="215">
        <v>-120000</v>
      </c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</row>
    <row r="18" spans="1:38" s="12" customFormat="1" ht="17.25">
      <c r="A18" s="56" t="s">
        <v>10</v>
      </c>
      <c r="B18" s="215"/>
      <c r="C18" s="215"/>
      <c r="D18" s="215"/>
      <c r="E18" s="215"/>
      <c r="F18" s="215"/>
      <c r="G18" s="215"/>
      <c r="H18" s="215"/>
      <c r="I18" s="216"/>
      <c r="J18" s="215">
        <v>110000</v>
      </c>
      <c r="K18" s="215">
        <v>44000</v>
      </c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</row>
    <row r="19" spans="1:38" s="10" customFormat="1" ht="17.25">
      <c r="A19" s="54" t="s">
        <v>11</v>
      </c>
      <c r="B19" s="215"/>
      <c r="C19" s="215"/>
      <c r="D19" s="215"/>
      <c r="E19" s="215"/>
      <c r="F19" s="215"/>
      <c r="G19" s="215"/>
      <c r="H19" s="215"/>
      <c r="I19" s="216"/>
      <c r="J19" s="215"/>
      <c r="K19" s="215">
        <f>-15000-15000</f>
        <v>-30000</v>
      </c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</row>
    <row r="20" spans="1:38" s="12" customFormat="1" ht="17.25">
      <c r="A20" s="56" t="s">
        <v>10</v>
      </c>
      <c r="B20" s="215"/>
      <c r="C20" s="215"/>
      <c r="D20" s="215"/>
      <c r="E20" s="215"/>
      <c r="F20" s="215"/>
      <c r="G20" s="215"/>
      <c r="H20" s="215"/>
      <c r="I20" s="216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</row>
    <row r="21" spans="1:38" s="10" customFormat="1" ht="17.25">
      <c r="A21" s="54" t="s">
        <v>11</v>
      </c>
      <c r="B21" s="215"/>
      <c r="C21" s="215"/>
      <c r="D21" s="215"/>
      <c r="E21" s="215"/>
      <c r="F21" s="215"/>
      <c r="G21" s="215"/>
      <c r="H21" s="215"/>
      <c r="I21" s="216"/>
      <c r="J21" s="215"/>
      <c r="K21" s="215">
        <f>-90000-80000-40000-40000-40000</f>
        <v>-290000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</row>
    <row r="22" spans="1:38" s="12" customFormat="1" ht="17.25">
      <c r="A22" s="56" t="s">
        <v>12</v>
      </c>
      <c r="B22" s="215"/>
      <c r="C22" s="215"/>
      <c r="D22" s="215"/>
      <c r="E22" s="215"/>
      <c r="F22" s="215"/>
      <c r="G22" s="215"/>
      <c r="H22" s="215"/>
      <c r="I22" s="216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</row>
    <row r="23" spans="1:38" s="10" customFormat="1" ht="17.25">
      <c r="A23" s="54" t="s">
        <v>13</v>
      </c>
      <c r="B23" s="215"/>
      <c r="C23" s="215"/>
      <c r="D23" s="215"/>
      <c r="E23" s="215"/>
      <c r="F23" s="215"/>
      <c r="G23" s="215"/>
      <c r="H23" s="215"/>
      <c r="I23" s="216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</row>
    <row r="24" spans="1:38" s="9" customFormat="1" ht="17.25">
      <c r="A24" s="53"/>
      <c r="B24" s="215"/>
      <c r="C24" s="215"/>
      <c r="D24" s="215"/>
      <c r="E24" s="215"/>
      <c r="F24" s="215"/>
      <c r="G24" s="215"/>
      <c r="H24" s="215"/>
      <c r="I24" s="216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</row>
    <row r="25" spans="1:38" s="9" customFormat="1" ht="17.25">
      <c r="A25" s="53"/>
      <c r="B25" s="215"/>
      <c r="C25" s="215"/>
      <c r="D25" s="215"/>
      <c r="E25" s="215"/>
      <c r="F25" s="215"/>
      <c r="G25" s="215"/>
      <c r="H25" s="215"/>
      <c r="I25" s="216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</row>
    <row r="26" spans="1:38" s="20" customFormat="1" ht="59.25" customHeight="1">
      <c r="A26" s="57" t="s">
        <v>17</v>
      </c>
      <c r="B26" s="188" t="s">
        <v>5689</v>
      </c>
      <c r="C26" s="188"/>
      <c r="D26" s="188"/>
      <c r="E26" s="200" t="s">
        <v>299</v>
      </c>
      <c r="F26" s="188"/>
      <c r="G26" s="188"/>
      <c r="H26" s="200" t="s">
        <v>299</v>
      </c>
      <c r="I26" s="200" t="s">
        <v>299</v>
      </c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</row>
    <row r="27" spans="1:38" s="19" customFormat="1" ht="17.25">
      <c r="A27" s="58"/>
      <c r="B27" s="20"/>
      <c r="C27" s="20"/>
      <c r="I27" s="153"/>
    </row>
    <row r="28" spans="1:38" s="19" customFormat="1" ht="17.25">
      <c r="A28" s="58"/>
      <c r="B28" s="20"/>
      <c r="C28" s="20"/>
      <c r="I28" s="153"/>
    </row>
    <row r="29" spans="1:38" s="19" customFormat="1" ht="17.25">
      <c r="A29" s="58"/>
      <c r="I29" s="153"/>
    </row>
    <row r="30" spans="1:38" s="21" customFormat="1" ht="17.25">
      <c r="A30" s="59" t="s">
        <v>22</v>
      </c>
      <c r="I30" s="154"/>
    </row>
    <row r="31" spans="1:38" s="9" customFormat="1" ht="17.25">
      <c r="A31" s="60"/>
      <c r="B31" s="92">
        <f>SUM(B2:AF2)</f>
        <v>1060000</v>
      </c>
      <c r="C31" s="92" t="s">
        <v>244</v>
      </c>
      <c r="I31" s="151"/>
      <c r="T31" s="1"/>
      <c r="U31" s="1"/>
      <c r="V31" s="1"/>
      <c r="W31" s="1"/>
      <c r="X31" s="1"/>
    </row>
    <row r="32" spans="1:38" s="9" customFormat="1" ht="18" thickBot="1">
      <c r="A32" s="77" t="s">
        <v>243</v>
      </c>
      <c r="B32" s="78">
        <f>SUM(B5:AF5)+SUM(B4:AF4)</f>
        <v>1960000</v>
      </c>
      <c r="C32" s="13"/>
      <c r="I32" s="151"/>
      <c r="U32" s="124" t="s">
        <v>329</v>
      </c>
      <c r="V32" s="108" t="s">
        <v>339</v>
      </c>
      <c r="W32" s="1"/>
      <c r="Y32" s="93" t="s">
        <v>268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2268000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3328000</v>
      </c>
      <c r="C34" s="15">
        <f>B34*0.1</f>
        <v>332800</v>
      </c>
      <c r="I34" s="151"/>
      <c r="U34" s="163" t="s">
        <v>372</v>
      </c>
      <c r="V34" s="108" t="s">
        <v>340</v>
      </c>
      <c r="W34" s="1"/>
      <c r="X34" s="1"/>
      <c r="Y34" s="93" t="s">
        <v>5664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5288000</v>
      </c>
      <c r="C35" s="15">
        <f>B35*0.1</f>
        <v>528800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2838000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-2450000</v>
      </c>
      <c r="C37" s="9"/>
      <c r="E37" s="9"/>
      <c r="O37" s="193"/>
      <c r="AE37" s="9"/>
    </row>
    <row r="38" spans="1:32" ht="18" thickBot="1">
      <c r="A38" s="65" t="s">
        <v>189</v>
      </c>
      <c r="B38" s="45">
        <v>0</v>
      </c>
      <c r="D38" s="9"/>
      <c r="P38" s="9"/>
      <c r="AE38" s="9"/>
    </row>
    <row r="39" spans="1:32" ht="18" thickBot="1">
      <c r="A39" s="88" t="s">
        <v>193</v>
      </c>
      <c r="B39" s="89">
        <f>(519000+SUM(B5:AF5)+SUM(B8:AF8))+300000+50000+300000-24000+1000000-36000</f>
        <v>699000</v>
      </c>
      <c r="C39" s="113"/>
      <c r="D39" s="114" t="s">
        <v>315</v>
      </c>
      <c r="E39" s="9"/>
      <c r="F39" s="9"/>
      <c r="P39" s="9"/>
      <c r="R39" s="9"/>
      <c r="AE39" s="9"/>
    </row>
    <row r="40" spans="1:32" ht="18" thickBot="1">
      <c r="A40" s="86" t="s">
        <v>197</v>
      </c>
      <c r="B40" s="87">
        <f>SUM(B4:AF4)</f>
        <v>920000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2838000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3887000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95760</v>
      </c>
      <c r="P44" s="9"/>
      <c r="Y44" s="9"/>
      <c r="AE44" s="9"/>
    </row>
    <row r="45" spans="1:32">
      <c r="A45" s="1" t="s">
        <v>5690</v>
      </c>
      <c r="B45" s="9">
        <v>700000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F46" s="9"/>
      <c r="P46" s="9"/>
      <c r="Y46" s="9"/>
      <c r="AE46" s="9"/>
    </row>
    <row r="47" spans="1:32">
      <c r="A47" s="1" t="s">
        <v>241</v>
      </c>
      <c r="B47" s="110">
        <f>SUM(B45:B46)</f>
        <v>2200000</v>
      </c>
      <c r="C47" s="9">
        <f>B45+B46</f>
        <v>2200000</v>
      </c>
      <c r="E47" s="155"/>
      <c r="F47" s="9"/>
      <c r="Y47" s="9"/>
      <c r="AE47" s="9"/>
    </row>
    <row r="48" spans="1:32">
      <c r="E48" s="151" t="s">
        <v>5553</v>
      </c>
      <c r="F48" s="9">
        <f>B34-B3-C3-D3</f>
        <v>2268000</v>
      </c>
      <c r="G48" s="1" t="s">
        <v>5541</v>
      </c>
      <c r="H48" s="15">
        <f>B34-(B34*0.005)</f>
        <v>3311360</v>
      </c>
      <c r="Y48" s="9"/>
      <c r="AE48" s="9"/>
    </row>
    <row r="49" spans="4:31">
      <c r="E49" s="155" t="s">
        <v>5691</v>
      </c>
      <c r="F49" s="9">
        <f>B47</f>
        <v>2200000</v>
      </c>
      <c r="Y49" s="9"/>
      <c r="AE49" s="9"/>
    </row>
    <row r="50" spans="4:31">
      <c r="E50" s="155" t="s">
        <v>5551</v>
      </c>
      <c r="F50" s="9">
        <f>B35</f>
        <v>5288000</v>
      </c>
      <c r="Y50" s="9"/>
      <c r="AE50" s="9"/>
    </row>
    <row r="51" spans="4:31">
      <c r="E51" s="155"/>
      <c r="F51" s="9"/>
      <c r="Y51" s="9"/>
      <c r="AE51" s="9"/>
    </row>
    <row r="52" spans="4:31">
      <c r="E52" s="155" t="s">
        <v>5491</v>
      </c>
      <c r="F52" s="9">
        <f>F48-F49-F51</f>
        <v>68000</v>
      </c>
      <c r="G52" s="1" t="s">
        <v>5541</v>
      </c>
      <c r="H52" s="9">
        <f>H48-F49-F51</f>
        <v>1111360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7" t="s">
        <v>265</v>
      </c>
      <c r="F57" s="218"/>
      <c r="G57" s="218"/>
      <c r="H57" s="218"/>
      <c r="I57" s="219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1720000</v>
      </c>
      <c r="F59" s="101">
        <f>SUM(F6:L6)</f>
        <v>3568000</v>
      </c>
      <c r="G59" s="103">
        <f>SUM(M6:S6)</f>
        <v>0</v>
      </c>
      <c r="H59" s="107">
        <f>SUM(T6:Z6)</f>
        <v>0</v>
      </c>
      <c r="I59" s="158">
        <f>SUM(AA6:AF6)</f>
        <v>0</v>
      </c>
      <c r="J59" s="171"/>
      <c r="K59" s="166"/>
      <c r="L59" s="165"/>
      <c r="M59" s="95"/>
    </row>
    <row r="60" spans="4:31" ht="18" thickTop="1" thickBot="1">
      <c r="E60" s="99">
        <f>SUM(B7:E7)</f>
        <v>975000</v>
      </c>
      <c r="F60" s="101">
        <f>SUM(F7:L7)</f>
        <v>1863000</v>
      </c>
      <c r="G60" s="103">
        <f>SUM(M7:S7)</f>
        <v>0</v>
      </c>
      <c r="H60" s="107">
        <f>SUM(T7:Z7)</f>
        <v>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6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5288000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1057600</v>
      </c>
      <c r="J63" s="94"/>
      <c r="K63" s="172" t="s">
        <v>5407</v>
      </c>
      <c r="L63" s="170">
        <f>SUM(L58:L62)</f>
        <v>95760</v>
      </c>
      <c r="M63" s="95"/>
    </row>
    <row r="64" spans="4:31" ht="18" thickTop="1" thickBot="1">
      <c r="G64" s="94"/>
      <c r="H64" s="98" t="s">
        <v>374</v>
      </c>
      <c r="I64" s="159">
        <f>SUM(E60:I60)</f>
        <v>2838000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567600</v>
      </c>
    </row>
    <row r="66" spans="5:9" ht="17.25" thickTop="1">
      <c r="H66" s="97"/>
      <c r="I66" s="160"/>
    </row>
    <row r="70" spans="5:9">
      <c r="E70" s="155" t="s">
        <v>5491</v>
      </c>
      <c r="F70" s="9">
        <f>F52</f>
        <v>68000</v>
      </c>
    </row>
    <row r="71" spans="5:9">
      <c r="E71" s="1" t="s">
        <v>5670</v>
      </c>
      <c r="F71" s="1">
        <v>689865</v>
      </c>
      <c r="G71" s="9">
        <v>1718845</v>
      </c>
      <c r="I71" s="155" t="s">
        <v>5698</v>
      </c>
    </row>
    <row r="81" spans="1:9">
      <c r="D81" s="9"/>
    </row>
    <row r="82" spans="1:9">
      <c r="A82" s="175" t="s">
        <v>5492</v>
      </c>
    </row>
    <row r="83" spans="1:9">
      <c r="A83" s="176">
        <f>B36-B47-L63</f>
        <v>542240</v>
      </c>
      <c r="B83" s="9">
        <f>A83+C35</f>
        <v>1071040</v>
      </c>
    </row>
    <row r="84" spans="1:9">
      <c r="A84" s="173">
        <f>A83+L63</f>
        <v>638000</v>
      </c>
      <c r="B84" s="9">
        <f>B83+L63</f>
        <v>1166800</v>
      </c>
      <c r="I84" s="1"/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L84"/>
  <sheetViews>
    <sheetView workbookViewId="0">
      <selection activeCell="K13" sqref="K13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  <col min="10" max="11" width="12.875" bestFit="1" customWidth="1"/>
    <col min="12" max="12" width="11.375" bestFit="1" customWidth="1"/>
  </cols>
  <sheetData>
    <row r="2" spans="2:12">
      <c r="B2" t="s">
        <v>5630</v>
      </c>
      <c r="C2" s="201" t="s">
        <v>358</v>
      </c>
      <c r="D2" s="201" t="s">
        <v>5640</v>
      </c>
      <c r="E2" s="201" t="s">
        <v>5642</v>
      </c>
      <c r="F2" s="201" t="s">
        <v>5643</v>
      </c>
      <c r="G2" s="211" t="s">
        <v>5641</v>
      </c>
      <c r="H2" s="211" t="s">
        <v>5645</v>
      </c>
      <c r="I2" s="211" t="s">
        <v>5644</v>
      </c>
    </row>
    <row r="3" spans="2:12">
      <c r="B3" t="s">
        <v>5631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  <c r="J3" s="214">
        <f>E3*0.1</f>
        <v>2131270</v>
      </c>
      <c r="K3" s="214">
        <f>I3-J3</f>
        <v>8037100</v>
      </c>
    </row>
    <row r="4" spans="2:12">
      <c r="B4" t="s">
        <v>5632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  <c r="J4" s="214">
        <f t="shared" ref="J4:J8" si="2">E4*0.1</f>
        <v>1619513</v>
      </c>
      <c r="K4" s="214">
        <f t="shared" ref="K4:K8" si="3">I4-J4</f>
        <v>4571977</v>
      </c>
    </row>
    <row r="5" spans="2:12">
      <c r="B5" t="s">
        <v>5633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  <c r="J5" s="214">
        <f t="shared" si="2"/>
        <v>1614630</v>
      </c>
      <c r="K5" s="214">
        <f t="shared" si="3"/>
        <v>4480900</v>
      </c>
    </row>
    <row r="6" spans="2:12">
      <c r="B6" t="s">
        <v>5634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  <c r="J6" s="214">
        <f t="shared" si="2"/>
        <v>1334130</v>
      </c>
      <c r="K6" s="214">
        <f t="shared" si="3"/>
        <v>3023060</v>
      </c>
    </row>
    <row r="7" spans="2:12">
      <c r="B7" t="s">
        <v>5635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  <c r="J7" s="214">
        <f t="shared" si="2"/>
        <v>1379875</v>
      </c>
      <c r="K7" s="214">
        <f t="shared" si="3"/>
        <v>3399555</v>
      </c>
    </row>
    <row r="8" spans="2:12">
      <c r="B8" t="s">
        <v>5636</v>
      </c>
      <c r="C8" s="201">
        <f>'12월 매출'!B34</f>
        <v>4449100</v>
      </c>
      <c r="D8" s="201">
        <f>'12월 매출'!B32</f>
        <v>8160000</v>
      </c>
      <c r="E8" s="201">
        <f t="shared" si="0"/>
        <v>12609100</v>
      </c>
      <c r="F8" s="201">
        <f>-'12월 매출'!B47</f>
        <v>-2159210</v>
      </c>
      <c r="G8" s="201">
        <f>'12월 매출'!B37</f>
        <v>-5264000</v>
      </c>
      <c r="H8" s="201">
        <f>-'12월 매출'!B44</f>
        <v>-771690</v>
      </c>
      <c r="I8" s="201">
        <f t="shared" si="1"/>
        <v>4414200</v>
      </c>
      <c r="J8" s="214">
        <f t="shared" si="2"/>
        <v>1260910</v>
      </c>
      <c r="K8" s="214">
        <f t="shared" si="3"/>
        <v>3153290</v>
      </c>
    </row>
    <row r="9" spans="2:12">
      <c r="B9" t="s">
        <v>5681</v>
      </c>
      <c r="C9" s="201">
        <f>SUM(C3:C8)</f>
        <v>36836780</v>
      </c>
      <c r="D9" s="201">
        <f>SUM(D3:D8)</f>
        <v>56566500</v>
      </c>
      <c r="E9" s="201">
        <f t="shared" si="0"/>
        <v>93403280</v>
      </c>
      <c r="F9" s="201">
        <f>SUM(F3:F8)</f>
        <v>-12976670</v>
      </c>
      <c r="G9" s="201">
        <f>SUM(G3:G8)</f>
        <v>-40093000</v>
      </c>
      <c r="H9" s="201">
        <f>SUM(H3:H8)</f>
        <v>-4327400</v>
      </c>
      <c r="I9" s="201">
        <f t="shared" si="1"/>
        <v>36006210</v>
      </c>
      <c r="L9" s="201">
        <f>AVERAGE(K3:K8)</f>
        <v>4444313.666666667</v>
      </c>
    </row>
    <row r="13" spans="2:12">
      <c r="B13" s="210" t="s">
        <v>5639</v>
      </c>
      <c r="C13" s="201">
        <f>C9*1.5%</f>
        <v>552551.69999999995</v>
      </c>
    </row>
    <row r="14" spans="2:12">
      <c r="B14" t="s">
        <v>5637</v>
      </c>
      <c r="C14" s="201">
        <f>C9*3.3%</f>
        <v>1215613.74</v>
      </c>
    </row>
    <row r="15" spans="2:12">
      <c r="B15" t="s">
        <v>5638</v>
      </c>
      <c r="C15" s="201">
        <f>C9*10%</f>
        <v>3683678</v>
      </c>
    </row>
    <row r="76" spans="6:6">
      <c r="F76" s="201" t="s">
        <v>5652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7월 매출</vt:lpstr>
      <vt:lpstr>8월 매출</vt:lpstr>
      <vt:lpstr>9월 매출</vt:lpstr>
      <vt:lpstr>10월 매출</vt:lpstr>
      <vt:lpstr>11월 매출</vt:lpstr>
      <vt:lpstr>12월 매출</vt:lpstr>
      <vt:lpstr>1월 매출</vt:lpstr>
      <vt:lpstr>2월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2023-02-11T20:10:24Z</dcterms:modified>
</cp:coreProperties>
</file>