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vander/Documents/Uni/"/>
    </mc:Choice>
  </mc:AlternateContent>
  <xr:revisionPtr revIDLastSave="0" documentId="8_{DBD46B8D-EEF0-2E46-96DE-353FEFD9D95C}" xr6:coauthVersionLast="47" xr6:coauthVersionMax="47" xr10:uidLastSave="{00000000-0000-0000-0000-000000000000}"/>
  <bookViews>
    <workbookView xWindow="0" yWindow="500" windowWidth="27260" windowHeight="13900" xr2:uid="{A1BD6E86-27B4-41BF-BF3C-30241E95E9D2}"/>
  </bookViews>
  <sheets>
    <sheet name="PS 12 Part I" sheetId="1" r:id="rId1"/>
    <sheet name="PS 12 Part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  <c r="T24" i="1"/>
  <c r="T23" i="1"/>
  <c r="S20" i="1"/>
  <c r="T20" i="1"/>
  <c r="T19" i="1"/>
  <c r="T16" i="1"/>
  <c r="U16" i="1"/>
  <c r="U15" i="1"/>
  <c r="T12" i="1"/>
  <c r="T11" i="1"/>
  <c r="U11" i="1"/>
  <c r="U12" i="1"/>
  <c r="U10" i="1"/>
  <c r="L26" i="1"/>
  <c r="K16" i="1"/>
  <c r="L16" i="1"/>
  <c r="L15" i="1"/>
  <c r="C10" i="2"/>
  <c r="E10" i="2" s="1"/>
  <c r="G10" i="2" s="1"/>
  <c r="D10" i="2"/>
  <c r="F10" i="2"/>
  <c r="H10" i="2"/>
  <c r="C11" i="2"/>
  <c r="E11" i="2" s="1"/>
  <c r="D11" i="2"/>
  <c r="F11" i="2" s="1"/>
  <c r="H11" i="2"/>
  <c r="C12" i="2"/>
  <c r="E12" i="2" s="1"/>
  <c r="G12" i="2" s="1"/>
  <c r="D12" i="2"/>
  <c r="F12" i="2" s="1"/>
  <c r="H12" i="2"/>
  <c r="C13" i="2"/>
  <c r="D13" i="2"/>
  <c r="E13" i="2"/>
  <c r="G13" i="2" s="1"/>
  <c r="F13" i="2"/>
  <c r="H13" i="2"/>
  <c r="C14" i="2"/>
  <c r="E14" i="2" s="1"/>
  <c r="G14" i="2" s="1"/>
  <c r="D14" i="2"/>
  <c r="F14" i="2"/>
  <c r="H14" i="2"/>
  <c r="C15" i="2"/>
  <c r="D15" i="2"/>
  <c r="F15" i="2" s="1"/>
  <c r="E15" i="2"/>
  <c r="G15" i="2" s="1"/>
  <c r="H15" i="2"/>
  <c r="C16" i="2"/>
  <c r="E16" i="2" s="1"/>
  <c r="G16" i="2" s="1"/>
  <c r="D16" i="2"/>
  <c r="F16" i="2" s="1"/>
  <c r="H16" i="2"/>
  <c r="C17" i="2"/>
  <c r="D17" i="2"/>
  <c r="E17" i="2"/>
  <c r="G17" i="2" s="1"/>
  <c r="F17" i="2"/>
  <c r="H17" i="2"/>
  <c r="C18" i="2"/>
  <c r="E18" i="2" s="1"/>
  <c r="G18" i="2" s="1"/>
  <c r="D18" i="2"/>
  <c r="F18" i="2"/>
  <c r="H18" i="2"/>
  <c r="C19" i="2"/>
  <c r="D19" i="2"/>
  <c r="F19" i="2" s="1"/>
  <c r="E19" i="2"/>
  <c r="G19" i="2" s="1"/>
  <c r="H19" i="2"/>
  <c r="C20" i="2"/>
  <c r="E20" i="2" s="1"/>
  <c r="G20" i="2" s="1"/>
  <c r="D20" i="2"/>
  <c r="F20" i="2" s="1"/>
  <c r="H20" i="2"/>
  <c r="C21" i="2"/>
  <c r="D21" i="2"/>
  <c r="E21" i="2"/>
  <c r="G21" i="2" s="1"/>
  <c r="F21" i="2"/>
  <c r="H21" i="2"/>
  <c r="C9" i="2"/>
  <c r="H9" i="2"/>
  <c r="F9" i="2"/>
  <c r="E9" i="2"/>
  <c r="G9" i="2" s="1"/>
  <c r="D9" i="2"/>
  <c r="K9" i="1"/>
  <c r="L9" i="1"/>
  <c r="L8" i="1"/>
  <c r="C26" i="1"/>
  <c r="B23" i="1"/>
  <c r="C23" i="1"/>
  <c r="C22" i="1"/>
  <c r="C19" i="1"/>
  <c r="D19" i="1"/>
  <c r="D18" i="1"/>
  <c r="C16" i="1"/>
  <c r="G11" i="2" l="1"/>
  <c r="C14" i="1" l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<sst xmlns="http://schemas.openxmlformats.org/spreadsheetml/2006/main" count="73" uniqueCount="51">
  <si>
    <t xml:space="preserve">Risk-free rate = </t>
  </si>
  <si>
    <r>
      <t>S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</si>
  <si>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</si>
  <si>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</t>
    </r>
  </si>
  <si>
    <t xml:space="preserve">K = </t>
  </si>
  <si>
    <t xml:space="preserve">a) </t>
  </si>
  <si>
    <r>
      <t>v</t>
    </r>
    <r>
      <rPr>
        <vertAlign val="superscript"/>
        <sz val="11"/>
        <color theme="1"/>
        <rFont val="Aptos Narrow"/>
        <family val="2"/>
        <scheme val="minor"/>
      </rPr>
      <t>T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= </t>
    </r>
  </si>
  <si>
    <t xml:space="preserve">V = </t>
  </si>
  <si>
    <r>
      <t>x</t>
    </r>
    <r>
      <rPr>
        <vertAlign val="superscript"/>
        <sz val="11"/>
        <color theme="1"/>
        <rFont val="Aptos Narrow"/>
        <family val="2"/>
        <scheme val="minor"/>
      </rPr>
      <t xml:space="preserve">T </t>
    </r>
    <r>
      <rPr>
        <b/>
        <sz val="11"/>
        <color theme="1"/>
        <rFont val="Aptos Narrow"/>
        <family val="2"/>
        <scheme val="minor"/>
      </rPr>
      <t xml:space="preserve">= 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</si>
  <si>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 xml:space="preserve">U </t>
    </r>
    <r>
      <rPr>
        <sz val="11"/>
        <color theme="1"/>
        <rFont val="Aptos Narrow"/>
        <family val="2"/>
        <scheme val="minor"/>
      </rPr>
      <t xml:space="preserve">= </t>
    </r>
  </si>
  <si>
    <t>b)</t>
  </si>
  <si>
    <r>
      <t>p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</si>
  <si>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</si>
  <si>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</si>
  <si>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</si>
  <si>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0</t>
    </r>
  </si>
  <si>
    <t>c)</t>
  </si>
  <si>
    <t>d)</t>
  </si>
  <si>
    <t>Verified?</t>
  </si>
  <si>
    <t>2)</t>
  </si>
  <si>
    <t>European Call</t>
  </si>
  <si>
    <t>American Put</t>
  </si>
  <si>
    <t>a)</t>
  </si>
  <si>
    <r>
      <t>P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</si>
  <si>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</si>
  <si>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= C</t>
    </r>
    <r>
      <rPr>
        <vertAlign val="subscript"/>
        <sz val="11"/>
        <color theme="1"/>
        <rFont val="Aptos Narrow"/>
        <family val="2"/>
        <scheme val="minor"/>
      </rPr>
      <t xml:space="preserve">0 </t>
    </r>
    <r>
      <rPr>
        <sz val="11"/>
        <color theme="1"/>
        <rFont val="Aptos Narrow"/>
        <family val="2"/>
        <scheme val="minor"/>
      </rPr>
      <t>- S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+ PV(K)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</si>
  <si>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=</t>
    </r>
  </si>
  <si>
    <t xml:space="preserve">r = </t>
  </si>
  <si>
    <t>S</t>
  </si>
  <si>
    <r>
      <t>d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</si>
  <si>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d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</si>
  <si>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N(d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</si>
  <si>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t>N(d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</si>
  <si>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 xml:space="preserve">T = </t>
  </si>
  <si>
    <r>
      <t>sigma</t>
    </r>
    <r>
      <rPr>
        <vertAlign val="superscript"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=</t>
    </r>
  </si>
  <si>
    <t>C</t>
  </si>
  <si>
    <t>Intricinsic Value</t>
  </si>
  <si>
    <t xml:space="preserve">There is only a gain to exercising the American option if the immediate </t>
  </si>
  <si>
    <t>payoff of exercising is larger than the price of the European option.</t>
  </si>
  <si>
    <t xml:space="preserve">As American options allow for early exercise the Put-Call </t>
  </si>
  <si>
    <t xml:space="preserve">parity only holds if and only if the options are held until expiration. </t>
  </si>
  <si>
    <t xml:space="preserve">For the American Call option with K=130, there is no point at which the </t>
  </si>
  <si>
    <t>immediate payoff of exercising is larger than the price of the European option.</t>
  </si>
  <si>
    <t xml:space="preserve">For the American Put option it is optimal to exercise at the down node as the </t>
  </si>
  <si>
    <t>immediate payoff is larger than the price of the European option.</t>
  </si>
  <si>
    <t xml:space="preserve">Div = </t>
  </si>
  <si>
    <r>
      <t>The stock price is reduced by 12 in period 1 and 12(1+r</t>
    </r>
    <r>
      <rPr>
        <vertAlign val="subscript"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) in period 2. </t>
    </r>
  </si>
  <si>
    <t>c) &amp; d)</t>
  </si>
  <si>
    <r>
      <t>The arbitrage free-price is given as P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= 30, why? </t>
    </r>
  </si>
  <si>
    <t>5) Dividends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</si>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</sst>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0.0%"/>
    <numFmt numFmtId="166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164" fontId="0" fillId="0" borderId="3" xfId="0" applyNumberFormat="1" applyBorder="1"/>
    <xf numFmtId="165" fontId="0" fillId="0" borderId="0" xfId="1" applyNumberFormat="1" applyFont="1"/>
    <xf numFmtId="165" fontId="0" fillId="0" borderId="3" xfId="1" applyNumberFormat="1" applyFont="1" applyBorder="1"/>
    <xf numFmtId="2" fontId="0" fillId="0" borderId="0" xfId="0" applyNumberFormat="1"/>
    <xf numFmtId="2" fontId="0" fillId="0" borderId="3" xfId="0" applyNumberFormat="1" applyBorder="1"/>
    <xf numFmtId="166" fontId="0" fillId="0" borderId="0" xfId="0" applyNumberFormat="1"/>
    <xf numFmtId="1" fontId="0" fillId="0" borderId="0" xfId="0" applyNumberFormat="1"/>
    <xf numFmtId="2" fontId="0" fillId="0" borderId="6" xfId="0" applyNumberFormat="1" applyBorder="1"/>
    <xf numFmtId="43" fontId="0" fillId="0" borderId="7" xfId="2" applyFont="1" applyBorder="1"/>
    <xf numFmtId="43" fontId="0" fillId="0" borderId="2" xfId="2" applyFont="1" applyBorder="1"/>
    <xf numFmtId="165" fontId="0" fillId="0" borderId="0" xfId="0" applyNumberForma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K"/>
              <a:t>Call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'PS 12 Part II'!$G$8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 12 Part II'!$B$9:$B$21</c:f>
              <c:numCache>
                <c:formatCode>General</c:formatCode>
                <c:ptCount val="1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</c:numCache>
            </c:numRef>
          </c:xVal>
          <c:yVal>
            <c:numRef>
              <c:f>'PS 12 Part II'!$G$9:$G$21</c:f>
              <c:numCache>
                <c:formatCode>0.00</c:formatCode>
                <c:ptCount val="13"/>
                <c:pt idx="0">
                  <c:v>0.66959790778411676</c:v>
                </c:pt>
                <c:pt idx="1">
                  <c:v>1.3470231128862533</c:v>
                </c:pt>
                <c:pt idx="2">
                  <c:v>2.4228641367691246</c:v>
                </c:pt>
                <c:pt idx="3">
                  <c:v>3.9752968614107189</c:v>
                </c:pt>
                <c:pt idx="4">
                  <c:v>6.0468954537301869</c:v>
                </c:pt>
                <c:pt idx="5">
                  <c:v>8.6408391262848809</c:v>
                </c:pt>
                <c:pt idx="6">
                  <c:v>11.725867783683142</c:v>
                </c:pt>
                <c:pt idx="7">
                  <c:v>15.246506819640388</c:v>
                </c:pt>
                <c:pt idx="8">
                  <c:v>19.134671146221393</c:v>
                </c:pt>
                <c:pt idx="9">
                  <c:v>23.319777659673193</c:v>
                </c:pt>
                <c:pt idx="10">
                  <c:v>27.735956138643502</c:v>
                </c:pt>
                <c:pt idx="11">
                  <c:v>32.326169666186303</c:v>
                </c:pt>
                <c:pt idx="12">
                  <c:v>37.043779515504156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D-4032-870E-AC8F5BD24841}"/>
            </c:ext>
          </c:extLst>
        </c:ser>
        <c:ser>
          <c:idx val="1"/>
          <c:order val="1"/>
          <c:tx>
            <c:strRef>
              <c:f>'PS 12 Part II'!$H$8</c:f>
              <c:strCache>
                <c:ptCount val="1"/>
                <c:pt idx="0">
                  <c:v>Intricinsic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'PS 12 Part II'!$B$9:$B$21</c:f>
              <c:numCache>
                <c:formatCode>General</c:formatCode>
                <c:ptCount val="1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</c:numCache>
            </c:numRef>
          </c:xVal>
          <c:yVal>
            <c:numRef>
              <c:f>'PS 12 Part II'!$H$9:$H$21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D-4032-870E-AC8F5BD24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69823"/>
        <c:axId val="749165503"/>
      </c:scatterChart>
      <c:valAx>
        <c:axId val="749169823"/>
        <c:scaling>
          <c:orientation val="minMax"/>
          <c:min val="6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49165503"/>
        <c:crosses val="autoZero"/>
        <c:crossBetween val="midCat"/>
      </c:valAx>
      <c:valAx>
        <c:axId val="749165503"/>
        <c:scaling>
          <c:orientation val="minMax"/>
          <c:max val="3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4916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940486</xdr:colOff>
      <xdr:row>21</xdr:row>
      <xdr:rowOff>172994</xdr:rowOff>
    </xdr:from>
    <xdr:to>
      <xdr:col>7</xdr:col>
      <xdr:colOff>943918</xdr:colOff>
      <xdr:row>40</xdr:row>
      <xdr:rowOff>163039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5156C-562C-337D-1B5A-E4D3E07C8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1D1E-DF1B-4F21-81BA-076557CD4DBD}">
  <dimension ref="A2:U29"/>
  <sheetViews>
    <sheetView tabSelected="1" zoomScale="86" zoomScaleNormal="68" workbookViewId="0">
      <selection activeCell="S28" sqref="S28"/>
    </sheetView>
  </sheetViews>
  <sheetFormatPr baseColWidth="10" defaultColWidth="8.83203125" defaultRowHeight="15" x14ac:dyDescent="0.2"/>
  <cols>
    <col min="2" max="2" width="13.5" bestFit="1" customWidth="1"/>
    <col min="8" max="8" width="8.6640625" customWidth="1"/>
    <col min="9" max="9" width="8.6640625" style="3" customWidth="1"/>
    <col min="11" max="12" width="12.6640625" customWidth="1"/>
    <col min="17" max="17" width="8.6640625" style="3"/>
    <col min="19" max="19" width="11.5" customWidth="1"/>
  </cols>
  <sheetData>
    <row r="2" spans="1:21" x14ac:dyDescent="0.2">
      <c r="A2" t="s">
        <v>19</v>
      </c>
      <c r="B2" t="s">
        <v>0</v>
      </c>
      <c r="C2" s="1">
        <v>0.03</v>
      </c>
      <c r="J2" t="s">
        <v>50</v>
      </c>
      <c r="K2" t="s">
        <v>21</v>
      </c>
      <c r="R2" t="s">
        <v>49</v>
      </c>
      <c r="T2" t="s">
        <v>45</v>
      </c>
      <c r="U2">
        <v>12</v>
      </c>
    </row>
    <row r="3" spans="1:21" x14ac:dyDescent="0.2">
      <c r="B3" t="s">
        <v>4</v>
      </c>
      <c r="C3">
        <v>130</v>
      </c>
      <c r="T3" t="s">
        <v>0</v>
      </c>
      <c r="U3" s="1">
        <v>0.03</v>
      </c>
    </row>
    <row r="4" spans="1:21" x14ac:dyDescent="0.2">
      <c r="T4" t="s">
        <v>4</v>
      </c>
      <c r="U4">
        <v>75</v>
      </c>
    </row>
    <row r="5" spans="1:21" x14ac:dyDescent="0.2">
      <c r="D5" s="3">
        <v>140</v>
      </c>
      <c r="J5" t="s">
        <v>22</v>
      </c>
      <c r="K5" t="s">
        <v>37</v>
      </c>
    </row>
    <row r="6" spans="1:21" x14ac:dyDescent="0.2">
      <c r="C6">
        <v>120</v>
      </c>
      <c r="D6" s="3">
        <v>100</v>
      </c>
      <c r="K6" t="s">
        <v>38</v>
      </c>
    </row>
    <row r="7" spans="1:21" x14ac:dyDescent="0.2">
      <c r="B7">
        <v>100</v>
      </c>
      <c r="C7">
        <v>80</v>
      </c>
      <c r="D7" s="3">
        <v>60</v>
      </c>
    </row>
    <row r="8" spans="1:21" ht="17" x14ac:dyDescent="0.25">
      <c r="B8" s="2" t="s">
        <v>1</v>
      </c>
      <c r="C8" s="2" t="s">
        <v>2</v>
      </c>
      <c r="D8" s="4" t="s">
        <v>3</v>
      </c>
      <c r="K8" s="8"/>
      <c r="L8" s="9">
        <f>MAX((D18*MAX(D5-$C$3,0)+(1-D18)*MAX(D6-$C$3,0))/(1+$C$2),(C6-$C$3),0)</f>
        <v>5.7281553398058271</v>
      </c>
      <c r="R8" t="s">
        <v>22</v>
      </c>
      <c r="S8" t="s">
        <v>46</v>
      </c>
    </row>
    <row r="9" spans="1:21" x14ac:dyDescent="0.2">
      <c r="K9" s="8">
        <f>(L8*$C$19+(1-$C$19)*L9)/(1+C2)</f>
        <v>3.1977566217362621</v>
      </c>
      <c r="L9" s="9">
        <f>MAX((D19*MAX(D6-$C$3,0)+(1-D19)*MAX(D7-$C$3,0))/(1+$C$2),(C7-$C$3),0)</f>
        <v>0</v>
      </c>
    </row>
    <row r="10" spans="1:21" ht="17" x14ac:dyDescent="0.25">
      <c r="B10" t="s">
        <v>20</v>
      </c>
      <c r="K10" s="2" t="s">
        <v>15</v>
      </c>
      <c r="L10" s="4" t="s">
        <v>14</v>
      </c>
      <c r="T10" s="14"/>
      <c r="U10" s="13">
        <f>+D5-$U$2*(1+$U$3)</f>
        <v>127.64</v>
      </c>
    </row>
    <row r="11" spans="1:21" x14ac:dyDescent="0.2">
      <c r="G11" s="5">
        <v>140</v>
      </c>
      <c r="H11" s="5">
        <v>100</v>
      </c>
      <c r="T11" s="15">
        <f>C6-$U$2</f>
        <v>108</v>
      </c>
      <c r="U11" s="13">
        <f t="shared" ref="U11:U12" si="0">+D6-$U$2*(1+$U$3)</f>
        <v>87.64</v>
      </c>
    </row>
    <row r="12" spans="1:21" ht="18" x14ac:dyDescent="0.25">
      <c r="A12" t="s">
        <v>5</v>
      </c>
      <c r="B12" t="s">
        <v>6</v>
      </c>
      <c r="C12" s="6">
        <v>10</v>
      </c>
      <c r="D12" s="7">
        <v>0</v>
      </c>
      <c r="F12" t="s">
        <v>7</v>
      </c>
      <c r="G12" s="17">
        <v>1.03</v>
      </c>
      <c r="H12" s="18">
        <v>1.03</v>
      </c>
      <c r="K12" t="s">
        <v>41</v>
      </c>
      <c r="S12">
        <v>100</v>
      </c>
      <c r="T12" s="15">
        <f>C7-$U$2</f>
        <v>68</v>
      </c>
      <c r="U12" s="13">
        <f t="shared" si="0"/>
        <v>47.64</v>
      </c>
    </row>
    <row r="13" spans="1:21" ht="17" x14ac:dyDescent="0.25">
      <c r="K13" t="s">
        <v>42</v>
      </c>
      <c r="S13" s="2" t="s">
        <v>1</v>
      </c>
      <c r="T13" s="2" t="s">
        <v>2</v>
      </c>
      <c r="U13" s="4" t="s">
        <v>3</v>
      </c>
    </row>
    <row r="14" spans="1:21" ht="17" x14ac:dyDescent="0.2">
      <c r="B14" t="s">
        <v>8</v>
      </c>
      <c r="C14" s="6" cm="1">
        <f t="array" ref="C14:D14">MMULT(C12:D12,MINVERSE(G11:H12))</f>
        <v>0.25</v>
      </c>
      <c r="D14" s="16">
        <v>-24.271844660194176</v>
      </c>
      <c r="G14" s="12"/>
    </row>
    <row r="15" spans="1:21" x14ac:dyDescent="0.2">
      <c r="J15" t="s">
        <v>10</v>
      </c>
      <c r="K15" s="8"/>
      <c r="L15" s="9">
        <f>+MAX((D18*MAX($C$3-D5,0)+(1-D18)*MAX($C$3-D6,0))/(1+$C$2),($C$3-C6),0)</f>
        <v>11.941747572815528</v>
      </c>
      <c r="R15" t="s">
        <v>10</v>
      </c>
      <c r="T15" s="10"/>
      <c r="U15" s="11">
        <f>D18</f>
        <v>0.59000000000000019</v>
      </c>
    </row>
    <row r="16" spans="1:21" ht="17" x14ac:dyDescent="0.25">
      <c r="B16" t="s">
        <v>9</v>
      </c>
      <c r="C16" s="8">
        <f>C6*C14+D14</f>
        <v>5.7281553398058236</v>
      </c>
      <c r="K16" s="8">
        <f>+MAX((C19*MAX($C$3-C6,0)+(1-C19)*MAX($C$3-C7,0))/(1+$C$2),($C$3-B7),0)</f>
        <v>30</v>
      </c>
      <c r="L16" s="9">
        <f>+MAX((D19*MAX($C$3-D6,0)+(1-D19)*MAX($C$3-D7,0))/(1+$C$2),($C$3-C7),0)</f>
        <v>50</v>
      </c>
      <c r="T16" s="10">
        <f>C19</f>
        <v>0.57499999999999996</v>
      </c>
      <c r="U16" s="11">
        <f>D19</f>
        <v>0.56000000000000016</v>
      </c>
    </row>
    <row r="17" spans="1:21" ht="17" x14ac:dyDescent="0.25">
      <c r="K17" s="2" t="s">
        <v>23</v>
      </c>
      <c r="L17" s="4" t="s">
        <v>24</v>
      </c>
      <c r="S17" s="2" t="s">
        <v>11</v>
      </c>
      <c r="T17" s="2" t="s">
        <v>12</v>
      </c>
      <c r="U17" s="4" t="s">
        <v>13</v>
      </c>
    </row>
    <row r="18" spans="1:21" x14ac:dyDescent="0.2">
      <c r="A18" t="s">
        <v>10</v>
      </c>
      <c r="D18" s="10">
        <f>((1+$C$2)*C6-D6)/(D5-D6)</f>
        <v>0.59000000000000019</v>
      </c>
      <c r="E18" s="19"/>
    </row>
    <row r="19" spans="1:21" x14ac:dyDescent="0.2">
      <c r="C19" s="10">
        <f>((1+$C$2)*B7-C7)/(C6-C7)</f>
        <v>0.57499999999999996</v>
      </c>
      <c r="D19" s="10">
        <f>((1+$C$2)*C7-D7)/(D6-D7)</f>
        <v>0.56000000000000016</v>
      </c>
      <c r="K19" t="s">
        <v>43</v>
      </c>
      <c r="S19" s="8"/>
      <c r="T19" s="9">
        <f>+(U15*MAX(U10-$U$4,0)+(1-U15)*MAX(U11-$U$4,0))/(1+$U$3)</f>
        <v>35.184466019417485</v>
      </c>
    </row>
    <row r="20" spans="1:21" ht="17" x14ac:dyDescent="0.25">
      <c r="B20" s="2" t="s">
        <v>11</v>
      </c>
      <c r="C20" s="2" t="s">
        <v>12</v>
      </c>
      <c r="D20" s="4" t="s">
        <v>13</v>
      </c>
      <c r="K20" t="s">
        <v>44</v>
      </c>
      <c r="S20" s="8">
        <f>+(T16*T19+(1-T16)*T20)/(1+U3)</f>
        <v>22.477443679894435</v>
      </c>
      <c r="T20" s="9">
        <f>+(U16*MAX(U11-$U$4,0)+(1-U16)*MAX(U12-$U$4,0))/(1+$U$3)</f>
        <v>6.8722330097087401</v>
      </c>
    </row>
    <row r="21" spans="1:21" ht="17" x14ac:dyDescent="0.25">
      <c r="S21" s="2" t="s">
        <v>15</v>
      </c>
      <c r="T21" s="4" t="s">
        <v>14</v>
      </c>
    </row>
    <row r="22" spans="1:21" ht="17" x14ac:dyDescent="0.25">
      <c r="A22" t="s">
        <v>16</v>
      </c>
      <c r="B22" s="8"/>
      <c r="C22" s="9">
        <f>(D18*MAX(D5-$C$3,)+(1-D18)*MAX(D6-$C$3,0))/(1+$C$2)</f>
        <v>5.7281553398058271</v>
      </c>
      <c r="J22" t="s">
        <v>16</v>
      </c>
      <c r="K22" t="s">
        <v>48</v>
      </c>
    </row>
    <row r="23" spans="1:21" x14ac:dyDescent="0.2">
      <c r="B23" s="9">
        <f>($C$19*C22+(1-$C$19)*C23)/(1+$C$2)</f>
        <v>3.1977566217362621</v>
      </c>
      <c r="C23" s="9">
        <f>(D19*MAX(D6-$C$3,)+(1-D19)*MAX(D7-$C$3,0))/(1+$C$2)</f>
        <v>0</v>
      </c>
      <c r="R23" t="s">
        <v>47</v>
      </c>
      <c r="S23" s="8"/>
      <c r="T23" s="9">
        <f>+MAX((U15*MAX(U10-$U$4,0)+(1-U15)*MAX(U11-$U$4,0))/(1+$U$3),(C6-$U$4),(T11-$U$4),0)</f>
        <v>45</v>
      </c>
    </row>
    <row r="24" spans="1:21" ht="17" x14ac:dyDescent="0.25">
      <c r="B24" s="2" t="s">
        <v>15</v>
      </c>
      <c r="C24" s="4" t="s">
        <v>14</v>
      </c>
      <c r="J24" t="s">
        <v>17</v>
      </c>
      <c r="K24" t="s">
        <v>25</v>
      </c>
      <c r="S24" s="8">
        <f>+MAX((T16*T23+(1-T16)*T24)/(1+U3),(B7-$U$4),(S12-$U$4),0)</f>
        <v>27.956989348666223</v>
      </c>
      <c r="T24" s="9">
        <f>+MAX((U16*MAX(U11-$U$4,0)+(1-U16)*MAX(U12-$U$4,0))/(1+$U$3),(C7-$U$4),(T12-$U$4),0)</f>
        <v>6.8722330097087401</v>
      </c>
    </row>
    <row r="25" spans="1:21" ht="17" x14ac:dyDescent="0.25">
      <c r="S25" s="2" t="s">
        <v>15</v>
      </c>
      <c r="T25" s="4" t="s">
        <v>14</v>
      </c>
    </row>
    <row r="26" spans="1:21" ht="17" x14ac:dyDescent="0.25">
      <c r="A26" t="s">
        <v>17</v>
      </c>
      <c r="B26" t="s">
        <v>18</v>
      </c>
      <c r="C26" s="12">
        <f>C16-C22</f>
        <v>0</v>
      </c>
      <c r="K26" t="s">
        <v>26</v>
      </c>
      <c r="L26" s="8">
        <f>K9-B7+C3/(1+$C$2)^2</f>
        <v>25.735224809124333</v>
      </c>
    </row>
    <row r="28" spans="1:21" x14ac:dyDescent="0.2">
      <c r="K28" t="s">
        <v>39</v>
      </c>
    </row>
    <row r="29" spans="1:21" x14ac:dyDescent="0.2">
      <c r="K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16DF-98C8-4A61-B6F4-6BE1E71CFFBD}">
  <dimension ref="A3:H23"/>
  <sheetViews>
    <sheetView zoomScale="72" workbookViewId="0">
      <selection activeCell="H21" sqref="H21"/>
    </sheetView>
  </sheetViews>
  <sheetFormatPr baseColWidth="10" defaultColWidth="8.83203125" defaultRowHeight="15" x14ac:dyDescent="0.2"/>
  <cols>
    <col min="1" max="8" width="13.6640625" customWidth="1"/>
  </cols>
  <sheetData>
    <row r="3" spans="1:8" x14ac:dyDescent="0.2">
      <c r="B3" t="s">
        <v>27</v>
      </c>
      <c r="C3" s="1">
        <v>0.02</v>
      </c>
    </row>
    <row r="4" spans="1:8" x14ac:dyDescent="0.2">
      <c r="B4" t="s">
        <v>33</v>
      </c>
      <c r="C4">
        <v>0.75</v>
      </c>
    </row>
    <row r="5" spans="1:8" x14ac:dyDescent="0.2">
      <c r="B5" t="s">
        <v>4</v>
      </c>
      <c r="C5">
        <v>100</v>
      </c>
    </row>
    <row r="6" spans="1:8" ht="17" x14ac:dyDescent="0.2">
      <c r="B6" t="s">
        <v>34</v>
      </c>
      <c r="C6" s="1">
        <v>0.23</v>
      </c>
    </row>
    <row r="8" spans="1:8" ht="17" x14ac:dyDescent="0.25">
      <c r="A8" t="s">
        <v>22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35</v>
      </c>
      <c r="H8" t="s">
        <v>36</v>
      </c>
    </row>
    <row r="9" spans="1:8" x14ac:dyDescent="0.2">
      <c r="B9">
        <v>75</v>
      </c>
      <c r="C9" s="12">
        <f>+(LN(B9/$C$5)+($C$3+$C$6^2/2)*$C$4)/($C$6*SQRT($C$4))</f>
        <v>-1.2693902779841002</v>
      </c>
      <c r="D9" s="12">
        <f>+(LN(B9/$C$5)+($C$3-$C$6^2/2)*$C$4)/($C$6*SQRT($C$4))</f>
        <v>-1.4685761208545214</v>
      </c>
      <c r="E9" s="12">
        <f>+_xlfn.NORM.DIST(C9,0,1,TRUE)</f>
        <v>0.10215095095539189</v>
      </c>
      <c r="F9" s="12">
        <f>+_xlfn.NORM.DIST(D9,0,1,TRUE)</f>
        <v>7.0973897815993323E-2</v>
      </c>
      <c r="G9" s="12">
        <f>+B9*E9-$C$5*EXP(-$C$3*$C$4)*F9</f>
        <v>0.66959790778411676</v>
      </c>
      <c r="H9" s="12">
        <f>+MAX(B9-$C$5,0)</f>
        <v>0</v>
      </c>
    </row>
    <row r="10" spans="1:8" x14ac:dyDescent="0.2">
      <c r="B10">
        <v>80</v>
      </c>
      <c r="C10" s="12">
        <f t="shared" ref="C10:C21" si="0">+(LN(B10/$C$5)+($C$3+$C$6^2/2)*$C$4)/($C$6*SQRT($C$4))</f>
        <v>-0.9453786905764735</v>
      </c>
      <c r="D10" s="12">
        <f t="shared" ref="D10:D21" si="1">+(LN(B10/$C$5)+($C$3-$C$6^2/2)*$C$4)/($C$6*SQRT($C$4))</f>
        <v>-1.1445645334468946</v>
      </c>
      <c r="E10" s="12">
        <f t="shared" ref="E10:E21" si="2">+_xlfn.NORM.DIST(C10,0,1,TRUE)</f>
        <v>0.17223278866409777</v>
      </c>
      <c r="F10" s="12">
        <f t="shared" ref="F10:F21" si="3">+_xlfn.NORM.DIST(D10,0,1,TRUE)</f>
        <v>0.1261947955401973</v>
      </c>
      <c r="G10" s="12">
        <f t="shared" ref="G10:G21" si="4">+B10*E10-$C$5*EXP(-$C$3*$C$4)*F10</f>
        <v>1.3470231128862533</v>
      </c>
      <c r="H10" s="12">
        <f t="shared" ref="H10:H21" si="5">+MAX(B10-$C$5,0)</f>
        <v>0</v>
      </c>
    </row>
    <row r="11" spans="1:8" x14ac:dyDescent="0.2">
      <c r="B11">
        <v>85</v>
      </c>
      <c r="C11" s="12">
        <f t="shared" si="0"/>
        <v>-0.64101658861788346</v>
      </c>
      <c r="D11" s="12">
        <f t="shared" si="1"/>
        <v>-0.84020243148830431</v>
      </c>
      <c r="E11" s="12">
        <f t="shared" si="2"/>
        <v>0.26075595262831325</v>
      </c>
      <c r="F11" s="12">
        <f t="shared" si="3"/>
        <v>0.20039744767068832</v>
      </c>
      <c r="G11" s="12">
        <f t="shared" si="4"/>
        <v>2.4228641367691246</v>
      </c>
      <c r="H11" s="12">
        <f t="shared" si="5"/>
        <v>0</v>
      </c>
    </row>
    <row r="12" spans="1:8" x14ac:dyDescent="0.2">
      <c r="B12">
        <v>90</v>
      </c>
      <c r="C12" s="12">
        <f t="shared" si="0"/>
        <v>-0.35405636586182776</v>
      </c>
      <c r="D12" s="12">
        <f t="shared" si="1"/>
        <v>-0.55324220873224872</v>
      </c>
      <c r="E12" s="12">
        <f t="shared" si="2"/>
        <v>0.36164832084237231</v>
      </c>
      <c r="F12" s="12">
        <f t="shared" si="3"/>
        <v>0.2900487839576476</v>
      </c>
      <c r="G12" s="12">
        <f t="shared" si="4"/>
        <v>3.9752968614107189</v>
      </c>
      <c r="H12" s="12">
        <f t="shared" si="5"/>
        <v>0</v>
      </c>
    </row>
    <row r="13" spans="1:8" x14ac:dyDescent="0.2">
      <c r="B13">
        <v>95</v>
      </c>
      <c r="C13" s="12">
        <f t="shared" si="0"/>
        <v>-8.2615281038099619E-2</v>
      </c>
      <c r="D13" s="12">
        <f t="shared" si="1"/>
        <v>-0.28180112390852058</v>
      </c>
      <c r="E13" s="12">
        <f t="shared" si="2"/>
        <v>0.46707872515114202</v>
      </c>
      <c r="F13" s="12">
        <f t="shared" si="3"/>
        <v>0.38904800454526089</v>
      </c>
      <c r="G13" s="12">
        <f t="shared" si="4"/>
        <v>6.0468954537301869</v>
      </c>
      <c r="H13" s="12">
        <f t="shared" si="5"/>
        <v>0</v>
      </c>
    </row>
    <row r="14" spans="1:8" x14ac:dyDescent="0.2">
      <c r="B14">
        <v>100</v>
      </c>
      <c r="C14" s="12">
        <f t="shared" si="0"/>
        <v>0.17489947828603125</v>
      </c>
      <c r="D14" s="12">
        <f t="shared" si="1"/>
        <v>-2.4286364584389698E-2</v>
      </c>
      <c r="E14" s="12">
        <f t="shared" si="2"/>
        <v>0.56942068988843808</v>
      </c>
      <c r="F14" s="12">
        <f t="shared" si="3"/>
        <v>0.49031209470490478</v>
      </c>
      <c r="G14" s="12">
        <f t="shared" si="4"/>
        <v>8.6408391262848809</v>
      </c>
      <c r="H14" s="12">
        <f t="shared" si="5"/>
        <v>0</v>
      </c>
    </row>
    <row r="15" spans="1:8" x14ac:dyDescent="0.2">
      <c r="B15">
        <v>105</v>
      </c>
      <c r="C15" s="12">
        <f t="shared" si="0"/>
        <v>0.41984742973844541</v>
      </c>
      <c r="D15" s="12">
        <f t="shared" si="1"/>
        <v>0.22066158686802445</v>
      </c>
      <c r="E15" s="12">
        <f t="shared" si="2"/>
        <v>0.66270154314491192</v>
      </c>
      <c r="F15" s="12">
        <f t="shared" si="3"/>
        <v>0.58732202829503433</v>
      </c>
      <c r="G15" s="12">
        <f t="shared" si="4"/>
        <v>11.725867783683142</v>
      </c>
      <c r="H15" s="12">
        <f t="shared" si="5"/>
        <v>5</v>
      </c>
    </row>
    <row r="16" spans="1:8" x14ac:dyDescent="0.2">
      <c r="B16">
        <v>110</v>
      </c>
      <c r="C16" s="12">
        <f t="shared" si="0"/>
        <v>0.65339824321245421</v>
      </c>
      <c r="D16" s="12">
        <f t="shared" si="1"/>
        <v>0.45421240034203325</v>
      </c>
      <c r="E16" s="12">
        <f t="shared" si="2"/>
        <v>0.74325021445274098</v>
      </c>
      <c r="F16" s="12">
        <f t="shared" si="3"/>
        <v>0.6751620206426574</v>
      </c>
      <c r="G16" s="12">
        <f t="shared" si="4"/>
        <v>15.246506819640388</v>
      </c>
      <c r="H16" s="12">
        <f t="shared" si="5"/>
        <v>10</v>
      </c>
    </row>
    <row r="17" spans="1:8" x14ac:dyDescent="0.2">
      <c r="B17">
        <v>115</v>
      </c>
      <c r="C17" s="12">
        <f t="shared" si="0"/>
        <v>0.87656552222309903</v>
      </c>
      <c r="D17" s="12">
        <f t="shared" si="1"/>
        <v>0.67737967935267818</v>
      </c>
      <c r="E17" s="12">
        <f t="shared" si="2"/>
        <v>0.80963866354142222</v>
      </c>
      <c r="F17" s="12">
        <f t="shared" si="3"/>
        <v>0.75091745604919657</v>
      </c>
      <c r="G17" s="12">
        <f t="shared" si="4"/>
        <v>19.134671146221393</v>
      </c>
      <c r="H17" s="12">
        <f t="shared" si="5"/>
        <v>15</v>
      </c>
    </row>
    <row r="18" spans="1:8" x14ac:dyDescent="0.2">
      <c r="B18">
        <v>120</v>
      </c>
      <c r="C18" s="12">
        <f t="shared" si="0"/>
        <v>1.0902333904083037</v>
      </c>
      <c r="D18" s="12">
        <f t="shared" si="1"/>
        <v>0.89104754753788284</v>
      </c>
      <c r="E18" s="12">
        <f t="shared" si="2"/>
        <v>0.86219482584589047</v>
      </c>
      <c r="F18" s="12">
        <f t="shared" si="3"/>
        <v>0.81354816868960533</v>
      </c>
      <c r="G18" s="12">
        <f t="shared" si="4"/>
        <v>23.319777659673193</v>
      </c>
      <c r="H18" s="12">
        <f t="shared" si="5"/>
        <v>20</v>
      </c>
    </row>
    <row r="19" spans="1:8" x14ac:dyDescent="0.2">
      <c r="B19">
        <v>125</v>
      </c>
      <c r="C19" s="12">
        <f t="shared" si="0"/>
        <v>1.2951776471485363</v>
      </c>
      <c r="D19" s="12">
        <f t="shared" si="1"/>
        <v>1.0959918042781154</v>
      </c>
      <c r="E19" s="12">
        <f t="shared" si="2"/>
        <v>0.90237052301790999</v>
      </c>
      <c r="F19" s="12">
        <f t="shared" si="3"/>
        <v>0.8634588194400441</v>
      </c>
      <c r="G19" s="12">
        <f t="shared" si="4"/>
        <v>27.735956138643502</v>
      </c>
      <c r="H19" s="12">
        <f t="shared" si="5"/>
        <v>25</v>
      </c>
    </row>
    <row r="20" spans="1:8" x14ac:dyDescent="0.2">
      <c r="B20">
        <v>130</v>
      </c>
      <c r="C20" s="12">
        <f t="shared" si="0"/>
        <v>1.4920827714690239</v>
      </c>
      <c r="D20" s="12">
        <f t="shared" si="1"/>
        <v>1.2928969285986029</v>
      </c>
      <c r="E20" s="12">
        <f t="shared" si="2"/>
        <v>0.93216127609493504</v>
      </c>
      <c r="F20" s="12">
        <f t="shared" si="3"/>
        <v>0.90197664502937691</v>
      </c>
      <c r="G20" s="12">
        <f t="shared" si="4"/>
        <v>32.326169666186303</v>
      </c>
      <c r="H20" s="12">
        <f t="shared" si="5"/>
        <v>30</v>
      </c>
    </row>
    <row r="21" spans="1:8" x14ac:dyDescent="0.2">
      <c r="B21">
        <v>135</v>
      </c>
      <c r="C21" s="12">
        <f t="shared" si="0"/>
        <v>1.6815557151229503</v>
      </c>
      <c r="D21" s="12">
        <f t="shared" si="1"/>
        <v>1.4823698722525294</v>
      </c>
      <c r="E21" s="12">
        <f t="shared" si="2"/>
        <v>0.95367248796934601</v>
      </c>
      <c r="F21" s="12">
        <f t="shared" si="3"/>
        <v>0.93087904707872726</v>
      </c>
      <c r="G21" s="12">
        <f t="shared" si="4"/>
        <v>37.043779515504156</v>
      </c>
      <c r="H21" s="12">
        <f t="shared" si="5"/>
        <v>35</v>
      </c>
    </row>
    <row r="23" spans="1:8" x14ac:dyDescent="0.2">
      <c r="A23" t="s">
        <v>10</v>
      </c>
    </row>
  </sheetData>
  <phoneticPr fontId="5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 12 Part I</vt:lpstr>
      <vt:lpstr>PS 12 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Jeppe Vanderhaegen</cp:lastModifiedBy>
  <dcterms:created xsi:type="dcterms:W3CDTF">2024-11-19T05:59:41Z</dcterms:created>
  <dcterms:modified xsi:type="dcterms:W3CDTF">2024-12-06T13:06:39Z</dcterms:modified>
</cp:coreProperties>
</file>