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vander/Documents/Uni/"/>
    </mc:Choice>
  </mc:AlternateContent>
  <xr:revisionPtr revIDLastSave="0" documentId="13_ncr:1_{01AE197F-FDE6-3841-A7DE-51027C059CE5}" xr6:coauthVersionLast="47" xr6:coauthVersionMax="47" xr10:uidLastSave="{00000000-0000-0000-0000-000000000000}"/>
  <bookViews>
    <workbookView xWindow="340" yWindow="500" windowWidth="26840" windowHeight="14600" xr2:uid="{28F85C25-2EDF-9B46-9A24-B59AECCB21F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99" i="1" l="1"/>
  <c r="C301" i="1"/>
  <c r="C394" i="1"/>
  <c r="B395" i="1" s="1"/>
  <c r="C391" i="1"/>
  <c r="C395" i="1"/>
  <c r="D391" i="1"/>
  <c r="D390" i="1"/>
  <c r="C392" i="1"/>
  <c r="D392" i="1"/>
  <c r="B392" i="1"/>
  <c r="C322" i="1"/>
  <c r="C298" i="1"/>
  <c r="C297" i="1"/>
  <c r="C295" i="1"/>
  <c r="C292" i="1"/>
  <c r="C228" i="1"/>
  <c r="C204" i="1" a="1"/>
  <c r="C204" i="1" s="1"/>
  <c r="B168" i="1" a="1"/>
  <c r="B168" i="1" s="1"/>
  <c r="G107" i="1"/>
  <c r="G108" i="1"/>
  <c r="D109" i="1"/>
  <c r="J80" i="1"/>
  <c r="B83" i="1" s="1" a="1"/>
  <c r="B83" i="1" s="1"/>
  <c r="J81" i="1"/>
  <c r="J79" i="1"/>
  <c r="C48" i="1" a="1"/>
  <c r="C48" i="1" s="1"/>
  <c r="C46" i="1"/>
  <c r="G109" i="1" l="1"/>
  <c r="G110" i="1" s="1"/>
  <c r="B86" i="1"/>
  <c r="E83" i="1" s="1"/>
  <c r="E84" i="1" l="1"/>
  <c r="E85" i="1"/>
  <c r="H83" i="1" l="1" a="1"/>
  <c r="H83" i="1" s="1"/>
  <c r="E86" i="1"/>
  <c r="H85" i="1" a="1"/>
  <c r="H85" i="1" s="1"/>
  <c r="H8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<sst xmlns="http://schemas.openxmlformats.org/spreadsheetml/2006/main" count="90" uniqueCount="75">
  <si>
    <t xml:space="preserve">We use that </t>
  </si>
  <si>
    <t>x=(r_p-r_2)/(r_1-r_2)</t>
  </si>
  <si>
    <t>x</t>
  </si>
  <si>
    <t xml:space="preserve">Svar </t>
  </si>
  <si>
    <t>Tjekker ER</t>
  </si>
  <si>
    <t>b</t>
  </si>
  <si>
    <t>A</t>
  </si>
  <si>
    <t>risk</t>
  </si>
  <si>
    <t>b-rf</t>
  </si>
  <si>
    <t>X</t>
  </si>
  <si>
    <t>ER</t>
  </si>
  <si>
    <t>Vol</t>
  </si>
  <si>
    <t>Var</t>
  </si>
  <si>
    <t>Market ER</t>
  </si>
  <si>
    <t>Market Vol</t>
  </si>
  <si>
    <t>risk free</t>
  </si>
  <si>
    <t>Stock Vol</t>
  </si>
  <si>
    <t>r_i=r_f+\beta(r_m-r_f)</t>
  </si>
  <si>
    <t>beta=</t>
  </si>
  <si>
    <t xml:space="preserve">covar/Var(Stock) </t>
  </si>
  <si>
    <t>Svar</t>
  </si>
  <si>
    <t>r_i</t>
  </si>
  <si>
    <t>Beta</t>
  </si>
  <si>
    <t>Prem</t>
  </si>
  <si>
    <t>Beta * Prem</t>
  </si>
  <si>
    <t>Beta*Prem + rf</t>
  </si>
  <si>
    <t>Covariance</t>
  </si>
  <si>
    <t>a</t>
  </si>
  <si>
    <t>V</t>
  </si>
  <si>
    <t>p</t>
  </si>
  <si>
    <t>Using the formula p=Vd</t>
  </si>
  <si>
    <t>We are searching for d</t>
  </si>
  <si>
    <t>d</t>
  </si>
  <si>
    <t>Beta^ U</t>
  </si>
  <si>
    <t>Debt</t>
  </si>
  <si>
    <t>Equity</t>
  </si>
  <si>
    <t>We use the formula</t>
  </si>
  <si>
    <t>B^L=B^U+D/E(BÛ-B^D)</t>
  </si>
  <si>
    <t>B^L</t>
  </si>
  <si>
    <t xml:space="preserve">Fordi alpha tjener et risk-adjusted bedre afkastet end market portfolio </t>
  </si>
  <si>
    <t xml:space="preserve">We are looking at the formula </t>
  </si>
  <si>
    <t>Creditors does not have covenants</t>
  </si>
  <si>
    <t xml:space="preserve">Safe debt is the reason why B^D is 0 </t>
  </si>
  <si>
    <t>wacc after tax=E/(D+E)*r_e+D/D+E*rc*(1-t)</t>
  </si>
  <si>
    <t>Tax shield bliver mindre. GG Jeppe</t>
  </si>
  <si>
    <t>Defaults are costly</t>
  </si>
  <si>
    <t>Shareholders increase default chance</t>
  </si>
  <si>
    <t xml:space="preserve">What is inconsistent </t>
  </si>
  <si>
    <t xml:space="preserve">Cash </t>
  </si>
  <si>
    <t>Market val</t>
  </si>
  <si>
    <t>Million shares</t>
  </si>
  <si>
    <t>Share price</t>
  </si>
  <si>
    <t>New market</t>
  </si>
  <si>
    <t>New share</t>
  </si>
  <si>
    <t>Bought shares</t>
  </si>
  <si>
    <t>New million share</t>
  </si>
  <si>
    <t>After market</t>
  </si>
  <si>
    <t>New price</t>
  </si>
  <si>
    <t>stock</t>
  </si>
  <si>
    <t>Strike</t>
  </si>
  <si>
    <t>P_0</t>
  </si>
  <si>
    <t>Risk free</t>
  </si>
  <si>
    <t>p+s=c+dis(k)</t>
  </si>
  <si>
    <t>C-Premium</t>
  </si>
  <si>
    <t xml:space="preserve">Therefore </t>
  </si>
  <si>
    <t>C=P+s-dis(k)</t>
  </si>
  <si>
    <t xml:space="preserve">American put can be exercised early. </t>
  </si>
  <si>
    <t>t_0</t>
  </si>
  <si>
    <t>t_1</t>
  </si>
  <si>
    <t>t_2</t>
  </si>
  <si>
    <t xml:space="preserve">Risk free </t>
  </si>
  <si>
    <t>c_0</t>
  </si>
  <si>
    <t>c_1</t>
  </si>
  <si>
    <t xml:space="preserve">We then use the Put call parity </t>
  </si>
  <si>
    <t xml:space="preserve">Sæt skemaet op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</si>
</sst>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711200</xdr:colOff>
      <xdr:row>6</xdr:row>
      <xdr:rowOff>29935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FD015A-AAB4-AA33-7E78-4F465FEC6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7772400" cy="1249135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63500</xdr:rowOff>
    </xdr:from>
    <xdr:to>
      <xdr:col>8</xdr:col>
      <xdr:colOff>711200</xdr:colOff>
      <xdr:row>22</xdr:row>
      <xdr:rowOff>178216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BC233A-CD8E-A0DB-CBE1-401F8778E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" y="1282700"/>
          <a:ext cx="7772400" cy="3365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88900</xdr:rowOff>
    </xdr:from>
    <xdr:to>
      <xdr:col>8</xdr:col>
      <xdr:colOff>685800</xdr:colOff>
      <xdr:row>41</xdr:row>
      <xdr:rowOff>33092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584638-7DEA-C0FD-8E32-EF7D282AC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68900"/>
          <a:ext cx="7772400" cy="31953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51</xdr:row>
      <xdr:rowOff>88900</xdr:rowOff>
    </xdr:from>
    <xdr:to>
      <xdr:col>8</xdr:col>
      <xdr:colOff>723900</xdr:colOff>
      <xdr:row>74</xdr:row>
      <xdr:rowOff>192696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DF76E5-8141-2BEF-D705-9603A26E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0452100"/>
          <a:ext cx="7772400" cy="4777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12700</xdr:rowOff>
    </xdr:from>
    <xdr:to>
      <xdr:col>8</xdr:col>
      <xdr:colOff>685800</xdr:colOff>
      <xdr:row>101</xdr:row>
      <xdr:rowOff>16300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FF80BE-616B-3403-4F5F-A7293F6B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487900"/>
          <a:ext cx="7772400" cy="264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38100</xdr:rowOff>
    </xdr:from>
    <xdr:to>
      <xdr:col>8</xdr:col>
      <xdr:colOff>685800</xdr:colOff>
      <xdr:row>128</xdr:row>
      <xdr:rowOff>90525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CA9C80-F569-8E4F-47F2-4CC0523D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780500"/>
          <a:ext cx="7772400" cy="350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134</xdr:row>
      <xdr:rowOff>25400</xdr:rowOff>
    </xdr:from>
    <xdr:to>
      <xdr:col>8</xdr:col>
      <xdr:colOff>698500</xdr:colOff>
      <xdr:row>158</xdr:row>
      <xdr:rowOff>128520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31E186-1545-FD31-0686-7A1A45D34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26847800"/>
          <a:ext cx="7772400" cy="497992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171</xdr:row>
      <xdr:rowOff>12700</xdr:rowOff>
    </xdr:from>
    <xdr:to>
      <xdr:col>8</xdr:col>
      <xdr:colOff>711200</xdr:colOff>
      <xdr:row>195</xdr:row>
      <xdr:rowOff>26567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437415-F861-24F0-7760-71D8C06F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34353500"/>
          <a:ext cx="7772400" cy="4890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190500</xdr:rowOff>
    </xdr:from>
    <xdr:to>
      <xdr:col>8</xdr:col>
      <xdr:colOff>685800</xdr:colOff>
      <xdr:row>221</xdr:row>
      <xdr:rowOff>71797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8A6EE7C-7C7F-754B-4595-241107B68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252900"/>
          <a:ext cx="7772400" cy="231969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229</xdr:row>
      <xdr:rowOff>190500</xdr:rowOff>
    </xdr:from>
    <xdr:to>
      <xdr:col>8</xdr:col>
      <xdr:colOff>723900</xdr:colOff>
      <xdr:row>241</xdr:row>
      <xdr:rowOff>154608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36A9A6-C795-9CF8-AF47-C2BA12A4C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46316900"/>
          <a:ext cx="7772400" cy="24025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248</xdr:row>
      <xdr:rowOff>152400</xdr:rowOff>
    </xdr:from>
    <xdr:to>
      <xdr:col>8</xdr:col>
      <xdr:colOff>698500</xdr:colOff>
      <xdr:row>262</xdr:row>
      <xdr:rowOff>57205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BBDA5-3CBF-D597-E12F-89AB81DB9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" y="50546000"/>
          <a:ext cx="7772400" cy="274960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268</xdr:row>
      <xdr:rowOff>165100</xdr:rowOff>
    </xdr:from>
    <xdr:to>
      <xdr:col>9</xdr:col>
      <xdr:colOff>50800</xdr:colOff>
      <xdr:row>284</xdr:row>
      <xdr:rowOff>109005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70FB0F-5662-A220-549C-E80C068F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54622700"/>
          <a:ext cx="7772400" cy="319510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301</xdr:row>
      <xdr:rowOff>152400</xdr:rowOff>
    </xdr:from>
    <xdr:to>
      <xdr:col>8</xdr:col>
      <xdr:colOff>736600</xdr:colOff>
      <xdr:row>314</xdr:row>
      <xdr:rowOff>26640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2A6108-6909-606B-7C51-7E5725D7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800" y="61315600"/>
          <a:ext cx="7772400" cy="2515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152400</xdr:rowOff>
    </xdr:from>
    <xdr:to>
      <xdr:col>8</xdr:col>
      <xdr:colOff>685800</xdr:colOff>
      <xdr:row>355</xdr:row>
      <xdr:rowOff>31970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37FCC53-5BFA-2FA1-7E13-BABEC27F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5786000"/>
          <a:ext cx="7772400" cy="6381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38100</xdr:rowOff>
    </xdr:from>
    <xdr:to>
      <xdr:col>8</xdr:col>
      <xdr:colOff>685800</xdr:colOff>
      <xdr:row>382</xdr:row>
      <xdr:rowOff>41275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835C0F8-5292-B5AB-5EAA-30985BB48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5018900"/>
          <a:ext cx="7772400" cy="2644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4A081-9318-BF43-AF75-F6DE00118F47}">
  <dimension ref="A25:J401"/>
  <sheetViews>
    <sheetView tabSelected="1" topLeftCell="A383" workbookViewId="0">
      <selection activeCell="B403" sqref="B403"/>
    </sheetView>
  </sheetViews>
  <sheetFormatPr baseColWidth="10" defaultRowHeight="16" x14ac:dyDescent="0.2"/>
  <cols>
    <col min="3" max="3" width="14.6640625" bestFit="1" customWidth="1"/>
    <col min="5" max="5" width="13.33203125" bestFit="1" customWidth="1"/>
  </cols>
  <sheetData>
    <row r="25" spans="2:3" x14ac:dyDescent="0.2">
      <c r="B25" t="s">
        <v>20</v>
      </c>
      <c r="C25">
        <v>4</v>
      </c>
    </row>
    <row r="44" spans="2:5" x14ac:dyDescent="0.2">
      <c r="B44" t="s">
        <v>0</v>
      </c>
      <c r="C44" t="s">
        <v>1</v>
      </c>
    </row>
    <row r="46" spans="2:5" x14ac:dyDescent="0.2">
      <c r="B46" t="s">
        <v>2</v>
      </c>
      <c r="C46">
        <f>(0.05-0.15)/(0.07-0.15)</f>
        <v>1.25</v>
      </c>
    </row>
    <row r="47" spans="2:5" x14ac:dyDescent="0.2">
      <c r="B47" t="s">
        <v>3</v>
      </c>
      <c r="C47">
        <v>3</v>
      </c>
      <c r="E47">
        <v>7.0000000000000007E-2</v>
      </c>
    </row>
    <row r="48" spans="2:5" x14ac:dyDescent="0.2">
      <c r="B48" t="s">
        <v>4</v>
      </c>
      <c r="C48" cm="1">
        <f t="array" ref="C48">MMULT(B50:C50,E47:E48)</f>
        <v>5.000000000000001E-2</v>
      </c>
      <c r="E48">
        <v>0.15</v>
      </c>
    </row>
    <row r="50" spans="2:3" x14ac:dyDescent="0.2">
      <c r="B50">
        <v>1.25</v>
      </c>
      <c r="C50">
        <v>-0.25</v>
      </c>
    </row>
    <row r="77" spans="1:10" x14ac:dyDescent="0.2">
      <c r="D77" t="s">
        <v>7</v>
      </c>
      <c r="E77">
        <v>0.04</v>
      </c>
    </row>
    <row r="79" spans="1:10" x14ac:dyDescent="0.2">
      <c r="B79">
        <v>0.47</v>
      </c>
      <c r="C79">
        <v>0.01</v>
      </c>
      <c r="D79">
        <v>-0.08</v>
      </c>
      <c r="G79">
        <v>0.15</v>
      </c>
      <c r="J79">
        <f>G79-$E$77</f>
        <v>0.10999999999999999</v>
      </c>
    </row>
    <row r="80" spans="1:10" x14ac:dyDescent="0.2">
      <c r="A80" t="s">
        <v>6</v>
      </c>
      <c r="B80">
        <v>0.01</v>
      </c>
      <c r="C80">
        <v>0.09</v>
      </c>
      <c r="D80">
        <v>0.1</v>
      </c>
      <c r="F80" t="s">
        <v>5</v>
      </c>
      <c r="G80">
        <v>7.0000000000000007E-2</v>
      </c>
      <c r="I80" t="s">
        <v>8</v>
      </c>
      <c r="J80">
        <f t="shared" ref="J80:J81" si="0">G80-$E$77</f>
        <v>3.0000000000000006E-2</v>
      </c>
    </row>
    <row r="81" spans="2:10" x14ac:dyDescent="0.2">
      <c r="B81">
        <v>-0.08</v>
      </c>
      <c r="C81">
        <v>0.1</v>
      </c>
      <c r="D81">
        <v>0.52</v>
      </c>
      <c r="G81">
        <v>0.19</v>
      </c>
      <c r="J81">
        <f t="shared" si="0"/>
        <v>0.15</v>
      </c>
    </row>
    <row r="83" spans="2:10" x14ac:dyDescent="0.2">
      <c r="B83" s="2" cm="1">
        <f t="array" ref="B83:B85">MMULT(MINVERSE(B79:D81),J79:J81)</f>
        <v>0.29573540101768836</v>
      </c>
      <c r="D83" t="s">
        <v>2</v>
      </c>
      <c r="E83" s="2">
        <f>B83/$B$86</f>
        <v>0.53076755816481835</v>
      </c>
      <c r="G83" t="s">
        <v>10</v>
      </c>
      <c r="H83" s="1" cm="1">
        <f t="array" ref="H83">MMULT(TRANSPOSE(E83:E85),G79:G81)</f>
        <v>0.18810393563818217</v>
      </c>
    </row>
    <row r="84" spans="2:10" x14ac:dyDescent="0.2">
      <c r="B84" s="2">
        <v>-8.9774654712866442E-2</v>
      </c>
      <c r="E84" s="2">
        <f t="shared" ref="E84:E85" si="1">B84/$B$86</f>
        <v>-0.16112198303979117</v>
      </c>
      <c r="G84" t="s">
        <v>11</v>
      </c>
      <c r="H84" s="1">
        <f>SQRT(H85)</f>
        <v>0.51556547522383833</v>
      </c>
    </row>
    <row r="85" spans="2:10" x14ac:dyDescent="0.2">
      <c r="B85" s="2">
        <v>0.35122364913981097</v>
      </c>
      <c r="E85" s="2">
        <f t="shared" si="1"/>
        <v>0.63035442487497273</v>
      </c>
      <c r="G85" t="s">
        <v>12</v>
      </c>
      <c r="H85" s="1" cm="1">
        <f t="array" ref="H85">MMULT(MMULT(TRANSPOSE(E83:E85),B79:D81),E83:E85)</f>
        <v>0.26580775924278227</v>
      </c>
    </row>
    <row r="86" spans="2:10" x14ac:dyDescent="0.2">
      <c r="B86">
        <f>SUM(_xlfn.ANCHORARRAY(B83))</f>
        <v>0.55718439544463294</v>
      </c>
      <c r="D86" t="s">
        <v>9</v>
      </c>
      <c r="E86">
        <f>SUM(E83:E85)</f>
        <v>0.99999999999999989</v>
      </c>
      <c r="G86" t="s">
        <v>20</v>
      </c>
      <c r="H86">
        <v>1</v>
      </c>
    </row>
    <row r="103" spans="3:10" x14ac:dyDescent="0.2">
      <c r="C103" t="s">
        <v>13</v>
      </c>
      <c r="D103">
        <v>0.12</v>
      </c>
    </row>
    <row r="104" spans="3:10" x14ac:dyDescent="0.2">
      <c r="C104" t="s">
        <v>14</v>
      </c>
      <c r="D104">
        <v>0.4</v>
      </c>
    </row>
    <row r="105" spans="3:10" x14ac:dyDescent="0.2">
      <c r="C105" t="s">
        <v>16</v>
      </c>
      <c r="D105">
        <v>0.6</v>
      </c>
      <c r="F105" t="s">
        <v>17</v>
      </c>
      <c r="I105" t="s">
        <v>18</v>
      </c>
      <c r="J105" t="s">
        <v>19</v>
      </c>
    </row>
    <row r="106" spans="3:10" x14ac:dyDescent="0.2">
      <c r="C106" t="s">
        <v>26</v>
      </c>
      <c r="D106">
        <v>0.15</v>
      </c>
    </row>
    <row r="107" spans="3:10" x14ac:dyDescent="0.2">
      <c r="C107" t="s">
        <v>15</v>
      </c>
      <c r="D107">
        <v>0.04</v>
      </c>
      <c r="F107" t="s">
        <v>22</v>
      </c>
      <c r="G107">
        <f>D106/D104^2</f>
        <v>0.93749999999999978</v>
      </c>
    </row>
    <row r="108" spans="3:10" x14ac:dyDescent="0.2">
      <c r="F108" t="s">
        <v>23</v>
      </c>
      <c r="G108">
        <f>D103-D107</f>
        <v>7.9999999999999988E-2</v>
      </c>
    </row>
    <row r="109" spans="3:10" x14ac:dyDescent="0.2">
      <c r="C109" t="s">
        <v>21</v>
      </c>
      <c r="D109">
        <f>D107+D106/D104^2*(D103-D107)</f>
        <v>0.11499999999999996</v>
      </c>
      <c r="F109" t="s">
        <v>24</v>
      </c>
      <c r="G109">
        <f>G107*G108</f>
        <v>7.4999999999999969E-2</v>
      </c>
    </row>
    <row r="110" spans="3:10" x14ac:dyDescent="0.2">
      <c r="C110" t="s">
        <v>20</v>
      </c>
      <c r="D110">
        <v>3</v>
      </c>
      <c r="F110" t="s">
        <v>25</v>
      </c>
      <c r="G110">
        <f>G109+D107</f>
        <v>0.11499999999999996</v>
      </c>
    </row>
    <row r="131" spans="3:4" x14ac:dyDescent="0.2">
      <c r="C131" t="s">
        <v>3</v>
      </c>
      <c r="D131">
        <v>1</v>
      </c>
    </row>
    <row r="132" spans="3:4" x14ac:dyDescent="0.2">
      <c r="C132" t="s">
        <v>39</v>
      </c>
    </row>
    <row r="162" spans="2:8" x14ac:dyDescent="0.2">
      <c r="C162">
        <v>7.3999999999999996E-2</v>
      </c>
      <c r="F162">
        <v>0.35</v>
      </c>
      <c r="G162">
        <v>-1.1399999999999999</v>
      </c>
      <c r="H162">
        <v>1</v>
      </c>
    </row>
    <row r="163" spans="2:8" x14ac:dyDescent="0.2">
      <c r="B163" t="s">
        <v>27</v>
      </c>
      <c r="C163">
        <v>0.17699999999999999</v>
      </c>
      <c r="E163" t="s">
        <v>28</v>
      </c>
      <c r="F163">
        <v>0.47</v>
      </c>
      <c r="G163">
        <v>0.62</v>
      </c>
      <c r="H163">
        <v>1</v>
      </c>
    </row>
    <row r="164" spans="2:8" x14ac:dyDescent="0.2">
      <c r="C164">
        <v>0.21299999999999999</v>
      </c>
      <c r="F164">
        <v>1.22</v>
      </c>
      <c r="G164">
        <v>0.37</v>
      </c>
      <c r="H164">
        <v>1</v>
      </c>
    </row>
    <row r="166" spans="2:8" x14ac:dyDescent="0.2">
      <c r="B166">
        <v>0</v>
      </c>
      <c r="C166">
        <v>1</v>
      </c>
      <c r="D166">
        <v>1</v>
      </c>
    </row>
    <row r="168" spans="2:8" x14ac:dyDescent="0.2">
      <c r="B168" s="2" cm="1">
        <f t="array" ref="B168:D168">MMULT(B166:D166,MINVERSE(F162:H164))</f>
        <v>-0.12407407407407406</v>
      </c>
      <c r="C168" s="2">
        <v>1.7705925925925925</v>
      </c>
      <c r="D168" s="2">
        <v>-0.6465185185185186</v>
      </c>
    </row>
    <row r="170" spans="2:8" x14ac:dyDescent="0.2">
      <c r="B170" t="s">
        <v>20</v>
      </c>
      <c r="C170">
        <v>4</v>
      </c>
    </row>
    <row r="198" spans="2:9" x14ac:dyDescent="0.2">
      <c r="C198">
        <v>5</v>
      </c>
      <c r="D198">
        <v>12</v>
      </c>
      <c r="E198">
        <v>19</v>
      </c>
      <c r="F198">
        <v>26</v>
      </c>
      <c r="I198">
        <v>15.25</v>
      </c>
    </row>
    <row r="199" spans="2:9" x14ac:dyDescent="0.2">
      <c r="C199">
        <v>18</v>
      </c>
      <c r="D199">
        <v>15</v>
      </c>
      <c r="E199">
        <v>13</v>
      </c>
      <c r="F199">
        <v>12</v>
      </c>
      <c r="H199" t="s">
        <v>29</v>
      </c>
      <c r="I199">
        <v>13.45</v>
      </c>
    </row>
    <row r="200" spans="2:9" x14ac:dyDescent="0.2">
      <c r="B200" t="s">
        <v>28</v>
      </c>
      <c r="C200">
        <v>7</v>
      </c>
      <c r="D200">
        <v>18</v>
      </c>
      <c r="E200">
        <v>27</v>
      </c>
      <c r="F200">
        <v>33</v>
      </c>
      <c r="I200">
        <v>21.4</v>
      </c>
    </row>
    <row r="201" spans="2:9" x14ac:dyDescent="0.2">
      <c r="C201">
        <v>9</v>
      </c>
      <c r="D201">
        <v>16</v>
      </c>
      <c r="E201">
        <v>18</v>
      </c>
      <c r="F201">
        <v>11</v>
      </c>
      <c r="I201">
        <v>14.45</v>
      </c>
    </row>
    <row r="203" spans="2:9" x14ac:dyDescent="0.2">
      <c r="B203" t="s">
        <v>30</v>
      </c>
      <c r="D203" t="s">
        <v>31</v>
      </c>
    </row>
    <row r="204" spans="2:9" x14ac:dyDescent="0.2">
      <c r="B204" t="s">
        <v>32</v>
      </c>
      <c r="C204" s="2" cm="1">
        <f t="array" ref="C204:C207">MMULT(MINVERSE(C198:F201),I198:I201)</f>
        <v>8.6253369272245806E-2</v>
      </c>
    </row>
    <row r="205" spans="2:9" x14ac:dyDescent="0.2">
      <c r="C205" s="2">
        <v>0.39676549865225041</v>
      </c>
    </row>
    <row r="206" spans="2:9" x14ac:dyDescent="0.2">
      <c r="C206" s="2">
        <v>0.30822102425877063</v>
      </c>
    </row>
    <row r="207" spans="2:9" x14ac:dyDescent="0.2">
      <c r="C207" s="2">
        <v>0.16159029649595347</v>
      </c>
    </row>
    <row r="209" spans="2:3" x14ac:dyDescent="0.2">
      <c r="B209" t="s">
        <v>20</v>
      </c>
      <c r="C209">
        <v>3</v>
      </c>
    </row>
    <row r="224" spans="2:3" x14ac:dyDescent="0.2">
      <c r="B224" t="s">
        <v>33</v>
      </c>
      <c r="C224">
        <v>1.3</v>
      </c>
    </row>
    <row r="225" spans="2:7" x14ac:dyDescent="0.2">
      <c r="B225" t="s">
        <v>34</v>
      </c>
      <c r="C225">
        <v>0.3</v>
      </c>
      <c r="E225" t="s">
        <v>36</v>
      </c>
      <c r="G225" t="s">
        <v>37</v>
      </c>
    </row>
    <row r="226" spans="2:7" x14ac:dyDescent="0.2">
      <c r="B226" t="s">
        <v>35</v>
      </c>
      <c r="C226">
        <v>0.7</v>
      </c>
      <c r="E226" t="s">
        <v>42</v>
      </c>
    </row>
    <row r="228" spans="2:7" x14ac:dyDescent="0.2">
      <c r="B228" t="s">
        <v>38</v>
      </c>
      <c r="C228" s="2">
        <f>C224+C225/C226*(C224-0)</f>
        <v>1.8571428571428572</v>
      </c>
    </row>
    <row r="229" spans="2:7" x14ac:dyDescent="0.2">
      <c r="B229" t="s">
        <v>20</v>
      </c>
      <c r="C229">
        <v>2</v>
      </c>
    </row>
    <row r="244" spans="2:5" x14ac:dyDescent="0.2">
      <c r="B244" t="s">
        <v>40</v>
      </c>
      <c r="E244" t="s">
        <v>43</v>
      </c>
    </row>
    <row r="245" spans="2:5" x14ac:dyDescent="0.2">
      <c r="B245" t="s">
        <v>3</v>
      </c>
      <c r="C245">
        <v>1</v>
      </c>
    </row>
    <row r="246" spans="2:5" x14ac:dyDescent="0.2">
      <c r="B246" t="s">
        <v>44</v>
      </c>
    </row>
    <row r="265" spans="2:2" x14ac:dyDescent="0.2">
      <c r="B265" t="s">
        <v>45</v>
      </c>
    </row>
    <row r="266" spans="2:2" x14ac:dyDescent="0.2">
      <c r="B266" t="s">
        <v>41</v>
      </c>
    </row>
    <row r="267" spans="2:2" x14ac:dyDescent="0.2">
      <c r="B267" t="s">
        <v>46</v>
      </c>
    </row>
    <row r="268" spans="2:2" x14ac:dyDescent="0.2">
      <c r="B268" t="s">
        <v>47</v>
      </c>
    </row>
    <row r="288" spans="2:6" x14ac:dyDescent="0.2">
      <c r="B288" t="s">
        <v>48</v>
      </c>
      <c r="C288">
        <v>100</v>
      </c>
      <c r="E288" t="s">
        <v>20</v>
      </c>
      <c r="F288">
        <v>3</v>
      </c>
    </row>
    <row r="289" spans="2:3" x14ac:dyDescent="0.2">
      <c r="B289" t="s">
        <v>49</v>
      </c>
      <c r="C289">
        <v>500</v>
      </c>
    </row>
    <row r="290" spans="2:3" x14ac:dyDescent="0.2">
      <c r="B290" t="s">
        <v>50</v>
      </c>
      <c r="C290">
        <v>50</v>
      </c>
    </row>
    <row r="292" spans="2:3" x14ac:dyDescent="0.2">
      <c r="B292" t="s">
        <v>51</v>
      </c>
      <c r="C292">
        <f>C289/C290</f>
        <v>10</v>
      </c>
    </row>
    <row r="294" spans="2:3" x14ac:dyDescent="0.2">
      <c r="B294" t="s">
        <v>52</v>
      </c>
      <c r="C294">
        <v>540</v>
      </c>
    </row>
    <row r="295" spans="2:3" x14ac:dyDescent="0.2">
      <c r="B295" t="s">
        <v>53</v>
      </c>
      <c r="C295">
        <f>C294/C290</f>
        <v>10.8</v>
      </c>
    </row>
    <row r="297" spans="2:3" x14ac:dyDescent="0.2">
      <c r="B297" t="s">
        <v>54</v>
      </c>
      <c r="C297" s="2">
        <f>C288/C295</f>
        <v>9.2592592592592595</v>
      </c>
    </row>
    <row r="298" spans="2:3" x14ac:dyDescent="0.2">
      <c r="B298" t="s">
        <v>55</v>
      </c>
      <c r="C298" s="2">
        <f>C290-C297</f>
        <v>40.74074074074074</v>
      </c>
    </row>
    <row r="300" spans="2:3" x14ac:dyDescent="0.2">
      <c r="B300" t="s">
        <v>56</v>
      </c>
      <c r="C300">
        <v>400</v>
      </c>
    </row>
    <row r="301" spans="2:3" x14ac:dyDescent="0.2">
      <c r="B301" t="s">
        <v>57</v>
      </c>
      <c r="C301" s="2">
        <f>C300/C298</f>
        <v>9.8181818181818183</v>
      </c>
    </row>
    <row r="317" spans="2:6" x14ac:dyDescent="0.2">
      <c r="B317" t="s">
        <v>58</v>
      </c>
      <c r="C317">
        <v>100</v>
      </c>
      <c r="E317" t="s">
        <v>0</v>
      </c>
      <c r="F317" t="s">
        <v>62</v>
      </c>
    </row>
    <row r="318" spans="2:6" x14ac:dyDescent="0.2">
      <c r="B318" t="s">
        <v>59</v>
      </c>
      <c r="C318">
        <v>95</v>
      </c>
      <c r="E318" t="s">
        <v>64</v>
      </c>
      <c r="F318" t="s">
        <v>65</v>
      </c>
    </row>
    <row r="319" spans="2:6" x14ac:dyDescent="0.2">
      <c r="B319" t="s">
        <v>60</v>
      </c>
      <c r="C319">
        <v>30</v>
      </c>
    </row>
    <row r="320" spans="2:6" x14ac:dyDescent="0.2">
      <c r="B320" t="s">
        <v>61</v>
      </c>
      <c r="C320">
        <v>0.03</v>
      </c>
    </row>
    <row r="322" spans="2:3" x14ac:dyDescent="0.2">
      <c r="B322" t="s">
        <v>63</v>
      </c>
      <c r="C322" s="2">
        <f>C319+C317-C318/(1+C320)</f>
        <v>37.766990291262132</v>
      </c>
    </row>
    <row r="323" spans="2:3" x14ac:dyDescent="0.2">
      <c r="B323" t="s">
        <v>66</v>
      </c>
    </row>
    <row r="358" spans="2:5" x14ac:dyDescent="0.2">
      <c r="B358" t="s">
        <v>20</v>
      </c>
      <c r="C358">
        <v>3</v>
      </c>
      <c r="E358" t="s">
        <v>74</v>
      </c>
    </row>
    <row r="384" spans="4:7" x14ac:dyDescent="0.2">
      <c r="D384">
        <v>92</v>
      </c>
      <c r="F384" t="s">
        <v>70</v>
      </c>
      <c r="G384">
        <v>0.01</v>
      </c>
    </row>
    <row r="385" spans="2:7" x14ac:dyDescent="0.2">
      <c r="C385">
        <v>86</v>
      </c>
      <c r="D385">
        <v>81</v>
      </c>
      <c r="F385" t="s">
        <v>59</v>
      </c>
      <c r="G385">
        <v>85</v>
      </c>
    </row>
    <row r="386" spans="2:7" x14ac:dyDescent="0.2">
      <c r="B386">
        <v>80</v>
      </c>
      <c r="C386">
        <v>75</v>
      </c>
      <c r="D386">
        <v>70</v>
      </c>
    </row>
    <row r="387" spans="2:7" x14ac:dyDescent="0.2">
      <c r="B387" t="s">
        <v>67</v>
      </c>
      <c r="C387" t="s">
        <v>68</v>
      </c>
      <c r="D387" t="s">
        <v>69</v>
      </c>
    </row>
    <row r="390" spans="2:7" x14ac:dyDescent="0.2">
      <c r="D390" s="2">
        <f>((1+$G$384)*C385-D385)/(D384-D385)</f>
        <v>0.53272727272727272</v>
      </c>
    </row>
    <row r="391" spans="2:7" x14ac:dyDescent="0.2">
      <c r="C391" s="2">
        <f>((1+$G$384)*B386-C386)/(C385-C386)</f>
        <v>0.527272727272727</v>
      </c>
      <c r="D391" s="2">
        <f>((1+$G$384)*C386-D386)/(D385-D386)</f>
        <v>0.52272727272727271</v>
      </c>
    </row>
    <row r="392" spans="2:7" x14ac:dyDescent="0.2">
      <c r="B392" t="str">
        <f>B387</f>
        <v>t_0</v>
      </c>
      <c r="C392" t="str">
        <f t="shared" ref="C392:D392" si="2">C387</f>
        <v>t_1</v>
      </c>
      <c r="D392" t="str">
        <f t="shared" si="2"/>
        <v>t_2</v>
      </c>
    </row>
    <row r="394" spans="2:7" x14ac:dyDescent="0.2">
      <c r="C394">
        <f>(D390*MAX(D384-$G$385,0)+(1-D390)*MAX(D385-$G$385,0))/(1+$G$384)</f>
        <v>3.692169216921692</v>
      </c>
    </row>
    <row r="395" spans="2:7" x14ac:dyDescent="0.2">
      <c r="B395" s="2">
        <f>(C394*C391+(1-C391)*C395)/(1+$G$384)</f>
        <v>1.9275050817412964</v>
      </c>
      <c r="C395">
        <f>(D391*MAX(D385-$G$385,0)+(1-D391)*MAX(D386-$G$385,0))/(1+$G$384)</f>
        <v>0</v>
      </c>
    </row>
    <row r="396" spans="2:7" x14ac:dyDescent="0.2">
      <c r="B396" t="s">
        <v>71</v>
      </c>
      <c r="C396" t="s">
        <v>72</v>
      </c>
    </row>
    <row r="398" spans="2:7" x14ac:dyDescent="0.2">
      <c r="B398" t="s">
        <v>73</v>
      </c>
    </row>
    <row r="399" spans="2:7" x14ac:dyDescent="0.2">
      <c r="B399" t="s">
        <v>60</v>
      </c>
      <c r="C399" s="2">
        <f>B395+85/(1+G384)^2-B386</f>
        <v>5.2526692813295739</v>
      </c>
    </row>
    <row r="401" spans="2:3" x14ac:dyDescent="0.2">
      <c r="B401" t="s">
        <v>20</v>
      </c>
      <c r="C401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Jeppe Vanderhaegen</dc:creator>
  <cp:lastModifiedBy>Jeppe Vanderhaegen</cp:lastModifiedBy>
  <dcterms:created xsi:type="dcterms:W3CDTF">2024-12-17T16:52:38Z</dcterms:created>
  <dcterms:modified xsi:type="dcterms:W3CDTF">2024-12-18T10:04:20Z</dcterms:modified>
</cp:coreProperties>
</file>