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vander/Documents/Uni/9. Sem/FDM/"/>
    </mc:Choice>
  </mc:AlternateContent>
  <xr:revisionPtr revIDLastSave="0" documentId="13_ncr:1_{98D2BEB7-3CDA-DF42-91A5-AF0EE0D59ACD}" xr6:coauthVersionLast="47" xr6:coauthVersionMax="47" xr10:uidLastSave="{00000000-0000-0000-0000-000000000000}"/>
  <bookViews>
    <workbookView xWindow="0" yWindow="500" windowWidth="28800" windowHeight="15800" xr2:uid="{EF2DF508-C39E-9D40-BC90-0A01BF0AB9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90" i="1" l="1" a="1"/>
  <c r="F790" i="1" s="1"/>
  <c r="F791" i="1" a="1"/>
  <c r="F791" i="1" s="1"/>
  <c r="F789" i="1" a="1"/>
  <c r="F789" i="1" s="1"/>
  <c r="E791" i="1"/>
  <c r="E789" i="1"/>
  <c r="G789" i="1"/>
  <c r="F626" i="1" a="1"/>
  <c r="F626" i="1" s="1"/>
  <c r="C789" i="1"/>
  <c r="C790" i="1"/>
  <c r="D762" i="1"/>
  <c r="D761" i="1"/>
  <c r="D754" i="1"/>
  <c r="C759" i="1"/>
  <c r="C758" i="1"/>
  <c r="C756" i="1"/>
  <c r="B733" i="1" a="1"/>
  <c r="B733" i="1" s="1"/>
  <c r="B735" i="1" s="1" a="1"/>
  <c r="B735" i="1" s="1"/>
  <c r="W669" i="1"/>
  <c r="W666" i="1" a="1"/>
  <c r="W666" i="1" s="1"/>
  <c r="T662" i="1" a="1"/>
  <c r="T662" i="1" s="1"/>
  <c r="P662" i="1" a="1"/>
  <c r="P662" i="1" s="1"/>
  <c r="K662" i="1" a="1"/>
  <c r="K662" i="1" s="1"/>
  <c r="B669" i="1" a="1"/>
  <c r="B669" i="1" s="1"/>
  <c r="B667" i="1" a="1"/>
  <c r="B667" i="1" s="1"/>
  <c r="B629" i="1" a="1"/>
  <c r="B629" i="1" s="1"/>
  <c r="C631" i="1" s="1" a="1"/>
  <c r="C631" i="1" s="1"/>
  <c r="C633" i="1" s="1"/>
  <c r="F590" i="1" a="1"/>
  <c r="F590" i="1" s="1"/>
  <c r="C592" i="1" a="1"/>
  <c r="C592" i="1" s="1"/>
  <c r="B590" i="1" a="1"/>
  <c r="B590" i="1" s="1"/>
  <c r="C430" i="1"/>
  <c r="C434" i="1"/>
  <c r="C463" i="1"/>
  <c r="C458" i="1"/>
  <c r="F354" i="1"/>
  <c r="C354" i="1" a="1"/>
  <c r="C354" i="1" s="1"/>
  <c r="C435" i="1"/>
  <c r="C432" i="1"/>
  <c r="C436" i="1" l="1"/>
  <c r="I424" i="1" l="1"/>
  <c r="F427" i="1"/>
  <c r="F425" i="1"/>
  <c r="F426" i="1"/>
  <c r="F424" i="1"/>
  <c r="C427" i="1"/>
  <c r="C424" i="1" a="1"/>
  <c r="C424" i="1" s="1"/>
  <c r="J421" i="1"/>
  <c r="K420" i="1"/>
  <c r="K421" i="1"/>
  <c r="K422" i="1"/>
  <c r="B421" i="1"/>
  <c r="C421" i="1"/>
  <c r="D421" i="1"/>
  <c r="E421" i="1"/>
  <c r="G421" i="1"/>
  <c r="H421" i="1"/>
  <c r="C422" i="1"/>
  <c r="D422" i="1"/>
  <c r="E422" i="1"/>
  <c r="H422" i="1"/>
  <c r="C420" i="1"/>
  <c r="D420" i="1"/>
  <c r="E420" i="1"/>
  <c r="H420" i="1"/>
  <c r="E386" i="1"/>
  <c r="E387" i="1"/>
  <c r="E388" i="1"/>
  <c r="E385" i="1"/>
  <c r="T251" i="1" a="1"/>
  <c r="T251" i="1" s="1"/>
  <c r="T252" i="1" s="1"/>
  <c r="S251" i="1" a="1"/>
  <c r="S251" i="1" s="1"/>
  <c r="S252" i="1" s="1"/>
  <c r="R251" i="1" a="1"/>
  <c r="R251" i="1" s="1"/>
  <c r="R252" i="1" s="1"/>
  <c r="Q251" i="1" a="1"/>
  <c r="Q251" i="1" s="1"/>
  <c r="Q252" i="1" s="1"/>
  <c r="P251" i="1" a="1"/>
  <c r="P251" i="1" s="1"/>
  <c r="P252" i="1" s="1"/>
  <c r="Q250" i="1"/>
  <c r="R250" i="1"/>
  <c r="S250" i="1"/>
  <c r="T250" i="1"/>
  <c r="P250" i="1"/>
  <c r="T240" i="1"/>
  <c r="T241" i="1"/>
  <c r="T242" i="1"/>
  <c r="T243" i="1"/>
  <c r="T244" i="1"/>
  <c r="T245" i="1"/>
  <c r="T246" i="1"/>
  <c r="T247" i="1"/>
  <c r="T248" i="1"/>
  <c r="T239" i="1"/>
  <c r="S247" i="1"/>
  <c r="S240" i="1"/>
  <c r="S241" i="1"/>
  <c r="S242" i="1"/>
  <c r="S243" i="1"/>
  <c r="S244" i="1"/>
  <c r="S245" i="1"/>
  <c r="S246" i="1"/>
  <c r="S239" i="1"/>
  <c r="R240" i="1"/>
  <c r="R241" i="1"/>
  <c r="R242" i="1"/>
  <c r="R243" i="1"/>
  <c r="R244" i="1"/>
  <c r="R245" i="1"/>
  <c r="R246" i="1"/>
  <c r="R239" i="1"/>
  <c r="Q245" i="1"/>
  <c r="Q240" i="1"/>
  <c r="Q241" i="1"/>
  <c r="Q242" i="1"/>
  <c r="Q243" i="1"/>
  <c r="Q244" i="1"/>
  <c r="Q239" i="1"/>
  <c r="P240" i="1"/>
  <c r="P241" i="1"/>
  <c r="P242" i="1"/>
  <c r="P243" i="1"/>
  <c r="P244" i="1"/>
  <c r="P239" i="1"/>
  <c r="O251" i="1" a="1"/>
  <c r="O251" i="1" s="1"/>
  <c r="O252" i="1" s="1"/>
  <c r="O240" i="1"/>
  <c r="O241" i="1"/>
  <c r="O242" i="1"/>
  <c r="O243" i="1"/>
  <c r="O239" i="1"/>
  <c r="N251" i="1" a="1"/>
  <c r="N251" i="1" s="1"/>
  <c r="N252" i="1" s="1"/>
  <c r="M251" i="1" a="1"/>
  <c r="M251" i="1" s="1"/>
  <c r="M252" i="1" s="1"/>
  <c r="L251" i="1" a="1"/>
  <c r="L251" i="1" s="1"/>
  <c r="L252" i="1" s="1"/>
  <c r="M255" i="1"/>
  <c r="L255" i="1"/>
  <c r="L254" i="1"/>
  <c r="F257" i="1"/>
  <c r="F256" i="1" a="1"/>
  <c r="F256" i="1" s="1"/>
  <c r="H386" i="1" a="1"/>
  <c r="H386" i="1" s="1"/>
  <c r="I386" i="1" s="1"/>
  <c r="G386" i="1" a="1"/>
  <c r="G386" i="1" s="1"/>
  <c r="G387" i="1" a="1"/>
  <c r="G387" i="1"/>
  <c r="H387" i="1" a="1"/>
  <c r="H387" i="1" s="1"/>
  <c r="I387" i="1" s="1"/>
  <c r="G388" i="1" a="1"/>
  <c r="G388" i="1" s="1"/>
  <c r="H388" i="1" a="1"/>
  <c r="H388" i="1"/>
  <c r="I388" i="1"/>
  <c r="H385" i="1" a="1"/>
  <c r="H385" i="1" s="1"/>
  <c r="I385" i="1" s="1"/>
  <c r="G385" i="1" a="1"/>
  <c r="G385" i="1" s="1"/>
  <c r="C257" i="1"/>
  <c r="C253" i="1"/>
  <c r="I255" i="1"/>
  <c r="D253" i="1"/>
  <c r="C252" i="1"/>
  <c r="K346" i="1"/>
  <c r="K347" i="1"/>
  <c r="K348" i="1"/>
  <c r="H351" i="1"/>
  <c r="K351" i="1" s="1"/>
  <c r="H352" i="1"/>
  <c r="K352" i="1" s="1"/>
  <c r="H350" i="1"/>
  <c r="K350" i="1" s="1"/>
  <c r="D350" i="1"/>
  <c r="E350" i="1"/>
  <c r="D351" i="1"/>
  <c r="E351" i="1"/>
  <c r="D352" i="1"/>
  <c r="E352" i="1"/>
  <c r="C351" i="1"/>
  <c r="C352" i="1"/>
  <c r="C350" i="1"/>
  <c r="E323" i="1"/>
  <c r="C327" i="1" s="1"/>
  <c r="B282" i="1"/>
  <c r="B283" i="1" s="1"/>
  <c r="B284" i="1" s="1"/>
  <c r="B285" i="1" s="1"/>
  <c r="F276" i="1"/>
  <c r="D285" i="1" s="1" a="1"/>
  <c r="D285" i="1" s="1"/>
  <c r="D208" i="1"/>
  <c r="C209" i="1"/>
  <c r="D209" i="1"/>
  <c r="C203" i="1"/>
  <c r="C204" i="1"/>
  <c r="D203" i="1"/>
  <c r="D204" i="1"/>
  <c r="D202" i="1"/>
  <c r="C205" i="1"/>
  <c r="D205" i="1"/>
  <c r="B205" i="1"/>
  <c r="C210" i="1"/>
  <c r="D210" i="1"/>
  <c r="B210" i="1"/>
  <c r="F134" i="1"/>
  <c r="C109" i="1"/>
  <c r="E109" i="1" s="1"/>
  <c r="C110" i="1"/>
  <c r="E110" i="1" s="1"/>
  <c r="C111" i="1"/>
  <c r="E111" i="1" s="1"/>
  <c r="C112" i="1"/>
  <c r="D112" i="1" s="1"/>
  <c r="C113" i="1"/>
  <c r="D113" i="1" s="1"/>
  <c r="C114" i="1"/>
  <c r="D114" i="1" s="1"/>
  <c r="J105" i="1"/>
  <c r="I101" i="1"/>
  <c r="J101" i="1" s="1"/>
  <c r="I102" i="1"/>
  <c r="K102" i="1" s="1"/>
  <c r="I103" i="1"/>
  <c r="J103" i="1" s="1"/>
  <c r="I104" i="1"/>
  <c r="K104" i="1" s="1"/>
  <c r="I105" i="1"/>
  <c r="K105" i="1" s="1"/>
  <c r="I100" i="1"/>
  <c r="K100" i="1" s="1"/>
  <c r="E101" i="1"/>
  <c r="E102" i="1"/>
  <c r="E103" i="1"/>
  <c r="E104" i="1"/>
  <c r="E105" i="1"/>
  <c r="E100" i="1"/>
  <c r="D101" i="1"/>
  <c r="D102" i="1"/>
  <c r="D103" i="1"/>
  <c r="D104" i="1"/>
  <c r="D105" i="1"/>
  <c r="D100" i="1"/>
  <c r="C58" i="1"/>
  <c r="C51" i="1"/>
  <c r="B255" i="1" l="1" a="1"/>
  <c r="B255" i="1" s="1"/>
  <c r="C255" i="1" s="1"/>
  <c r="F105" i="1"/>
  <c r="J100" i="1"/>
  <c r="M100" i="1" s="1"/>
  <c r="F104" i="1"/>
  <c r="F103" i="1"/>
  <c r="J102" i="1"/>
  <c r="M102" i="1" s="1"/>
  <c r="D111" i="1"/>
  <c r="G111" i="1" s="1"/>
  <c r="F101" i="1"/>
  <c r="D110" i="1"/>
  <c r="G110" i="1" s="1"/>
  <c r="C213" i="1"/>
  <c r="F102" i="1"/>
  <c r="E114" i="1"/>
  <c r="G114" i="1" s="1"/>
  <c r="C214" i="1"/>
  <c r="D283" i="1" a="1"/>
  <c r="D283" i="1" s="1"/>
  <c r="C357" i="1"/>
  <c r="F355" i="1" s="1"/>
  <c r="E113" i="1"/>
  <c r="G113" i="1" s="1"/>
  <c r="M105" i="1"/>
  <c r="D282" i="1" a="1"/>
  <c r="D282" i="1" s="1"/>
  <c r="D284" i="1" a="1"/>
  <c r="D284" i="1" s="1"/>
  <c r="E112" i="1"/>
  <c r="G112" i="1" s="1"/>
  <c r="J104" i="1"/>
  <c r="M104" i="1" s="1"/>
  <c r="D281" i="1" a="1"/>
  <c r="D281" i="1" s="1"/>
  <c r="K103" i="1"/>
  <c r="M103" i="1" s="1"/>
  <c r="F100" i="1"/>
  <c r="B327" i="1"/>
  <c r="D109" i="1"/>
  <c r="G109" i="1" s="1"/>
  <c r="K101" i="1"/>
  <c r="M101" i="1" s="1"/>
  <c r="C60" i="1"/>
  <c r="B214" i="1" l="1"/>
  <c r="C220" i="1" s="1"/>
  <c r="F356" i="1"/>
  <c r="I354" i="1" l="1" a="1"/>
  <c r="I354" i="1" s="1"/>
  <c r="I355" i="1" a="1"/>
  <c r="I355" i="1" s="1"/>
  <c r="I356" i="1" s="1"/>
  <c r="F35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<sst xmlns="http://schemas.openxmlformats.org/spreadsheetml/2006/main" count="173" uniqueCount="106">
  <si>
    <t xml:space="preserve">As an European option cannot be exercised early, we cannot take into account that when dividends are paid out </t>
  </si>
  <si>
    <t>Svar</t>
  </si>
  <si>
    <t xml:space="preserve">Apple stock </t>
  </si>
  <si>
    <t>Number of stocks</t>
  </si>
  <si>
    <t>Value</t>
  </si>
  <si>
    <t>In order to limit losses to 1,8</t>
  </si>
  <si>
    <t>Value of the put</t>
  </si>
  <si>
    <t>Numberputs</t>
  </si>
  <si>
    <t>Værdi af puts</t>
  </si>
  <si>
    <t>Summeret</t>
  </si>
  <si>
    <t>S</t>
  </si>
  <si>
    <t>L in S</t>
  </si>
  <si>
    <t>Profit</t>
  </si>
  <si>
    <t>L in P K=2</t>
  </si>
  <si>
    <t>2 S in C, K=1</t>
  </si>
  <si>
    <t>2 S in C,  K=1</t>
  </si>
  <si>
    <t>Bond</t>
  </si>
  <si>
    <t xml:space="preserve">Svar </t>
  </si>
  <si>
    <t>State prices must be the price, where no arbitrage are possible</t>
  </si>
  <si>
    <t>We remember, that with the same strike, then the stock price must be found, or else found by</t>
  </si>
  <si>
    <t xml:space="preserve">Therefore, we get </t>
  </si>
  <si>
    <t>max(S-K,0) + max(K-S;0)</t>
  </si>
  <si>
    <t xml:space="preserve">Straddle? </t>
  </si>
  <si>
    <t>1. holder</t>
  </si>
  <si>
    <t>3. holder</t>
  </si>
  <si>
    <t xml:space="preserve">5. holder ikke </t>
  </si>
  <si>
    <t>2.holder</t>
  </si>
  <si>
    <t>4. Usikker</t>
  </si>
  <si>
    <t>It must be number 4</t>
  </si>
  <si>
    <t>In order to compute the Call or Put(American puts can't be computed), we need Strike, Bond, Initial Value and whether it is American or European</t>
  </si>
  <si>
    <t>t_0</t>
  </si>
  <si>
    <t>t_1</t>
  </si>
  <si>
    <t>t_2</t>
  </si>
  <si>
    <t>risk free</t>
  </si>
  <si>
    <t>Strike</t>
  </si>
  <si>
    <t>c_0</t>
  </si>
  <si>
    <t>c_1</t>
  </si>
  <si>
    <t/>
  </si>
  <si>
    <t xml:space="preserve">We now have the price of the call. We then create the Put by the Penis Cock </t>
  </si>
  <si>
    <t>P=C+dis(K)-S</t>
  </si>
  <si>
    <t>P_0</t>
  </si>
  <si>
    <t xml:space="preserve">If the PV of cashflows are the same, then the price must at least by equal </t>
  </si>
  <si>
    <t>Bad</t>
  </si>
  <si>
    <t>Good</t>
  </si>
  <si>
    <t>Prob</t>
  </si>
  <si>
    <t>ER</t>
  </si>
  <si>
    <t>ER_2</t>
  </si>
  <si>
    <t>Given CAPM, riskier state-dependent assets have lower prces</t>
  </si>
  <si>
    <t xml:space="preserve">x_1 has to between 0 and 1 </t>
  </si>
  <si>
    <t>I</t>
  </si>
  <si>
    <t>A</t>
  </si>
  <si>
    <t>b</t>
  </si>
  <si>
    <t>rf</t>
  </si>
  <si>
    <t>z</t>
  </si>
  <si>
    <t>Z</t>
  </si>
  <si>
    <t>x</t>
  </si>
  <si>
    <t>X</t>
  </si>
  <si>
    <t>b-rf</t>
  </si>
  <si>
    <t>We can set up an A matrix</t>
  </si>
  <si>
    <t>Covariance</t>
  </si>
  <si>
    <t>Sqrt(correlation)*vola</t>
  </si>
  <si>
    <t>Vola</t>
  </si>
  <si>
    <t>Var</t>
  </si>
  <si>
    <t>Vol</t>
  </si>
  <si>
    <t>x=</t>
  </si>
  <si>
    <t>(rp-r2)/(r1-r2)</t>
  </si>
  <si>
    <t>xr1+(1-x)r2</t>
  </si>
  <si>
    <t>xp*ETPp</t>
  </si>
  <si>
    <t>We use the formula for the mutual fund theorem</t>
  </si>
  <si>
    <t>(rp-r_2)/(r1-r2)</t>
  </si>
  <si>
    <t>First</t>
  </si>
  <si>
    <t>We can check this by</t>
  </si>
  <si>
    <t>rp=</t>
  </si>
  <si>
    <t>rp</t>
  </si>
  <si>
    <t xml:space="preserve">Therefore, the answer must be </t>
  </si>
  <si>
    <t>Alpha means that the assets earns a higher return than the implied CAPM</t>
  </si>
  <si>
    <t>In order to pay for more into the stock, we must sort someting. We can short the marketportfolio</t>
  </si>
  <si>
    <t xml:space="preserve">The first 4 are all somewhat correct </t>
  </si>
  <si>
    <t xml:space="preserve">All of the above capture some kind of idiosyncratic risk </t>
  </si>
  <si>
    <t>The first answer considers the Fama-French model, which is just some extension to the CAPM</t>
  </si>
  <si>
    <t>a</t>
  </si>
  <si>
    <t>B</t>
  </si>
  <si>
    <t>ER i.e. rf</t>
  </si>
  <si>
    <t>Check</t>
  </si>
  <si>
    <t>risk-prem 2</t>
  </si>
  <si>
    <t xml:space="preserve">Det står der ikke, men er næsten 100 på den her </t>
  </si>
  <si>
    <t>p</t>
  </si>
  <si>
    <t>V</t>
  </si>
  <si>
    <t>You can always adjust the portfolio or project to not be hit by the idiosyncratic risks</t>
  </si>
  <si>
    <t>V^T</t>
  </si>
  <si>
    <t xml:space="preserve">From the exercise above, we have the weigths </t>
  </si>
  <si>
    <t>Galt</t>
  </si>
  <si>
    <t>Million shares</t>
  </si>
  <si>
    <t>Market Val</t>
  </si>
  <si>
    <t>Debt</t>
  </si>
  <si>
    <t>Share price</t>
  </si>
  <si>
    <t xml:space="preserve">New Market </t>
  </si>
  <si>
    <t>New Share</t>
  </si>
  <si>
    <t>Shareholder</t>
  </si>
  <si>
    <t>Investment</t>
  </si>
  <si>
    <t>L</t>
  </si>
  <si>
    <t>M</t>
  </si>
  <si>
    <t>H</t>
  </si>
  <si>
    <t>Asset</t>
  </si>
  <si>
    <t>Equity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</si>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</sst>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4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4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0" fillId="0" borderId="0" xfId="0" quotePrefix="1"/>
    <xf numFmtId="0" fontId="3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9" fontId="0" fillId="0" borderId="0" xfId="1" applyFont="1"/>
    <xf numFmtId="10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Sheet1!$G$108</c:f>
              <c:strCache>
                <c:ptCount val="1"/>
                <c:pt idx="0">
                  <c:v>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Sheet1!$C$109:$C$113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Sheet1!$G$109:$G$113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D-FC43-892C-A1816FB5E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31216"/>
        <c:axId val="1349052368"/>
      </c:lineChart>
      <c:catAx>
        <c:axId val="43743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49052368"/>
        <c:crosses val="autoZero"/>
        <c:auto val="1"/>
        <c:lblAlgn val="ctr"/>
        <c:lblOffset val="100"/>
        <c:noMultiLvlLbl val="0"/>
      </c:catAx>
      <c:valAx>
        <c:axId val="13490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3743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29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3.png"/><Relationship Id="rId5" Type="http://schemas.openxmlformats.org/officeDocument/2006/relationships/chart" Target="../charts/chart1.xml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Relationship Id="rId27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635000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12200-54B6-FDE2-AC15-12873884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02500" cy="35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279400</xdr:colOff>
      <xdr:row>45</xdr:row>
      <xdr:rowOff>190655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4CC87E-1CC7-0E42-31BF-0A0D656C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73600"/>
          <a:ext cx="7772400" cy="4661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50800</xdr:rowOff>
    </xdr:from>
    <xdr:to>
      <xdr:col>9</xdr:col>
      <xdr:colOff>279400</xdr:colOff>
      <xdr:row>95</xdr:row>
      <xdr:rowOff>202599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17F12-9535-D748-31BF-28985757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46000"/>
          <a:ext cx="7772400" cy="7060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50800</xdr:rowOff>
    </xdr:from>
    <xdr:to>
      <xdr:col>9</xdr:col>
      <xdr:colOff>279400</xdr:colOff>
      <xdr:row>130</xdr:row>
      <xdr:rowOff>8977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6C4AA-30CF-D249-3EB8-929699B3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22000"/>
          <a:ext cx="7772400" cy="2802977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100</xdr:row>
      <xdr:rowOff>6350</xdr:rowOff>
    </xdr:from>
    <xdr:to>
      <xdr:col>9</xdr:col>
      <xdr:colOff>673100</xdr:colOff>
      <xdr:row>113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36D1D6-D7F0-5C30-600F-72A70D4FF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136</xdr:row>
      <xdr:rowOff>63500</xdr:rowOff>
    </xdr:from>
    <xdr:to>
      <xdr:col>7</xdr:col>
      <xdr:colOff>241300</xdr:colOff>
      <xdr:row>159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8A5F-BA52-859A-1A37-AE4A09C8F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698700"/>
          <a:ext cx="6083300" cy="4787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177800</xdr:rowOff>
    </xdr:from>
    <xdr:to>
      <xdr:col>9</xdr:col>
      <xdr:colOff>279400</xdr:colOff>
      <xdr:row>178</xdr:row>
      <xdr:rowOff>3097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81628A-0C26-F7AF-396C-48935BFD9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909000"/>
          <a:ext cx="7772400" cy="2263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63500</xdr:rowOff>
    </xdr:from>
    <xdr:to>
      <xdr:col>9</xdr:col>
      <xdr:colOff>279400</xdr:colOff>
      <xdr:row>194</xdr:row>
      <xdr:rowOff>120623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B22F42-974D-1530-BA69-8AE0F11A4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045900"/>
          <a:ext cx="7772400" cy="2495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76200</xdr:rowOff>
    </xdr:from>
    <xdr:to>
      <xdr:col>9</xdr:col>
      <xdr:colOff>279400</xdr:colOff>
      <xdr:row>234</xdr:row>
      <xdr:rowOff>176320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32807-C562-8D88-00BE-DF17711D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983400"/>
          <a:ext cx="7772400" cy="2741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76200</xdr:rowOff>
    </xdr:from>
    <xdr:to>
      <xdr:col>9</xdr:col>
      <xdr:colOff>279400</xdr:colOff>
      <xdr:row>270</xdr:row>
      <xdr:rowOff>178776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A74BE4B-2328-04A0-0DAB-B43F7083F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641000"/>
          <a:ext cx="7772400" cy="2540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9</xdr:col>
      <xdr:colOff>279400</xdr:colOff>
      <xdr:row>301</xdr:row>
      <xdr:rowOff>97724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D155E9-E8CE-C455-5BC8-2BE015465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4889400"/>
          <a:ext cx="7772400" cy="25361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50800</xdr:rowOff>
    </xdr:from>
    <xdr:to>
      <xdr:col>9</xdr:col>
      <xdr:colOff>165100</xdr:colOff>
      <xdr:row>319</xdr:row>
      <xdr:rowOff>88900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CC9F65-FA1D-E85F-46AC-C6C34C8DE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8191400"/>
          <a:ext cx="7658100" cy="288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50800</xdr:rowOff>
    </xdr:from>
    <xdr:to>
      <xdr:col>9</xdr:col>
      <xdr:colOff>165100</xdr:colOff>
      <xdr:row>342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B0FC83-B2F8-5D31-15C7-44526049C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2865000"/>
          <a:ext cx="7658100" cy="294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12700</xdr:rowOff>
    </xdr:from>
    <xdr:to>
      <xdr:col>8</xdr:col>
      <xdr:colOff>787400</xdr:colOff>
      <xdr:row>249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228960-4463-B0C0-D2B2-0F64CCA18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8374300"/>
          <a:ext cx="7454900" cy="233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88900</xdr:rowOff>
    </xdr:from>
    <xdr:to>
      <xdr:col>9</xdr:col>
      <xdr:colOff>279400</xdr:colOff>
      <xdr:row>377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94FC705-42AD-735C-55EF-14A3CA50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28599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88900</xdr:rowOff>
    </xdr:from>
    <xdr:to>
      <xdr:col>9</xdr:col>
      <xdr:colOff>215900</xdr:colOff>
      <xdr:row>415</xdr:row>
      <xdr:rowOff>190500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3EAD068-211A-EF94-98BA-FEF2464CC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9362300"/>
          <a:ext cx="7708900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38100</xdr:rowOff>
    </xdr:from>
    <xdr:to>
      <xdr:col>9</xdr:col>
      <xdr:colOff>203200</xdr:colOff>
      <xdr:row>453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7BD47B-E594-091B-4A4B-899D4D19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9065100"/>
          <a:ext cx="769620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190500</xdr:rowOff>
    </xdr:from>
    <xdr:to>
      <xdr:col>9</xdr:col>
      <xdr:colOff>203200</xdr:colOff>
      <xdr:row>477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16D68FF-380A-28A2-32BE-A2C75D7EE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4094300"/>
          <a:ext cx="7696200" cy="2933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38100</xdr:rowOff>
    </xdr:from>
    <xdr:to>
      <xdr:col>9</xdr:col>
      <xdr:colOff>88900</xdr:colOff>
      <xdr:row>502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6CA429E-26A0-A64E-3264-C911F0B89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8005900"/>
          <a:ext cx="7581900" cy="4102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91440</xdr:rowOff>
    </xdr:from>
    <xdr:to>
      <xdr:col>9</xdr:col>
      <xdr:colOff>256540</xdr:colOff>
      <xdr:row>522</xdr:row>
      <xdr:rowOff>27940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F732845-4E22-1E22-91AE-126F32743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3144320"/>
          <a:ext cx="7734300" cy="2984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71120</xdr:rowOff>
    </xdr:from>
    <xdr:to>
      <xdr:col>8</xdr:col>
      <xdr:colOff>673100</xdr:colOff>
      <xdr:row>542</xdr:row>
      <xdr:rowOff>7620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25CD24-7BBC-5A82-CCC7-FACCFBC09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6984800"/>
          <a:ext cx="7327900" cy="318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30480</xdr:rowOff>
    </xdr:from>
    <xdr:to>
      <xdr:col>9</xdr:col>
      <xdr:colOff>294640</xdr:colOff>
      <xdr:row>560</xdr:row>
      <xdr:rowOff>35922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691EDAD-4C0B-76F3-A1EE-EBFF3351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10804960"/>
          <a:ext cx="7772400" cy="30534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60960</xdr:rowOff>
    </xdr:from>
    <xdr:to>
      <xdr:col>9</xdr:col>
      <xdr:colOff>205740</xdr:colOff>
      <xdr:row>581</xdr:row>
      <xdr:rowOff>175260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088398-E147-6E72-B4AF-313A12102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4696240"/>
          <a:ext cx="7683500" cy="3568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193040</xdr:rowOff>
    </xdr:from>
    <xdr:to>
      <xdr:col>9</xdr:col>
      <xdr:colOff>256540</xdr:colOff>
      <xdr:row>619</xdr:row>
      <xdr:rowOff>142240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2AD52F6-55B3-C691-8199-EFC3A9BDE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20721120"/>
          <a:ext cx="7734300" cy="523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</xdr:row>
      <xdr:rowOff>142240</xdr:rowOff>
    </xdr:from>
    <xdr:to>
      <xdr:col>9</xdr:col>
      <xdr:colOff>294640</xdr:colOff>
      <xdr:row>659</xdr:row>
      <xdr:rowOff>15732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97AA86-7FE0-CBBA-BCFE-B3746F6DA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9001520"/>
          <a:ext cx="7772400" cy="49534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20320</xdr:rowOff>
    </xdr:from>
    <xdr:to>
      <xdr:col>9</xdr:col>
      <xdr:colOff>294640</xdr:colOff>
      <xdr:row>696</xdr:row>
      <xdr:rowOff>191113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6B0210-1C9A-3572-EDD5-52BD4897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36601200"/>
          <a:ext cx="7772400" cy="5047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60960</xdr:rowOff>
    </xdr:from>
    <xdr:to>
      <xdr:col>9</xdr:col>
      <xdr:colOff>294640</xdr:colOff>
      <xdr:row>724</xdr:row>
      <xdr:rowOff>54003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24112A-E928-0C7D-29FD-E7FCDFCF7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42331440"/>
          <a:ext cx="7772400" cy="48698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40640</xdr:rowOff>
    </xdr:from>
    <xdr:to>
      <xdr:col>9</xdr:col>
      <xdr:colOff>294640</xdr:colOff>
      <xdr:row>749</xdr:row>
      <xdr:rowOff>110308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9B87C8-96B5-E078-6BBE-8CA656F95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49829520"/>
          <a:ext cx="7772400" cy="2508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30480</xdr:rowOff>
    </xdr:from>
    <xdr:to>
      <xdr:col>9</xdr:col>
      <xdr:colOff>294640</xdr:colOff>
      <xdr:row>780</xdr:row>
      <xdr:rowOff>158584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694489C-BEE4-CF6C-4690-723BDFF9E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55305760"/>
          <a:ext cx="7772400" cy="33793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9A8E9-C336-FF4D-836B-F83354450E5F}">
  <dimension ref="B20:XFD791"/>
  <sheetViews>
    <sheetView tabSelected="1" topLeftCell="A765" zoomScale="125" zoomScaleNormal="150" workbookViewId="0">
      <selection activeCell="F789" sqref="F789"/>
    </sheetView>
  </sheetViews>
  <sheetFormatPr baseColWidth="10" defaultRowHeight="16"/>
  <cols>
    <col min="3" max="3" width="11.6640625" bestFit="1" customWidth="1"/>
  </cols>
  <sheetData>
    <row r="20" spans="2:3">
      <c r="B20" t="s">
        <v>0</v>
      </c>
    </row>
    <row r="21" spans="2:3">
      <c r="B21" s="1" t="s">
        <v>1</v>
      </c>
      <c r="C21" s="1">
        <v>5</v>
      </c>
    </row>
    <row r="48" spans="2:3">
      <c r="B48" t="s">
        <v>2</v>
      </c>
      <c r="C48">
        <v>150.80000000000001</v>
      </c>
    </row>
    <row r="49" spans="2:3">
      <c r="B49" t="s">
        <v>3</v>
      </c>
      <c r="C49">
        <v>100</v>
      </c>
    </row>
    <row r="51" spans="2:3">
      <c r="B51" t="s">
        <v>4</v>
      </c>
      <c r="C51">
        <f>C49*C48</f>
        <v>15080.000000000002</v>
      </c>
    </row>
    <row r="53" spans="2:3">
      <c r="B53" t="s">
        <v>5</v>
      </c>
    </row>
    <row r="55" spans="2:3">
      <c r="B55" t="s">
        <v>6</v>
      </c>
      <c r="C55">
        <v>3.3</v>
      </c>
    </row>
    <row r="56" spans="2:3">
      <c r="B56" t="s">
        <v>7</v>
      </c>
      <c r="C56">
        <v>100</v>
      </c>
    </row>
    <row r="58" spans="2:3">
      <c r="B58" t="s">
        <v>8</v>
      </c>
      <c r="C58">
        <f>C55*C56</f>
        <v>330</v>
      </c>
    </row>
    <row r="60" spans="2:3">
      <c r="B60" t="s">
        <v>9</v>
      </c>
      <c r="C60">
        <f>C58+C51</f>
        <v>15410.000000000002</v>
      </c>
    </row>
    <row r="61" spans="2:3">
      <c r="B61" s="1" t="s">
        <v>1</v>
      </c>
      <c r="C61" s="1">
        <v>3</v>
      </c>
    </row>
    <row r="99" spans="2:13">
      <c r="B99">
        <v>1</v>
      </c>
      <c r="C99" t="s">
        <v>10</v>
      </c>
      <c r="D99" t="s">
        <v>11</v>
      </c>
      <c r="E99" t="s">
        <v>14</v>
      </c>
      <c r="F99" t="s">
        <v>12</v>
      </c>
      <c r="H99">
        <v>2</v>
      </c>
      <c r="I99" t="s">
        <v>10</v>
      </c>
      <c r="J99" t="s">
        <v>13</v>
      </c>
      <c r="K99" t="s">
        <v>15</v>
      </c>
      <c r="L99" t="s">
        <v>16</v>
      </c>
      <c r="M99" t="s">
        <v>12</v>
      </c>
    </row>
    <row r="100" spans="2:13">
      <c r="C100">
        <v>0</v>
      </c>
      <c r="D100">
        <f>C100</f>
        <v>0</v>
      </c>
      <c r="E100">
        <f>-2*MAX(C100-1,0)</f>
        <v>0</v>
      </c>
      <c r="F100">
        <f>SUM(D100:E100)</f>
        <v>0</v>
      </c>
      <c r="I100">
        <f>C100</f>
        <v>0</v>
      </c>
      <c r="J100">
        <f>MAX(2-I100,0)</f>
        <v>2</v>
      </c>
      <c r="K100">
        <f>-2*MAX(I100-1,0)</f>
        <v>0</v>
      </c>
      <c r="L100">
        <v>1</v>
      </c>
      <c r="M100">
        <f>SUM(J100:L100)</f>
        <v>3</v>
      </c>
    </row>
    <row r="101" spans="2:13">
      <c r="C101">
        <v>1</v>
      </c>
      <c r="D101">
        <f t="shared" ref="D101:D105" si="0">C101</f>
        <v>1</v>
      </c>
      <c r="E101">
        <f t="shared" ref="E101:E105" si="1">-2*MAX(C101-1,0)</f>
        <v>0</v>
      </c>
      <c r="F101">
        <f t="shared" ref="F101:F105" si="2">SUM(D101:E101)</f>
        <v>1</v>
      </c>
      <c r="I101">
        <f t="shared" ref="I101:I105" si="3">C101</f>
        <v>1</v>
      </c>
      <c r="J101">
        <f t="shared" ref="J101:J105" si="4">MAX(2-I101,0)</f>
        <v>1</v>
      </c>
      <c r="K101">
        <f t="shared" ref="K101:K105" si="5">-2*MAX(I101-1,0)</f>
        <v>0</v>
      </c>
      <c r="L101">
        <v>1</v>
      </c>
      <c r="M101">
        <f t="shared" ref="M101:M105" si="6">SUM(J101:L101)</f>
        <v>2</v>
      </c>
    </row>
    <row r="102" spans="2:13">
      <c r="C102">
        <v>2</v>
      </c>
      <c r="D102">
        <f t="shared" si="0"/>
        <v>2</v>
      </c>
      <c r="E102">
        <f t="shared" si="1"/>
        <v>-2</v>
      </c>
      <c r="F102">
        <f t="shared" si="2"/>
        <v>0</v>
      </c>
      <c r="I102">
        <f t="shared" si="3"/>
        <v>2</v>
      </c>
      <c r="J102">
        <f t="shared" si="4"/>
        <v>0</v>
      </c>
      <c r="K102">
        <f t="shared" si="5"/>
        <v>-2</v>
      </c>
      <c r="L102">
        <v>1</v>
      </c>
      <c r="M102">
        <f t="shared" si="6"/>
        <v>-1</v>
      </c>
    </row>
    <row r="103" spans="2:13">
      <c r="C103">
        <v>3</v>
      </c>
      <c r="D103">
        <f t="shared" si="0"/>
        <v>3</v>
      </c>
      <c r="E103">
        <f t="shared" si="1"/>
        <v>-4</v>
      </c>
      <c r="F103">
        <f t="shared" si="2"/>
        <v>-1</v>
      </c>
      <c r="I103">
        <f t="shared" si="3"/>
        <v>3</v>
      </c>
      <c r="J103">
        <f t="shared" si="4"/>
        <v>0</v>
      </c>
      <c r="K103">
        <f t="shared" si="5"/>
        <v>-4</v>
      </c>
      <c r="L103">
        <v>1</v>
      </c>
      <c r="M103">
        <f t="shared" si="6"/>
        <v>-3</v>
      </c>
    </row>
    <row r="104" spans="2:13">
      <c r="C104">
        <v>4</v>
      </c>
      <c r="D104">
        <f t="shared" si="0"/>
        <v>4</v>
      </c>
      <c r="E104">
        <f t="shared" si="1"/>
        <v>-6</v>
      </c>
      <c r="F104">
        <f t="shared" si="2"/>
        <v>-2</v>
      </c>
      <c r="I104">
        <f t="shared" si="3"/>
        <v>4</v>
      </c>
      <c r="J104">
        <f t="shared" si="4"/>
        <v>0</v>
      </c>
      <c r="K104">
        <f t="shared" si="5"/>
        <v>-6</v>
      </c>
      <c r="L104">
        <v>1</v>
      </c>
      <c r="M104">
        <f t="shared" si="6"/>
        <v>-5</v>
      </c>
    </row>
    <row r="105" spans="2:13">
      <c r="C105">
        <v>5</v>
      </c>
      <c r="D105">
        <f t="shared" si="0"/>
        <v>5</v>
      </c>
      <c r="E105">
        <f t="shared" si="1"/>
        <v>-8</v>
      </c>
      <c r="F105">
        <f t="shared" si="2"/>
        <v>-3</v>
      </c>
      <c r="I105">
        <f t="shared" si="3"/>
        <v>5</v>
      </c>
      <c r="J105">
        <f t="shared" si="4"/>
        <v>0</v>
      </c>
      <c r="K105">
        <f t="shared" si="5"/>
        <v>-8</v>
      </c>
      <c r="L105">
        <v>1</v>
      </c>
      <c r="M105">
        <f t="shared" si="6"/>
        <v>-7</v>
      </c>
    </row>
    <row r="108" spans="2:13">
      <c r="B108">
        <v>3</v>
      </c>
      <c r="D108" t="s">
        <v>11</v>
      </c>
      <c r="E108" t="s">
        <v>14</v>
      </c>
      <c r="F108" t="s">
        <v>16</v>
      </c>
      <c r="G108" t="s">
        <v>12</v>
      </c>
    </row>
    <row r="109" spans="2:13">
      <c r="C109">
        <f t="shared" ref="C109:C114" si="7">C100</f>
        <v>0</v>
      </c>
      <c r="D109">
        <f>C109</f>
        <v>0</v>
      </c>
      <c r="E109">
        <f>-2*MAX(C109-1,0)</f>
        <v>0</v>
      </c>
      <c r="F109">
        <v>1</v>
      </c>
      <c r="G109">
        <f>SUM(D109:F109)</f>
        <v>1</v>
      </c>
    </row>
    <row r="110" spans="2:13">
      <c r="C110">
        <f t="shared" si="7"/>
        <v>1</v>
      </c>
      <c r="D110">
        <f t="shared" ref="D110:D114" si="8">C110</f>
        <v>1</v>
      </c>
      <c r="E110">
        <f t="shared" ref="E110:E114" si="9">-2*MAX(C110-1,0)</f>
        <v>0</v>
      </c>
      <c r="F110">
        <v>1</v>
      </c>
      <c r="G110">
        <f t="shared" ref="G110:G114" si="10">SUM(D110:F110)</f>
        <v>2</v>
      </c>
    </row>
    <row r="111" spans="2:13">
      <c r="C111">
        <f t="shared" si="7"/>
        <v>2</v>
      </c>
      <c r="D111">
        <f t="shared" si="8"/>
        <v>2</v>
      </c>
      <c r="E111">
        <f t="shared" si="9"/>
        <v>-2</v>
      </c>
      <c r="F111">
        <v>1</v>
      </c>
      <c r="G111">
        <f t="shared" si="10"/>
        <v>1</v>
      </c>
    </row>
    <row r="112" spans="2:13">
      <c r="C112">
        <f t="shared" si="7"/>
        <v>3</v>
      </c>
      <c r="D112">
        <f t="shared" si="8"/>
        <v>3</v>
      </c>
      <c r="E112">
        <f t="shared" si="9"/>
        <v>-4</v>
      </c>
      <c r="F112">
        <v>1</v>
      </c>
      <c r="G112">
        <f t="shared" si="10"/>
        <v>0</v>
      </c>
    </row>
    <row r="113" spans="2:7">
      <c r="C113">
        <f t="shared" si="7"/>
        <v>4</v>
      </c>
      <c r="D113">
        <f t="shared" si="8"/>
        <v>4</v>
      </c>
      <c r="E113">
        <f t="shared" si="9"/>
        <v>-6</v>
      </c>
      <c r="F113">
        <v>1</v>
      </c>
      <c r="G113">
        <f t="shared" si="10"/>
        <v>-1</v>
      </c>
    </row>
    <row r="114" spans="2:7">
      <c r="C114">
        <f t="shared" si="7"/>
        <v>5</v>
      </c>
      <c r="D114">
        <f t="shared" si="8"/>
        <v>5</v>
      </c>
      <c r="E114">
        <f t="shared" si="9"/>
        <v>-8</v>
      </c>
      <c r="F114">
        <v>1</v>
      </c>
      <c r="G114">
        <f t="shared" si="10"/>
        <v>-2</v>
      </c>
    </row>
    <row r="116" spans="2:7">
      <c r="B116" s="1" t="s">
        <v>17</v>
      </c>
      <c r="C116" s="1">
        <v>3</v>
      </c>
    </row>
    <row r="132" spans="2:6">
      <c r="B132" t="s">
        <v>18</v>
      </c>
    </row>
    <row r="133" spans="2:6">
      <c r="B133" t="s">
        <v>19</v>
      </c>
    </row>
    <row r="134" spans="2:6">
      <c r="B134" t="s">
        <v>20</v>
      </c>
      <c r="D134" t="s">
        <v>21</v>
      </c>
      <c r="F134">
        <f xml:space="preserve"> 0</f>
        <v>0</v>
      </c>
    </row>
    <row r="135" spans="2:6">
      <c r="B135" t="s">
        <v>22</v>
      </c>
    </row>
    <row r="136" spans="2:6">
      <c r="B136" s="1" t="s">
        <v>1</v>
      </c>
      <c r="C136" s="1">
        <v>4</v>
      </c>
    </row>
    <row r="162" spans="2:2">
      <c r="B162" t="s">
        <v>23</v>
      </c>
    </row>
    <row r="163" spans="2:2">
      <c r="B163" t="s">
        <v>26</v>
      </c>
    </row>
    <row r="164" spans="2:2">
      <c r="B164" t="s">
        <v>24</v>
      </c>
    </row>
    <row r="165" spans="2:2">
      <c r="B165" t="s">
        <v>27</v>
      </c>
    </row>
    <row r="166" spans="2:2">
      <c r="B166" t="s">
        <v>25</v>
      </c>
    </row>
    <row r="181" spans="2:4">
      <c r="B181" t="s">
        <v>28</v>
      </c>
      <c r="D181" t="s">
        <v>29</v>
      </c>
    </row>
    <row r="182" spans="2:4">
      <c r="B182" t="s">
        <v>1</v>
      </c>
      <c r="C182">
        <v>4</v>
      </c>
    </row>
    <row r="197" spans="2:7">
      <c r="D197">
        <v>120</v>
      </c>
      <c r="F197" t="s">
        <v>33</v>
      </c>
      <c r="G197">
        <v>0</v>
      </c>
    </row>
    <row r="198" spans="2:7">
      <c r="C198">
        <v>110</v>
      </c>
      <c r="D198">
        <v>100</v>
      </c>
      <c r="F198" t="s">
        <v>34</v>
      </c>
      <c r="G198">
        <v>95</v>
      </c>
    </row>
    <row r="199" spans="2:7">
      <c r="B199">
        <v>100</v>
      </c>
      <c r="C199">
        <v>90</v>
      </c>
      <c r="D199">
        <v>80</v>
      </c>
    </row>
    <row r="200" spans="2:7">
      <c r="B200" t="s">
        <v>30</v>
      </c>
      <c r="C200" t="s">
        <v>31</v>
      </c>
      <c r="D200" t="s">
        <v>32</v>
      </c>
    </row>
    <row r="202" spans="2:7">
      <c r="D202">
        <f>MAX(D197-$G$198,0)</f>
        <v>25</v>
      </c>
    </row>
    <row r="203" spans="2:7">
      <c r="C203">
        <f>MAX(C198-$G$198,0)</f>
        <v>15</v>
      </c>
      <c r="D203">
        <f>MAX(D198-$G$198,0)</f>
        <v>5</v>
      </c>
    </row>
    <row r="204" spans="2:7">
      <c r="C204">
        <f>MAX(C199-$G$198,0)</f>
        <v>0</v>
      </c>
      <c r="D204">
        <f>MAX(D199-$G$198,0)</f>
        <v>0</v>
      </c>
    </row>
    <row r="205" spans="2:7">
      <c r="B205" t="str">
        <f>B200</f>
        <v>t_0</v>
      </c>
      <c r="C205" t="str">
        <f>C200</f>
        <v>t_1</v>
      </c>
      <c r="D205" t="str">
        <f>D200</f>
        <v>t_2</v>
      </c>
    </row>
    <row r="207" spans="2:7">
      <c r="C207" s="2" t="s">
        <v>37</v>
      </c>
    </row>
    <row r="208" spans="2:7">
      <c r="D208">
        <f>(C198-D198)/(D197-D198)</f>
        <v>0.5</v>
      </c>
    </row>
    <row r="209" spans="2:4">
      <c r="C209">
        <f>(B199-C199)/(C198-C199)</f>
        <v>0.5</v>
      </c>
      <c r="D209">
        <f>(C199-D199)/(D198-D199)</f>
        <v>0.5</v>
      </c>
    </row>
    <row r="210" spans="2:4">
      <c r="B210" t="str">
        <f>B200</f>
        <v>t_0</v>
      </c>
      <c r="C210" t="str">
        <f>C200</f>
        <v>t_1</v>
      </c>
      <c r="D210" t="str">
        <f>D200</f>
        <v>t_2</v>
      </c>
    </row>
    <row r="213" spans="2:4">
      <c r="C213">
        <f>D208*D202+D208*D203</f>
        <v>15</v>
      </c>
    </row>
    <row r="214" spans="2:4">
      <c r="B214">
        <f>C209*C213+C209*C214</f>
        <v>8.75</v>
      </c>
      <c r="C214">
        <f>D209*D203+D209*D204</f>
        <v>2.5</v>
      </c>
    </row>
    <row r="215" spans="2:4">
      <c r="B215" t="s">
        <v>35</v>
      </c>
      <c r="C215" t="s">
        <v>36</v>
      </c>
    </row>
    <row r="218" spans="2:4">
      <c r="B218" t="s">
        <v>38</v>
      </c>
    </row>
    <row r="219" spans="2:4">
      <c r="B219" t="s">
        <v>39</v>
      </c>
    </row>
    <row r="220" spans="2:4">
      <c r="B220" t="s">
        <v>40</v>
      </c>
      <c r="C220">
        <f>B214+G198-B199</f>
        <v>3.75</v>
      </c>
    </row>
    <row r="221" spans="2:4">
      <c r="B221" s="1" t="s">
        <v>1</v>
      </c>
      <c r="C221" s="1">
        <v>1</v>
      </c>
    </row>
    <row r="237" spans="2:20">
      <c r="B237" t="s">
        <v>41</v>
      </c>
    </row>
    <row r="238" spans="2:20">
      <c r="B238" s="1" t="s">
        <v>1</v>
      </c>
      <c r="C238" s="1">
        <v>2</v>
      </c>
      <c r="L238">
        <v>2</v>
      </c>
      <c r="M238">
        <v>3</v>
      </c>
      <c r="N238">
        <v>4</v>
      </c>
      <c r="O238">
        <v>5</v>
      </c>
      <c r="P238">
        <v>6</v>
      </c>
      <c r="Q238">
        <v>7</v>
      </c>
      <c r="R238">
        <v>8</v>
      </c>
      <c r="S238">
        <v>9</v>
      </c>
      <c r="T238">
        <v>10</v>
      </c>
    </row>
    <row r="239" spans="2:20">
      <c r="L239">
        <v>0.5</v>
      </c>
      <c r="M239">
        <v>0.33</v>
      </c>
      <c r="N239">
        <v>0.25</v>
      </c>
      <c r="O239">
        <f>1/5</f>
        <v>0.2</v>
      </c>
      <c r="P239" s="6">
        <f>1/6</f>
        <v>0.16666666666666666</v>
      </c>
      <c r="Q239">
        <f>1/7</f>
        <v>0.14285714285714285</v>
      </c>
      <c r="R239">
        <f>1/8</f>
        <v>0.125</v>
      </c>
      <c r="S239">
        <f>1/S$238</f>
        <v>0.1111111111111111</v>
      </c>
      <c r="T239">
        <f>1/T$238</f>
        <v>0.1</v>
      </c>
    </row>
    <row r="240" spans="2:20">
      <c r="L240">
        <v>0.5</v>
      </c>
      <c r="M240">
        <v>0.33</v>
      </c>
      <c r="N240">
        <v>0.25</v>
      </c>
      <c r="O240">
        <f t="shared" ref="O240:O243" si="11">1/5</f>
        <v>0.2</v>
      </c>
      <c r="P240" s="6">
        <f t="shared" ref="P240:P244" si="12">1/6</f>
        <v>0.16666666666666666</v>
      </c>
      <c r="Q240">
        <f t="shared" ref="Q240:Q245" si="13">1/7</f>
        <v>0.14285714285714285</v>
      </c>
      <c r="R240">
        <f t="shared" ref="R240:R246" si="14">1/8</f>
        <v>0.125</v>
      </c>
      <c r="S240">
        <f t="shared" ref="S240:T248" si="15">1/S$238</f>
        <v>0.1111111111111111</v>
      </c>
      <c r="T240">
        <f t="shared" si="15"/>
        <v>0.1</v>
      </c>
    </row>
    <row r="241" spans="2:21">
      <c r="M241">
        <v>0.33</v>
      </c>
      <c r="N241">
        <v>0.25</v>
      </c>
      <c r="O241">
        <f t="shared" si="11"/>
        <v>0.2</v>
      </c>
      <c r="P241" s="6">
        <f t="shared" si="12"/>
        <v>0.16666666666666666</v>
      </c>
      <c r="Q241">
        <f t="shared" si="13"/>
        <v>0.14285714285714285</v>
      </c>
      <c r="R241">
        <f t="shared" si="14"/>
        <v>0.125</v>
      </c>
      <c r="S241">
        <f t="shared" si="15"/>
        <v>0.1111111111111111</v>
      </c>
      <c r="T241">
        <f t="shared" si="15"/>
        <v>0.1</v>
      </c>
    </row>
    <row r="242" spans="2:21">
      <c r="N242">
        <v>0.25</v>
      </c>
      <c r="O242">
        <f t="shared" si="11"/>
        <v>0.2</v>
      </c>
      <c r="P242" s="6">
        <f t="shared" si="12"/>
        <v>0.16666666666666666</v>
      </c>
      <c r="Q242">
        <f t="shared" si="13"/>
        <v>0.14285714285714285</v>
      </c>
      <c r="R242">
        <f t="shared" si="14"/>
        <v>0.125</v>
      </c>
      <c r="S242">
        <f t="shared" si="15"/>
        <v>0.1111111111111111</v>
      </c>
      <c r="T242">
        <f t="shared" si="15"/>
        <v>0.1</v>
      </c>
    </row>
    <row r="243" spans="2:21">
      <c r="O243">
        <f t="shared" si="11"/>
        <v>0.2</v>
      </c>
      <c r="P243" s="6">
        <f t="shared" si="12"/>
        <v>0.16666666666666666</v>
      </c>
      <c r="Q243">
        <f t="shared" si="13"/>
        <v>0.14285714285714285</v>
      </c>
      <c r="R243">
        <f t="shared" si="14"/>
        <v>0.125</v>
      </c>
      <c r="S243">
        <f t="shared" si="15"/>
        <v>0.1111111111111111</v>
      </c>
      <c r="T243">
        <f t="shared" si="15"/>
        <v>0.1</v>
      </c>
    </row>
    <row r="244" spans="2:21">
      <c r="P244" s="6">
        <f t="shared" si="12"/>
        <v>0.16666666666666666</v>
      </c>
      <c r="Q244">
        <f t="shared" si="13"/>
        <v>0.14285714285714285</v>
      </c>
      <c r="R244">
        <f t="shared" si="14"/>
        <v>0.125</v>
      </c>
      <c r="S244">
        <f t="shared" si="15"/>
        <v>0.1111111111111111</v>
      </c>
      <c r="T244">
        <f t="shared" si="15"/>
        <v>0.1</v>
      </c>
    </row>
    <row r="245" spans="2:21">
      <c r="Q245">
        <f t="shared" si="13"/>
        <v>0.14285714285714285</v>
      </c>
      <c r="R245">
        <f t="shared" si="14"/>
        <v>0.125</v>
      </c>
      <c r="S245">
        <f t="shared" si="15"/>
        <v>0.1111111111111111</v>
      </c>
      <c r="T245">
        <f t="shared" si="15"/>
        <v>0.1</v>
      </c>
    </row>
    <row r="246" spans="2:21">
      <c r="R246">
        <f t="shared" si="14"/>
        <v>0.125</v>
      </c>
      <c r="S246">
        <f t="shared" si="15"/>
        <v>0.1111111111111111</v>
      </c>
      <c r="T246">
        <f t="shared" si="15"/>
        <v>0.1</v>
      </c>
    </row>
    <row r="247" spans="2:21">
      <c r="S247">
        <f t="shared" si="15"/>
        <v>0.1111111111111111</v>
      </c>
      <c r="T247">
        <f t="shared" si="15"/>
        <v>0.1</v>
      </c>
    </row>
    <row r="248" spans="2:21">
      <c r="T248">
        <f t="shared" si="15"/>
        <v>0.1</v>
      </c>
    </row>
    <row r="250" spans="2:21">
      <c r="L250">
        <v>2</v>
      </c>
      <c r="M250">
        <v>3</v>
      </c>
      <c r="N250">
        <v>4</v>
      </c>
      <c r="O250">
        <v>5</v>
      </c>
      <c r="P250">
        <f>P238</f>
        <v>6</v>
      </c>
      <c r="Q250">
        <f t="shared" ref="Q250:T250" si="16">Q238</f>
        <v>7</v>
      </c>
      <c r="R250">
        <f t="shared" si="16"/>
        <v>8</v>
      </c>
      <c r="S250">
        <f t="shared" si="16"/>
        <v>9</v>
      </c>
      <c r="T250">
        <f t="shared" si="16"/>
        <v>10</v>
      </c>
    </row>
    <row r="251" spans="2:21">
      <c r="B251" t="s">
        <v>58</v>
      </c>
      <c r="L251" cm="1">
        <f t="array" ref="L251">MMULT(MMULT(TRANSPOSE(L239:L240),L254:M255),L239:L240)</f>
        <v>8.5000000000000006E-3</v>
      </c>
      <c r="M251" cm="1">
        <f t="array" ref="M251">MMULT(MMULT(TRANSPOSE(M239:M241),L254:N256),M239:M241)</f>
        <v>7.8408000000000002E-3</v>
      </c>
      <c r="N251" cm="1">
        <f t="array" ref="N251">MMULT(MMULT(TRANSPOSE(N239:N242),L254:O257),N239:N242)</f>
        <v>7.7499999999999999E-3</v>
      </c>
      <c r="O251" cm="1">
        <f t="array" ref="O251">MMULT(MMULT(TRANSPOSE(O239:O243),L254:P258),O239:O243)</f>
        <v>7.6000000000000017E-3</v>
      </c>
      <c r="P251" cm="1">
        <f t="array" ref="P251">MMULT(MMULT(TRANSPOSE(P239:P244),L254:Q259),P239:P244)</f>
        <v>7.499999999999998E-3</v>
      </c>
      <c r="Q251" cm="1">
        <f t="array" ref="Q251">MMULT(MMULT(TRANSPOSE(Q239:Q245),L254:R260),Q239:Q245)</f>
        <v>7.4285714285714293E-3</v>
      </c>
      <c r="R251" cm="1">
        <f t="array" ref="R251">MMULT(MMULT(TRANSPOSE(R239:R246),L254:S261),R239:R246)</f>
        <v>7.3749999999999996E-3</v>
      </c>
      <c r="S251" cm="1">
        <f t="array" ref="S251">MMULT(MMULT(TRANSPOSE(S239:S247),L254:T262),S239:S247)</f>
        <v>7.3333333333333323E-3</v>
      </c>
      <c r="T251" cm="1">
        <f t="array" ref="T251">MMULT(MMULT(TRANSPOSE(T239:T248),L254:U263),T239:T248)</f>
        <v>7.3000000000000009E-3</v>
      </c>
    </row>
    <row r="252" spans="2:21">
      <c r="C252">
        <f>0.1^2</f>
        <v>1.0000000000000002E-2</v>
      </c>
      <c r="D252">
        <v>7.0000000000000001E-3</v>
      </c>
      <c r="E252">
        <v>7.0000000000000001E-3</v>
      </c>
      <c r="F252">
        <v>0.33</v>
      </c>
      <c r="L252">
        <f>SQRT(L251)</f>
        <v>9.2195444572928872E-2</v>
      </c>
      <c r="M252" s="8">
        <f>SQRT(M251)</f>
        <v>8.8548291908991675E-2</v>
      </c>
      <c r="N252" s="8">
        <f>SQRT(N251)</f>
        <v>8.8034084308295041E-2</v>
      </c>
      <c r="O252" s="8">
        <f>SQRT(O251)</f>
        <v>8.717797887081348E-2</v>
      </c>
      <c r="P252" s="8">
        <f t="shared" ref="P252:T252" si="17">SQRT(P251)</f>
        <v>8.6602540378443851E-2</v>
      </c>
      <c r="Q252" s="8">
        <f t="shared" si="17"/>
        <v>8.6189160737133466E-2</v>
      </c>
      <c r="R252" s="8">
        <f t="shared" si="17"/>
        <v>8.5877820186588336E-2</v>
      </c>
      <c r="S252" s="8">
        <f t="shared" si="17"/>
        <v>8.5634883857767519E-2</v>
      </c>
      <c r="T252" s="8">
        <f t="shared" si="17"/>
        <v>8.5440037453175313E-2</v>
      </c>
    </row>
    <row r="253" spans="2:21">
      <c r="B253" t="s">
        <v>50</v>
      </c>
      <c r="C253">
        <f>D252</f>
        <v>7.0000000000000001E-3</v>
      </c>
      <c r="D253">
        <f>0.1^2</f>
        <v>1.0000000000000002E-2</v>
      </c>
      <c r="E253">
        <v>7.0000000000000001E-3</v>
      </c>
      <c r="F253">
        <v>0.33</v>
      </c>
      <c r="I253">
        <v>0.1</v>
      </c>
    </row>
    <row r="254" spans="2:21">
      <c r="C254">
        <v>7.0000000000000001E-3</v>
      </c>
      <c r="D254">
        <v>7.0000000000000001E-3</v>
      </c>
      <c r="E254">
        <v>0.01</v>
      </c>
      <c r="F254">
        <v>0.33</v>
      </c>
      <c r="I254">
        <v>0.7</v>
      </c>
      <c r="L254">
        <f>0.1^2</f>
        <v>1.0000000000000002E-2</v>
      </c>
      <c r="M254">
        <v>7.0000000000000001E-3</v>
      </c>
      <c r="N254">
        <v>7.0000000000000001E-3</v>
      </c>
      <c r="O254">
        <v>7.0000000000000001E-3</v>
      </c>
      <c r="P254">
        <v>7.0000000000000001E-3</v>
      </c>
      <c r="Q254">
        <v>7.0000000000000001E-3</v>
      </c>
      <c r="R254">
        <v>7.0000000000000001E-3</v>
      </c>
      <c r="S254">
        <v>7.0000000000000001E-3</v>
      </c>
      <c r="T254">
        <v>7.0000000000000001E-3</v>
      </c>
      <c r="U254">
        <v>7.0000000000000001E-3</v>
      </c>
    </row>
    <row r="255" spans="2:21">
      <c r="B255" s="7" cm="1">
        <f t="array" ref="B255">MMULT(MMULT(TRANSPOSE(F252:F253),C252:D253),F252:F253)</f>
        <v>3.7026000000000003E-3</v>
      </c>
      <c r="C255" s="4">
        <f>SQRT(B255)</f>
        <v>6.084899341813306E-2</v>
      </c>
      <c r="H255" t="s">
        <v>59</v>
      </c>
      <c r="I255">
        <f>C252*I254</f>
        <v>7.000000000000001E-3</v>
      </c>
      <c r="L255">
        <f>M254</f>
        <v>7.0000000000000001E-3</v>
      </c>
      <c r="M255">
        <f>0.1^2</f>
        <v>1.0000000000000002E-2</v>
      </c>
      <c r="N255">
        <v>7.0000000000000001E-3</v>
      </c>
      <c r="O255">
        <v>7.0000000000000001E-3</v>
      </c>
      <c r="P255">
        <v>7.0000000000000001E-3</v>
      </c>
      <c r="Q255">
        <v>7.0000000000000001E-3</v>
      </c>
      <c r="R255">
        <v>7.0000000000000001E-3</v>
      </c>
      <c r="S255">
        <v>7.0000000000000001E-3</v>
      </c>
      <c r="T255">
        <v>7.0000000000000001E-3</v>
      </c>
      <c r="U255">
        <v>7.0000000000000001E-3</v>
      </c>
    </row>
    <row r="256" spans="2:21">
      <c r="B256" t="s">
        <v>61</v>
      </c>
      <c r="C256" t="s">
        <v>60</v>
      </c>
      <c r="F256" cm="1">
        <f t="array" ref="F256">MMULT(MMULT(TRANSPOSE(F252:F254),C252:E254),F252:F254)</f>
        <v>7.8408000000000002E-3</v>
      </c>
      <c r="L256">
        <v>7.0000000000000001E-3</v>
      </c>
      <c r="M256">
        <v>7.0000000000000001E-3</v>
      </c>
      <c r="N256">
        <v>0.01</v>
      </c>
      <c r="O256">
        <v>7.0000000000000001E-3</v>
      </c>
      <c r="P256">
        <v>7.0000000000000001E-3</v>
      </c>
      <c r="Q256">
        <v>7.0000000000000001E-3</v>
      </c>
      <c r="R256">
        <v>7.0000000000000001E-3</v>
      </c>
      <c r="S256">
        <v>7.0000000000000001E-3</v>
      </c>
      <c r="T256">
        <v>7.0000000000000001E-3</v>
      </c>
      <c r="U256">
        <v>7.0000000000000001E-3</v>
      </c>
    </row>
    <row r="257" spans="2:21">
      <c r="B257" t="s">
        <v>61</v>
      </c>
      <c r="C257">
        <f>SQRT(I254)*I253</f>
        <v>8.3666002653407567E-2</v>
      </c>
      <c r="F257" s="8">
        <f>SQRT(F256)</f>
        <v>8.8548291908991675E-2</v>
      </c>
      <c r="L257">
        <v>7.0000000000000001E-3</v>
      </c>
      <c r="M257">
        <v>7.0000000000000001E-3</v>
      </c>
      <c r="N257">
        <v>7.0000000000000001E-3</v>
      </c>
      <c r="O257">
        <v>0.01</v>
      </c>
      <c r="P257">
        <v>7.0000000000000001E-3</v>
      </c>
      <c r="Q257">
        <v>7.0000000000000001E-3</v>
      </c>
      <c r="R257">
        <v>7.0000000000000001E-3</v>
      </c>
      <c r="S257">
        <v>7.0000000000000001E-3</v>
      </c>
      <c r="T257">
        <v>7.0000000000000001E-3</v>
      </c>
      <c r="U257">
        <v>7.0000000000000001E-3</v>
      </c>
    </row>
    <row r="258" spans="2:21">
      <c r="L258">
        <v>7.0000000000000001E-3</v>
      </c>
      <c r="M258">
        <v>7.0000000000000001E-3</v>
      </c>
      <c r="N258">
        <v>7.0000000000000001E-3</v>
      </c>
      <c r="O258">
        <v>7.0000000000000001E-3</v>
      </c>
      <c r="P258">
        <v>0.01</v>
      </c>
      <c r="Q258">
        <v>7.0000000000000001E-3</v>
      </c>
      <c r="R258">
        <v>7.0000000000000001E-3</v>
      </c>
      <c r="S258">
        <v>7.0000000000000001E-3</v>
      </c>
      <c r="T258">
        <v>7.0000000000000001E-3</v>
      </c>
      <c r="U258">
        <v>7.0000000000000001E-3</v>
      </c>
    </row>
    <row r="259" spans="2:21">
      <c r="L259">
        <v>7.0000000000000001E-3</v>
      </c>
      <c r="M259">
        <v>7.0000000000000001E-3</v>
      </c>
      <c r="N259">
        <v>7.0000000000000001E-3</v>
      </c>
      <c r="O259">
        <v>7.0000000000000001E-3</v>
      </c>
      <c r="P259">
        <v>7.0000000000000001E-3</v>
      </c>
      <c r="Q259">
        <v>0.01</v>
      </c>
      <c r="R259">
        <v>7.0000000000000001E-3</v>
      </c>
      <c r="S259">
        <v>7.0000000000000001E-3</v>
      </c>
      <c r="T259">
        <v>7.0000000000000001E-3</v>
      </c>
      <c r="U259">
        <v>7.0000000000000001E-3</v>
      </c>
    </row>
    <row r="260" spans="2:21">
      <c r="L260">
        <v>7.0000000000000001E-3</v>
      </c>
      <c r="M260">
        <v>7.0000000000000001E-3</v>
      </c>
      <c r="N260">
        <v>7.0000000000000001E-3</v>
      </c>
      <c r="O260">
        <v>7.0000000000000001E-3</v>
      </c>
      <c r="P260">
        <v>7.0000000000000001E-3</v>
      </c>
      <c r="Q260">
        <v>7.0000000000000001E-3</v>
      </c>
      <c r="R260">
        <v>0.01</v>
      </c>
      <c r="S260">
        <v>7.0000000000000001E-3</v>
      </c>
      <c r="T260">
        <v>7.0000000000000001E-3</v>
      </c>
      <c r="U260">
        <v>7.0000000000000001E-3</v>
      </c>
    </row>
    <row r="261" spans="2:21">
      <c r="L261">
        <v>7.0000000000000001E-3</v>
      </c>
      <c r="M261">
        <v>7.0000000000000001E-3</v>
      </c>
      <c r="N261">
        <v>7.0000000000000001E-3</v>
      </c>
      <c r="O261">
        <v>7.0000000000000001E-3</v>
      </c>
      <c r="P261">
        <v>7.0000000000000001E-3</v>
      </c>
      <c r="Q261">
        <v>7.0000000000000001E-3</v>
      </c>
      <c r="R261">
        <v>7.0000000000000001E-3</v>
      </c>
      <c r="S261">
        <v>0.01</v>
      </c>
      <c r="T261">
        <v>7.0000000000000001E-3</v>
      </c>
      <c r="U261">
        <v>7.0000000000000001E-3</v>
      </c>
    </row>
    <row r="262" spans="2:21">
      <c r="L262">
        <v>7.0000000000000001E-3</v>
      </c>
      <c r="M262">
        <v>7.0000000000000001E-3</v>
      </c>
      <c r="N262">
        <v>7.0000000000000001E-3</v>
      </c>
      <c r="O262">
        <v>7.0000000000000001E-3</v>
      </c>
      <c r="P262">
        <v>7.0000000000000001E-3</v>
      </c>
      <c r="Q262">
        <v>7.0000000000000001E-3</v>
      </c>
      <c r="R262">
        <v>7.0000000000000001E-3</v>
      </c>
      <c r="S262">
        <v>7.0000000000000001E-3</v>
      </c>
      <c r="T262">
        <v>0.01</v>
      </c>
      <c r="U262">
        <v>7.0000000000000001E-3</v>
      </c>
    </row>
    <row r="263" spans="2:21">
      <c r="L263">
        <v>7.0000000000000001E-3</v>
      </c>
      <c r="M263">
        <v>7.0000000000000001E-3</v>
      </c>
      <c r="N263">
        <v>7.0000000000000001E-3</v>
      </c>
      <c r="O263">
        <v>7.0000000000000001E-3</v>
      </c>
      <c r="P263">
        <v>7.0000000000000001E-3</v>
      </c>
      <c r="Q263">
        <v>7.0000000000000001E-3</v>
      </c>
      <c r="R263">
        <v>7.0000000000000001E-3</v>
      </c>
      <c r="S263">
        <v>7.0000000000000001E-3</v>
      </c>
      <c r="T263">
        <v>7.0000000000000001E-3</v>
      </c>
      <c r="U263">
        <v>0.01</v>
      </c>
    </row>
    <row r="274" spans="2:10">
      <c r="C274" t="s">
        <v>42</v>
      </c>
      <c r="D274" t="s">
        <v>43</v>
      </c>
      <c r="F274" t="s">
        <v>44</v>
      </c>
    </row>
    <row r="275" spans="2:10">
      <c r="B275">
        <v>0</v>
      </c>
      <c r="C275">
        <v>40</v>
      </c>
      <c r="D275">
        <v>60</v>
      </c>
      <c r="F275">
        <v>0.5</v>
      </c>
    </row>
    <row r="276" spans="2:10">
      <c r="B276">
        <v>1</v>
      </c>
      <c r="C276">
        <v>100</v>
      </c>
      <c r="D276">
        <v>0</v>
      </c>
      <c r="F276">
        <f>1-F275</f>
        <v>0.5</v>
      </c>
    </row>
    <row r="277" spans="2:10">
      <c r="B277">
        <v>2</v>
      </c>
      <c r="C277">
        <v>0</v>
      </c>
      <c r="D277">
        <v>100</v>
      </c>
    </row>
    <row r="278" spans="2:10">
      <c r="B278">
        <v>3</v>
      </c>
      <c r="C278">
        <v>100</v>
      </c>
      <c r="D278">
        <v>0</v>
      </c>
    </row>
    <row r="279" spans="2:10">
      <c r="B279">
        <v>4</v>
      </c>
      <c r="C279">
        <v>50</v>
      </c>
      <c r="D279">
        <v>50</v>
      </c>
    </row>
    <row r="281" spans="2:10">
      <c r="B281">
        <v>0</v>
      </c>
      <c r="C281" t="s">
        <v>45</v>
      </c>
      <c r="D281" cm="1">
        <f t="array" ref="D281">MMULT(C275:D275,$F$275:$F$276)</f>
        <v>50</v>
      </c>
    </row>
    <row r="282" spans="2:10">
      <c r="B282">
        <f>B281+1</f>
        <v>1</v>
      </c>
      <c r="C282" t="s">
        <v>45</v>
      </c>
      <c r="D282" cm="1">
        <f t="array" ref="D282">MMULT(C276:D276,$F$275:$F$276)</f>
        <v>50</v>
      </c>
    </row>
    <row r="283" spans="2:10">
      <c r="B283">
        <f t="shared" ref="B283:B285" si="18">B282+1</f>
        <v>2</v>
      </c>
      <c r="C283" t="s">
        <v>45</v>
      </c>
      <c r="D283" cm="1">
        <f t="array" ref="D283">MMULT(C277:D277,$F$275:$F$276)</f>
        <v>50</v>
      </c>
    </row>
    <row r="284" spans="2:10" ht="18">
      <c r="B284">
        <f t="shared" si="18"/>
        <v>3</v>
      </c>
      <c r="C284" t="s">
        <v>45</v>
      </c>
      <c r="D284" cm="1">
        <f t="array" ref="D284">MMULT(C278:D278,$F$275:$F$276)</f>
        <v>50</v>
      </c>
      <c r="J284" s="3"/>
    </row>
    <row r="285" spans="2:10">
      <c r="B285">
        <f t="shared" si="18"/>
        <v>4</v>
      </c>
      <c r="C285" t="s">
        <v>45</v>
      </c>
      <c r="D285" cm="1">
        <f t="array" ref="D285">MMULT(C279:D279,$F$275:$F$276)</f>
        <v>50</v>
      </c>
    </row>
    <row r="286" spans="2:10">
      <c r="B286" t="s">
        <v>47</v>
      </c>
    </row>
    <row r="287" spans="2:10">
      <c r="B287" t="s">
        <v>17</v>
      </c>
      <c r="C287">
        <v>1</v>
      </c>
    </row>
    <row r="304" spans="2:2">
      <c r="B304" t="s">
        <v>48</v>
      </c>
    </row>
    <row r="305" spans="2:3">
      <c r="B305" s="1" t="s">
        <v>17</v>
      </c>
      <c r="C305" s="1">
        <v>1</v>
      </c>
    </row>
    <row r="321" spans="2:5">
      <c r="B321" t="s">
        <v>10</v>
      </c>
      <c r="C321" t="s">
        <v>49</v>
      </c>
      <c r="E321" t="s">
        <v>44</v>
      </c>
    </row>
    <row r="322" spans="2:5">
      <c r="B322">
        <v>0.5</v>
      </c>
      <c r="C322">
        <v>0.35</v>
      </c>
      <c r="E322">
        <v>0.5</v>
      </c>
    </row>
    <row r="323" spans="2:5">
      <c r="B323">
        <v>-0.1</v>
      </c>
      <c r="C323">
        <v>-0.25</v>
      </c>
      <c r="E323">
        <f>1-E322</f>
        <v>0.5</v>
      </c>
    </row>
    <row r="326" spans="2:5">
      <c r="B326" t="s">
        <v>10</v>
      </c>
      <c r="C326" t="s">
        <v>49</v>
      </c>
    </row>
    <row r="327" spans="2:5">
      <c r="B327">
        <f>SUMPRODUCT(B322:B323,$E$322:$E$323)</f>
        <v>0.2</v>
      </c>
      <c r="C327">
        <f>SUMPRODUCT(C322:C323,$E$322:$E$323)</f>
        <v>4.9999999999999989E-2</v>
      </c>
    </row>
    <row r="328" spans="2:5">
      <c r="B328" s="1" t="s">
        <v>1</v>
      </c>
      <c r="C328" s="1">
        <v>3</v>
      </c>
    </row>
    <row r="344" spans="2:11">
      <c r="G344" t="s">
        <v>52</v>
      </c>
      <c r="H344">
        <v>1E-3</v>
      </c>
    </row>
    <row r="346" spans="2:11">
      <c r="C346">
        <v>90.61</v>
      </c>
      <c r="D346">
        <v>15.34</v>
      </c>
      <c r="E346">
        <v>17.690000000000001</v>
      </c>
      <c r="H346">
        <v>1.1299999999999999</v>
      </c>
      <c r="K346">
        <f>H346-H344</f>
        <v>1.129</v>
      </c>
    </row>
    <row r="347" spans="2:11">
      <c r="B347" t="s">
        <v>50</v>
      </c>
      <c r="C347">
        <v>15.34</v>
      </c>
      <c r="D347">
        <v>66.06</v>
      </c>
      <c r="E347">
        <v>45.2</v>
      </c>
      <c r="G347" t="s">
        <v>51</v>
      </c>
      <c r="H347">
        <v>1.08</v>
      </c>
      <c r="J347" t="s">
        <v>57</v>
      </c>
      <c r="K347">
        <f t="shared" ref="K347:K348" si="19">H347-H345</f>
        <v>1.08</v>
      </c>
    </row>
    <row r="348" spans="2:11">
      <c r="C348">
        <v>17.690000000000001</v>
      </c>
      <c r="D348">
        <v>45.22</v>
      </c>
      <c r="E348">
        <v>129.97999999999999</v>
      </c>
      <c r="H348">
        <v>2.6</v>
      </c>
      <c r="K348">
        <f t="shared" si="19"/>
        <v>1.4700000000000002</v>
      </c>
    </row>
    <row r="350" spans="2:11">
      <c r="C350">
        <f>C346/100</f>
        <v>0.90610000000000002</v>
      </c>
      <c r="D350">
        <f t="shared" ref="D350:E350" si="20">D346/100</f>
        <v>0.15340000000000001</v>
      </c>
      <c r="E350">
        <f t="shared" si="20"/>
        <v>0.1769</v>
      </c>
      <c r="H350">
        <f>H346/100</f>
        <v>1.1299999999999999E-2</v>
      </c>
      <c r="K350">
        <f>H350-$H$344</f>
        <v>1.03E-2</v>
      </c>
    </row>
    <row r="351" spans="2:11">
      <c r="B351" t="s">
        <v>50</v>
      </c>
      <c r="C351">
        <f t="shared" ref="C351:E352" si="21">C347/100</f>
        <v>0.15340000000000001</v>
      </c>
      <c r="D351">
        <f t="shared" si="21"/>
        <v>0.66060000000000008</v>
      </c>
      <c r="E351">
        <f t="shared" si="21"/>
        <v>0.45200000000000001</v>
      </c>
      <c r="G351" t="s">
        <v>51</v>
      </c>
      <c r="H351">
        <f t="shared" ref="H351:H352" si="22">H347/100</f>
        <v>1.0800000000000001E-2</v>
      </c>
      <c r="J351" t="s">
        <v>57</v>
      </c>
      <c r="K351">
        <f t="shared" ref="K351:K352" si="23">H351-$H$344</f>
        <v>9.7999999999999997E-3</v>
      </c>
    </row>
    <row r="352" spans="2:11">
      <c r="C352">
        <f t="shared" si="21"/>
        <v>0.1769</v>
      </c>
      <c r="D352">
        <f t="shared" si="21"/>
        <v>0.45219999999999999</v>
      </c>
      <c r="E352">
        <f t="shared" si="21"/>
        <v>1.2997999999999998</v>
      </c>
      <c r="H352">
        <f t="shared" si="22"/>
        <v>2.6000000000000002E-2</v>
      </c>
      <c r="K352">
        <f t="shared" si="23"/>
        <v>2.5000000000000001E-2</v>
      </c>
    </row>
    <row r="354" spans="2:9">
      <c r="B354" t="s">
        <v>53</v>
      </c>
      <c r="C354" s="5" cm="1">
        <f t="array" ref="C354:C356">MMULT(MINVERSE(C350:E352),K350:K352)</f>
        <v>7.7383471186079598E-3</v>
      </c>
      <c r="E354" t="s">
        <v>55</v>
      </c>
      <c r="F354" s="6">
        <f>C354/$C$357</f>
        <v>0.29277478832534143</v>
      </c>
      <c r="H354" t="s">
        <v>45</v>
      </c>
      <c r="I354" s="6" cm="1">
        <f t="array" ref="I354">MMULT(TRANSPOSE(F354:F356),H350:H352)</f>
        <v>2.1244546792839963E-2</v>
      </c>
    </row>
    <row r="355" spans="2:9">
      <c r="C355" s="5">
        <v>7.8539158811068849E-4</v>
      </c>
      <c r="F355" s="6">
        <f>C355/$C$357</f>
        <v>2.9714724919573606E-2</v>
      </c>
      <c r="H355" t="s">
        <v>62</v>
      </c>
      <c r="I355" s="6" cm="1">
        <f t="array" ref="I355">MMULT(MMULT(TRANSPOSE(F354:F356),C350:E352),F354:F356)</f>
        <v>0.76593784320732383</v>
      </c>
    </row>
    <row r="356" spans="2:9">
      <c r="C356" s="5">
        <v>1.7907318294025698E-2</v>
      </c>
      <c r="F356" s="6">
        <f>C356/$C$357</f>
        <v>0.67751048675508496</v>
      </c>
      <c r="H356" t="s">
        <v>63</v>
      </c>
      <c r="I356" s="6">
        <f>SQRT(I355)</f>
        <v>0.87517874928915174</v>
      </c>
    </row>
    <row r="357" spans="2:9">
      <c r="B357" t="s">
        <v>54</v>
      </c>
      <c r="C357" s="5">
        <f>SUM(_xlfn.ANCHORARRAY(C354))</f>
        <v>2.6431057000744346E-2</v>
      </c>
      <c r="E357" t="s">
        <v>56</v>
      </c>
      <c r="F357">
        <f>SUM(F354:F356)</f>
        <v>1</v>
      </c>
    </row>
    <row r="358" spans="2:9">
      <c r="B358" s="1" t="s">
        <v>1</v>
      </c>
      <c r="C358" s="1">
        <v>1</v>
      </c>
    </row>
    <row r="380" spans="2:9">
      <c r="C380" s="6">
        <v>0.90610000000000002</v>
      </c>
      <c r="D380" s="6">
        <v>0.15340000000000001</v>
      </c>
      <c r="E380" s="6">
        <v>0.1769</v>
      </c>
      <c r="H380">
        <v>1.1299999999999999E-2</v>
      </c>
    </row>
    <row r="381" spans="2:9">
      <c r="B381" t="s">
        <v>50</v>
      </c>
      <c r="C381" s="6">
        <v>0.15340000000000001</v>
      </c>
      <c r="D381" s="6">
        <v>0.66060000000000008</v>
      </c>
      <c r="E381" s="6">
        <v>0.45200000000000001</v>
      </c>
      <c r="G381" t="s">
        <v>51</v>
      </c>
      <c r="H381">
        <v>1.0800000000000001E-2</v>
      </c>
    </row>
    <row r="382" spans="2:9">
      <c r="C382" s="6">
        <v>0.1769</v>
      </c>
      <c r="D382" s="6">
        <v>0.45219999999999999</v>
      </c>
      <c r="E382" s="6">
        <v>1.2997999999999998</v>
      </c>
      <c r="H382">
        <v>2.6000000000000002E-2</v>
      </c>
    </row>
    <row r="384" spans="2:9">
      <c r="G384" t="s">
        <v>45</v>
      </c>
      <c r="H384" t="s">
        <v>62</v>
      </c>
      <c r="I384" t="s">
        <v>63</v>
      </c>
    </row>
    <row r="385" spans="2:9">
      <c r="B385">
        <v>0.3</v>
      </c>
      <c r="C385">
        <v>7.0000000000000007E-2</v>
      </c>
      <c r="D385">
        <v>0.63</v>
      </c>
      <c r="E385">
        <f>B385+C385+D385</f>
        <v>1</v>
      </c>
      <c r="G385" s="6" cm="1">
        <f t="array" ref="G385">MMULT(B385:D385,$H$380:$H$382)</f>
        <v>2.0526000000000003E-2</v>
      </c>
      <c r="H385" s="6" cm="1">
        <f t="array" ref="H385">MMULT(MMULT(B385:D385,$C$380:$E$382),TRANSPOSE(B385:D385))</f>
        <v>0.71386278000000003</v>
      </c>
      <c r="I385" s="6">
        <f>SQRT(H385)</f>
        <v>0.84490400638179008</v>
      </c>
    </row>
    <row r="386" spans="2:9">
      <c r="B386">
        <v>0.32</v>
      </c>
      <c r="C386">
        <v>0.03</v>
      </c>
      <c r="D386">
        <v>0.74</v>
      </c>
      <c r="E386">
        <f t="shared" ref="E386:E388" si="24">B386+C386+D386</f>
        <v>1.0899999999999999</v>
      </c>
      <c r="G386" s="6" cm="1">
        <f t="array" ref="G386">MMULT(B386:D386,$H$380:$H$382)</f>
        <v>2.3179999999999999E-2</v>
      </c>
      <c r="H386" s="6" cm="1">
        <f t="array" ref="H386">MMULT(MMULT(B386:D386,$C$380:$E$382),TRANSPOSE(B386:D386))</f>
        <v>0.91194801999999975</v>
      </c>
      <c r="I386" s="6">
        <f t="shared" ref="I386:I388" si="25">SQRT(H386)</f>
        <v>0.95495969548457893</v>
      </c>
    </row>
    <row r="387" spans="2:9">
      <c r="B387">
        <v>0.38</v>
      </c>
      <c r="C387">
        <v>0.5</v>
      </c>
      <c r="D387">
        <v>0.11</v>
      </c>
      <c r="E387">
        <f t="shared" si="24"/>
        <v>0.99</v>
      </c>
      <c r="G387" s="6" cm="1">
        <f t="array" ref="G387">MMULT(B387:D387,$H$380:$H$382)</f>
        <v>1.2554000000000001E-2</v>
      </c>
      <c r="H387" s="6" cm="1">
        <f t="array" ref="H387">MMULT(MMULT(B387:D387,$C$380:$E$382),TRANSPOSE(B387:D387))</f>
        <v>0.43453026000000006</v>
      </c>
      <c r="I387" s="6">
        <f t="shared" si="25"/>
        <v>0.65918909274956916</v>
      </c>
    </row>
    <row r="388" spans="2:9">
      <c r="B388">
        <v>1</v>
      </c>
      <c r="C388">
        <v>0</v>
      </c>
      <c r="D388">
        <v>0</v>
      </c>
      <c r="E388">
        <f t="shared" si="24"/>
        <v>1</v>
      </c>
      <c r="G388" s="6" cm="1">
        <f t="array" ref="G388">MMULT(B388:D388,$H$380:$H$382)</f>
        <v>1.1299999999999999E-2</v>
      </c>
      <c r="H388" s="6" cm="1">
        <f t="array" ref="H388">MMULT(MMULT(B388:D388,$C$380:$E$382),TRANSPOSE(B388:D388))</f>
        <v>0.90610000000000002</v>
      </c>
      <c r="I388" s="6">
        <f t="shared" si="25"/>
        <v>0.95189285111298105</v>
      </c>
    </row>
    <row r="389" spans="2:9">
      <c r="B389" t="s">
        <v>1</v>
      </c>
      <c r="C389">
        <v>6</v>
      </c>
    </row>
    <row r="418" spans="2:11">
      <c r="H418">
        <v>1E-3</v>
      </c>
    </row>
    <row r="420" spans="2:11">
      <c r="C420">
        <f t="shared" ref="C420:H420" si="26">C380</f>
        <v>0.90610000000000002</v>
      </c>
      <c r="D420">
        <f t="shared" si="26"/>
        <v>0.15340000000000001</v>
      </c>
      <c r="E420">
        <f t="shared" si="26"/>
        <v>0.1769</v>
      </c>
      <c r="H420">
        <f t="shared" si="26"/>
        <v>1.1299999999999999E-2</v>
      </c>
      <c r="K420">
        <f>K350</f>
        <v>1.03E-2</v>
      </c>
    </row>
    <row r="421" spans="2:11">
      <c r="B421" t="str">
        <f t="shared" ref="B421:H421" si="27">B381</f>
        <v>A</v>
      </c>
      <c r="C421">
        <f t="shared" si="27"/>
        <v>0.15340000000000001</v>
      </c>
      <c r="D421">
        <f t="shared" si="27"/>
        <v>0.66060000000000008</v>
      </c>
      <c r="E421">
        <f t="shared" si="27"/>
        <v>0.45200000000000001</v>
      </c>
      <c r="G421" t="str">
        <f t="shared" si="27"/>
        <v>b</v>
      </c>
      <c r="H421">
        <f t="shared" si="27"/>
        <v>1.0800000000000001E-2</v>
      </c>
      <c r="J421" t="str">
        <f t="shared" ref="J421:K422" si="28">J351</f>
        <v>b-rf</v>
      </c>
      <c r="K421">
        <f t="shared" si="28"/>
        <v>9.7999999999999997E-3</v>
      </c>
    </row>
    <row r="422" spans="2:11">
      <c r="C422">
        <f t="shared" ref="C422:H422" si="29">C382</f>
        <v>0.1769</v>
      </c>
      <c r="D422">
        <f t="shared" si="29"/>
        <v>0.45219999999999999</v>
      </c>
      <c r="E422">
        <f t="shared" si="29"/>
        <v>1.2997999999999998</v>
      </c>
      <c r="H422">
        <f t="shared" si="29"/>
        <v>2.6000000000000002E-2</v>
      </c>
      <c r="K422">
        <f t="shared" si="28"/>
        <v>2.5000000000000001E-2</v>
      </c>
    </row>
    <row r="424" spans="2:11">
      <c r="B424" t="s">
        <v>53</v>
      </c>
      <c r="C424" s="6" cm="1">
        <f t="array" ref="C424:C426">MMULT(MINVERSE(C420:E422),K420:K422)</f>
        <v>7.7383471186079598E-3</v>
      </c>
      <c r="E424" t="s">
        <v>55</v>
      </c>
      <c r="F424" s="6">
        <f>C424/$C$427</f>
        <v>0.29277478832534143</v>
      </c>
      <c r="H424" t="s">
        <v>45</v>
      </c>
      <c r="I424" s="6">
        <f>SUMPRODUCT(F424:F426,H420:H422)</f>
        <v>2.1244546792839963E-2</v>
      </c>
    </row>
    <row r="425" spans="2:11">
      <c r="C425" s="6">
        <v>7.8539158811068849E-4</v>
      </c>
      <c r="F425" s="6">
        <f t="shared" ref="F425:F426" si="30">C425/$C$427</f>
        <v>2.9714724919573606E-2</v>
      </c>
    </row>
    <row r="426" spans="2:11">
      <c r="C426" s="6">
        <v>1.7907318294025698E-2</v>
      </c>
      <c r="F426" s="6">
        <f t="shared" si="30"/>
        <v>0.67751048675508496</v>
      </c>
    </row>
    <row r="427" spans="2:11">
      <c r="B427" t="s">
        <v>54</v>
      </c>
      <c r="C427" s="6">
        <f>SUM(_xlfn.ANCHORARRAY(C424))</f>
        <v>2.6431057000744346E-2</v>
      </c>
      <c r="E427" t="s">
        <v>56</v>
      </c>
      <c r="F427">
        <f>SUM(F424:F426)</f>
        <v>1</v>
      </c>
    </row>
    <row r="429" spans="2:11">
      <c r="B429" t="s">
        <v>64</v>
      </c>
      <c r="C429" t="s">
        <v>65</v>
      </c>
    </row>
    <row r="430" spans="2:11">
      <c r="B430" t="s">
        <v>55</v>
      </c>
      <c r="C430">
        <f>(0.05-0.001)/(I424-0.001)</f>
        <v>2.4204048873709629</v>
      </c>
    </row>
    <row r="432" spans="2:11">
      <c r="B432" t="s">
        <v>66</v>
      </c>
      <c r="C432">
        <f>C430*I424+(1-C430)*H418</f>
        <v>0.05</v>
      </c>
    </row>
    <row r="434" spans="2:5">
      <c r="C434" s="6">
        <f>$C$430*F424</f>
        <v>0.70863352856165551</v>
      </c>
      <c r="E434" s="6"/>
    </row>
    <row r="435" spans="2:5">
      <c r="B435" t="s">
        <v>67</v>
      </c>
      <c r="C435" s="6">
        <f t="shared" ref="C435:C436" si="31">$C$430*F425</f>
        <v>7.1921665422219699E-2</v>
      </c>
    </row>
    <row r="436" spans="2:5">
      <c r="C436" s="6">
        <f t="shared" si="31"/>
        <v>1.6398496933870876</v>
      </c>
    </row>
    <row r="437" spans="2:5">
      <c r="B437" t="s">
        <v>1</v>
      </c>
      <c r="C437" s="9">
        <v>2</v>
      </c>
    </row>
    <row r="456" spans="2:6">
      <c r="B456" t="s">
        <v>68</v>
      </c>
      <c r="F456" t="s">
        <v>70</v>
      </c>
    </row>
    <row r="457" spans="2:6">
      <c r="B457" t="s">
        <v>64</v>
      </c>
      <c r="C457" t="s">
        <v>69</v>
      </c>
      <c r="F457">
        <v>7.0000000000000007E-2</v>
      </c>
    </row>
    <row r="458" spans="2:6">
      <c r="B458" t="s">
        <v>64</v>
      </c>
      <c r="C458">
        <f>(0.14-0.2)/(0.07-0.2)</f>
        <v>0.46153846153846151</v>
      </c>
      <c r="F458">
        <v>0.2</v>
      </c>
    </row>
    <row r="460" spans="2:6">
      <c r="B460" s="1" t="s">
        <v>1</v>
      </c>
      <c r="C460" s="1">
        <v>4</v>
      </c>
    </row>
    <row r="462" spans="2:6">
      <c r="B462" t="s">
        <v>71</v>
      </c>
      <c r="D462" t="s">
        <v>72</v>
      </c>
      <c r="E462" t="s">
        <v>66</v>
      </c>
    </row>
    <row r="463" spans="2:6">
      <c r="B463" t="s">
        <v>73</v>
      </c>
      <c r="C463">
        <f>C458*F457+(1-C458)*F458</f>
        <v>0.14000000000000001</v>
      </c>
    </row>
    <row r="480" spans="2:2">
      <c r="B480" t="s">
        <v>88</v>
      </c>
    </row>
    <row r="481" spans="2:3">
      <c r="B481" t="s">
        <v>74</v>
      </c>
    </row>
    <row r="482" spans="2:3">
      <c r="B482" s="1" t="s">
        <v>1</v>
      </c>
      <c r="C482" s="1">
        <v>5</v>
      </c>
    </row>
    <row r="505" spans="2:3">
      <c r="B505" t="s">
        <v>75</v>
      </c>
    </row>
    <row r="506" spans="2:3">
      <c r="B506" t="s">
        <v>76</v>
      </c>
    </row>
    <row r="507" spans="2:3">
      <c r="B507" t="s">
        <v>1</v>
      </c>
      <c r="C507">
        <v>1</v>
      </c>
    </row>
    <row r="525" spans="2:3">
      <c r="B525" t="s">
        <v>77</v>
      </c>
    </row>
    <row r="526" spans="2:3">
      <c r="B526" s="1" t="s">
        <v>1</v>
      </c>
      <c r="C526" s="1">
        <v>5</v>
      </c>
    </row>
    <row r="544" spans="2:2">
      <c r="B544" t="s">
        <v>78</v>
      </c>
    </row>
    <row r="545" spans="2:3">
      <c r="B545" s="1" t="s">
        <v>17</v>
      </c>
      <c r="C545" s="1">
        <v>5</v>
      </c>
    </row>
    <row r="562" spans="2:3">
      <c r="B562" t="s">
        <v>79</v>
      </c>
    </row>
    <row r="563" spans="2:3">
      <c r="B563" s="1" t="s">
        <v>17</v>
      </c>
      <c r="C563" s="1">
        <v>1</v>
      </c>
    </row>
    <row r="584" spans="2:8">
      <c r="C584">
        <v>0.37</v>
      </c>
      <c r="F584">
        <v>1.8</v>
      </c>
      <c r="G584">
        <v>0.3</v>
      </c>
      <c r="H584">
        <v>1</v>
      </c>
    </row>
    <row r="585" spans="2:8">
      <c r="B585" t="s">
        <v>80</v>
      </c>
      <c r="C585">
        <v>0.19</v>
      </c>
      <c r="E585" t="s">
        <v>81</v>
      </c>
      <c r="F585">
        <v>0.2</v>
      </c>
      <c r="G585">
        <v>0.3</v>
      </c>
      <c r="H585">
        <v>1</v>
      </c>
    </row>
    <row r="586" spans="2:8">
      <c r="C586">
        <v>0.26</v>
      </c>
      <c r="F586">
        <v>0.3</v>
      </c>
      <c r="G586">
        <v>1</v>
      </c>
      <c r="H586">
        <v>1</v>
      </c>
    </row>
    <row r="588" spans="2:8">
      <c r="B588">
        <v>0</v>
      </c>
      <c r="C588">
        <v>0</v>
      </c>
      <c r="D588">
        <v>1</v>
      </c>
    </row>
    <row r="590" spans="2:8">
      <c r="B590" cm="1">
        <f t="array" ref="B590:D590">MMULT(B588:D588,MINVERSE(F584:H586))</f>
        <v>-9.821428571428574E-2</v>
      </c>
      <c r="C590">
        <v>1.5267857142857144</v>
      </c>
      <c r="D590">
        <v>-0.42857142857142855</v>
      </c>
      <c r="F590" cm="1">
        <f t="array" ref="F590:F592">MMULT(MINVERSE(F584:H586),C584:C586)</f>
        <v>0.11250000000000002</v>
      </c>
    </row>
    <row r="591" spans="2:8">
      <c r="F591">
        <v>8.3928571428571352E-2</v>
      </c>
    </row>
    <row r="592" spans="2:8">
      <c r="B592" t="s">
        <v>82</v>
      </c>
      <c r="C592" s="5" cm="1">
        <f t="array" ref="C592">MMULT(_xlfn.ANCHORARRAY(B590),C584:C586)</f>
        <v>0.14232142857142854</v>
      </c>
      <c r="F592">
        <v>0.14232142857142854</v>
      </c>
    </row>
    <row r="594" spans="2:3">
      <c r="B594" s="1" t="s">
        <v>1</v>
      </c>
      <c r="C594" s="1">
        <v>2</v>
      </c>
    </row>
    <row r="622" spans="2:8">
      <c r="C622">
        <v>0.37</v>
      </c>
      <c r="F622">
        <v>1.8</v>
      </c>
      <c r="G622">
        <v>0.3</v>
      </c>
      <c r="H622">
        <v>1</v>
      </c>
    </row>
    <row r="623" spans="2:8">
      <c r="B623" t="s">
        <v>80</v>
      </c>
      <c r="C623">
        <v>0.19</v>
      </c>
      <c r="E623" t="s">
        <v>81</v>
      </c>
      <c r="F623">
        <v>0.2</v>
      </c>
      <c r="G623">
        <v>0.3</v>
      </c>
      <c r="H623">
        <v>1</v>
      </c>
    </row>
    <row r="624" spans="2:8">
      <c r="C624">
        <v>0.26</v>
      </c>
      <c r="F624">
        <v>0.3</v>
      </c>
      <c r="G624">
        <v>1</v>
      </c>
      <c r="H624">
        <v>1</v>
      </c>
    </row>
    <row r="626" spans="2:6">
      <c r="E626" t="s">
        <v>83</v>
      </c>
      <c r="F626" s="5" cm="1">
        <f t="array" ref="F626:F628">MMULT(MINVERSE(F622:H624),C622:C624)</f>
        <v>0.11250000000000002</v>
      </c>
    </row>
    <row r="627" spans="2:6">
      <c r="B627">
        <v>0</v>
      </c>
      <c r="C627">
        <v>1</v>
      </c>
      <c r="D627">
        <v>1</v>
      </c>
      <c r="F627" s="5">
        <v>8.3928571428571352E-2</v>
      </c>
    </row>
    <row r="628" spans="2:6">
      <c r="F628" s="5">
        <v>0.14232142857142854</v>
      </c>
    </row>
    <row r="629" spans="2:6">
      <c r="B629" cm="1">
        <f t="array" ref="B629:D629">MMULT(B627:D627,MINVERSE(F622:H624))</f>
        <v>-0.1875</v>
      </c>
      <c r="C629">
        <v>0.18749999999999978</v>
      </c>
      <c r="D629">
        <v>1</v>
      </c>
    </row>
    <row r="631" spans="2:6">
      <c r="B631" t="s">
        <v>46</v>
      </c>
      <c r="C631" s="6" cm="1">
        <f t="array" ref="C631">MMULT(_xlfn.ANCHORARRAY(B629),C622:C624)</f>
        <v>0.22624999999999998</v>
      </c>
    </row>
    <row r="633" spans="2:6">
      <c r="B633" t="s">
        <v>84</v>
      </c>
      <c r="C633" s="5">
        <f>C631-C592</f>
        <v>8.3928571428571436E-2</v>
      </c>
    </row>
    <row r="634" spans="2:6">
      <c r="B634" t="s">
        <v>1</v>
      </c>
      <c r="C634" t="s">
        <v>85</v>
      </c>
    </row>
    <row r="661" spans="2:23">
      <c r="B661" t="s">
        <v>86</v>
      </c>
    </row>
    <row r="662" spans="2:23">
      <c r="B662">
        <v>3.5</v>
      </c>
      <c r="E662">
        <v>5</v>
      </c>
      <c r="F662">
        <v>3</v>
      </c>
      <c r="G662">
        <v>2</v>
      </c>
      <c r="K662" cm="1">
        <f t="array" ref="K662:N664">TRANSPOSE(E662:G665)</f>
        <v>5</v>
      </c>
      <c r="L662">
        <v>2</v>
      </c>
      <c r="M662">
        <v>5</v>
      </c>
      <c r="N662">
        <v>1</v>
      </c>
      <c r="P662" cm="1">
        <f t="array" ref="P662:R664">MMULT(_xlfn.ANCHORARRAY(K662),E662:G665)</f>
        <v>55</v>
      </c>
      <c r="Q662">
        <v>65</v>
      </c>
      <c r="R662">
        <v>52</v>
      </c>
      <c r="T662" s="6" cm="1">
        <f t="array" ref="T662:W664">MMULT(MINVERSE(_xlfn.ANCHORARRAY(P662)),_xlfn.ANCHORARRAY(K662))</f>
        <v>0.34782608695652228</v>
      </c>
      <c r="U662" s="6">
        <v>-8.6956521739129933E-2</v>
      </c>
      <c r="V662" s="6">
        <v>-7.6086956521736138E-2</v>
      </c>
      <c r="W662" s="6">
        <v>-0.18478260869565197</v>
      </c>
    </row>
    <row r="663" spans="2:23">
      <c r="B663">
        <v>1.5</v>
      </c>
      <c r="D663" t="s">
        <v>87</v>
      </c>
      <c r="E663">
        <v>2</v>
      </c>
      <c r="F663">
        <v>2</v>
      </c>
      <c r="G663">
        <v>1</v>
      </c>
      <c r="J663" t="s">
        <v>89</v>
      </c>
      <c r="K663">
        <v>3</v>
      </c>
      <c r="L663">
        <v>2</v>
      </c>
      <c r="M663">
        <v>9</v>
      </c>
      <c r="N663">
        <v>1</v>
      </c>
      <c r="P663">
        <v>65</v>
      </c>
      <c r="Q663">
        <v>95</v>
      </c>
      <c r="R663">
        <v>80</v>
      </c>
      <c r="T663" s="6">
        <v>-0.42608695652173911</v>
      </c>
      <c r="U663" s="6">
        <v>0.55652173913043423</v>
      </c>
      <c r="V663" s="6">
        <v>3.6956521739128334E-2</v>
      </c>
      <c r="W663" s="6">
        <v>0.83260869565217321</v>
      </c>
    </row>
    <row r="664" spans="2:23">
      <c r="B664">
        <v>6</v>
      </c>
      <c r="E664">
        <v>5</v>
      </c>
      <c r="F664">
        <v>9</v>
      </c>
      <c r="G664">
        <v>8</v>
      </c>
      <c r="K664">
        <v>2</v>
      </c>
      <c r="L664">
        <v>1</v>
      </c>
      <c r="M664">
        <v>8</v>
      </c>
      <c r="N664">
        <v>0</v>
      </c>
      <c r="P664">
        <v>52</v>
      </c>
      <c r="Q664">
        <v>80</v>
      </c>
      <c r="R664">
        <v>69</v>
      </c>
      <c r="T664" s="6">
        <v>0.26086956521739135</v>
      </c>
      <c r="U664" s="6">
        <v>-0.56521739130434723</v>
      </c>
      <c r="V664" s="6">
        <v>0.13043478260869534</v>
      </c>
      <c r="W664" s="6">
        <v>-0.82608695652173836</v>
      </c>
    </row>
    <row r="665" spans="2:23">
      <c r="B665">
        <v>0.55549999999999999</v>
      </c>
      <c r="E665">
        <v>1</v>
      </c>
      <c r="F665">
        <v>1</v>
      </c>
      <c r="G665">
        <v>0</v>
      </c>
    </row>
    <row r="666" spans="2:23">
      <c r="W666" s="5" cm="1">
        <f t="array" ref="W666:W668">MMULT(_xlfn.ANCHORARRAY(T662),B662:B665)</f>
        <v>0.52778804347828157</v>
      </c>
    </row>
    <row r="667" spans="2:23">
      <c r="B667" cm="1">
        <f t="array" ref="B667:D667">MMULT(E665:G665,MINVERSE(E662:G664))</f>
        <v>-0.22222222222222232</v>
      </c>
      <c r="C667">
        <v>1.3333333333333335</v>
      </c>
      <c r="D667">
        <v>-0.1111111111111111</v>
      </c>
      <c r="W667" s="5">
        <v>2.7731521739116582E-2</v>
      </c>
    </row>
    <row r="668" spans="2:23">
      <c r="W668" s="5">
        <v>0.3889347826086953</v>
      </c>
    </row>
    <row r="669" spans="2:23">
      <c r="B669" cm="1">
        <f t="array" ref="B669">MMULT(_xlfn.ANCHORARRAY(B667),B662:B664)</f>
        <v>0.55555555555555525</v>
      </c>
      <c r="W669" s="5">
        <f>SUM(_xlfn.ANCHORARRAY(W666))</f>
        <v>0.94445434782609339</v>
      </c>
    </row>
    <row r="671" spans="2:23">
      <c r="B671" s="1" t="s">
        <v>1</v>
      </c>
      <c r="C671" s="1">
        <v>1</v>
      </c>
    </row>
    <row r="699" spans="2:3">
      <c r="B699" t="s">
        <v>90</v>
      </c>
    </row>
    <row r="700" spans="2:3">
      <c r="B700" s="1" t="s">
        <v>1</v>
      </c>
      <c r="C700" s="1">
        <v>2</v>
      </c>
    </row>
    <row r="727" spans="2:7">
      <c r="B727" t="s">
        <v>86</v>
      </c>
    </row>
    <row r="728" spans="2:7">
      <c r="B728">
        <v>3.5</v>
      </c>
      <c r="E728">
        <v>5</v>
      </c>
      <c r="F728">
        <v>3</v>
      </c>
      <c r="G728">
        <v>2</v>
      </c>
    </row>
    <row r="729" spans="2:7">
      <c r="B729">
        <v>1.5</v>
      </c>
      <c r="D729" t="s">
        <v>87</v>
      </c>
      <c r="E729">
        <v>2</v>
      </c>
      <c r="F729">
        <v>2</v>
      </c>
      <c r="G729">
        <v>1</v>
      </c>
    </row>
    <row r="730" spans="2:7">
      <c r="B730">
        <v>6</v>
      </c>
      <c r="E730">
        <v>5</v>
      </c>
      <c r="F730">
        <v>9</v>
      </c>
      <c r="G730">
        <v>8</v>
      </c>
    </row>
    <row r="731" spans="2:7">
      <c r="B731">
        <v>0.55549999999999999</v>
      </c>
      <c r="E731">
        <v>1</v>
      </c>
      <c r="F731">
        <v>1</v>
      </c>
      <c r="G731">
        <v>0</v>
      </c>
    </row>
    <row r="733" spans="2:7">
      <c r="B733" cm="1">
        <f t="array" ref="B733:D733">MMULT(E731:G731,MINVERSE(E728:G730))</f>
        <v>-0.22222222222222232</v>
      </c>
      <c r="C733">
        <v>1.3333333333333335</v>
      </c>
      <c r="D733">
        <v>-0.1111111111111111</v>
      </c>
    </row>
    <row r="735" spans="2:7">
      <c r="B735" cm="1">
        <f t="array" ref="B735">MMULT(_xlfn.ANCHORARRAY(B733),B728:B730)</f>
        <v>0.55555555555555525</v>
      </c>
    </row>
    <row r="737" spans="2:5">
      <c r="B737" s="1" t="s">
        <v>1</v>
      </c>
      <c r="C737" s="1">
        <v>1</v>
      </c>
    </row>
    <row r="752" spans="2:5">
      <c r="B752" t="s">
        <v>91</v>
      </c>
      <c r="E752" t="s">
        <v>98</v>
      </c>
    </row>
    <row r="753" spans="2:4 16384:16384">
      <c r="B753" t="s">
        <v>92</v>
      </c>
      <c r="C753">
        <v>50</v>
      </c>
      <c r="XFD753">
        <v>160</v>
      </c>
    </row>
    <row r="754" spans="2:4 16384:16384">
      <c r="B754" t="s">
        <v>93</v>
      </c>
      <c r="C754">
        <v>1250</v>
      </c>
      <c r="D754">
        <f>C755/SUM(C754:C755)</f>
        <v>0.375</v>
      </c>
    </row>
    <row r="755" spans="2:4 16384:16384">
      <c r="B755" t="s">
        <v>94</v>
      </c>
      <c r="C755">
        <v>750</v>
      </c>
    </row>
    <row r="756" spans="2:4 16384:16384">
      <c r="B756" t="s">
        <v>95</v>
      </c>
      <c r="C756">
        <f>C754/C753</f>
        <v>25</v>
      </c>
    </row>
    <row r="758" spans="2:4 16384:16384">
      <c r="B758" t="s">
        <v>96</v>
      </c>
      <c r="C758">
        <f>C754+C755</f>
        <v>2000</v>
      </c>
    </row>
    <row r="759" spans="2:4 16384:16384">
      <c r="B759" t="s">
        <v>97</v>
      </c>
      <c r="C759">
        <f>C758/C753</f>
        <v>40</v>
      </c>
    </row>
    <row r="761" spans="2:4 16384:16384">
      <c r="C761">
        <v>1000</v>
      </c>
      <c r="D761">
        <f>C761/C759</f>
        <v>25</v>
      </c>
    </row>
    <row r="762" spans="2:4 16384:16384">
      <c r="C762">
        <v>1500</v>
      </c>
      <c r="D762">
        <f>C762/C759</f>
        <v>37.5</v>
      </c>
    </row>
    <row r="764" spans="2:4 16384:16384">
      <c r="B764" s="1" t="s">
        <v>17</v>
      </c>
      <c r="C764" s="1">
        <v>3</v>
      </c>
    </row>
    <row r="783" spans="2:7">
      <c r="B783" t="s">
        <v>99</v>
      </c>
      <c r="C783">
        <v>85</v>
      </c>
      <c r="F783" t="s">
        <v>94</v>
      </c>
      <c r="G783">
        <v>40</v>
      </c>
    </row>
    <row r="784" spans="2:7">
      <c r="B784" t="s">
        <v>100</v>
      </c>
      <c r="C784">
        <v>30</v>
      </c>
      <c r="D784">
        <v>0.15</v>
      </c>
      <c r="F784" t="s">
        <v>105</v>
      </c>
      <c r="G784">
        <v>0.8</v>
      </c>
    </row>
    <row r="785" spans="2:7">
      <c r="B785" t="s">
        <v>101</v>
      </c>
      <c r="C785">
        <v>60</v>
      </c>
      <c r="D785">
        <v>0.35</v>
      </c>
    </row>
    <row r="786" spans="2:7">
      <c r="B786" t="s">
        <v>102</v>
      </c>
      <c r="C786">
        <v>150</v>
      </c>
      <c r="D786">
        <v>0.5</v>
      </c>
    </row>
    <row r="788" spans="2:7">
      <c r="C788" t="s">
        <v>100</v>
      </c>
      <c r="D788" t="s">
        <v>101</v>
      </c>
      <c r="E788" t="s">
        <v>102</v>
      </c>
      <c r="F788" t="s">
        <v>45</v>
      </c>
    </row>
    <row r="789" spans="2:7">
      <c r="B789" t="s">
        <v>103</v>
      </c>
      <c r="C789">
        <f>SUM(C790:C791)</f>
        <v>24</v>
      </c>
      <c r="D789">
        <v>60</v>
      </c>
      <c r="E789">
        <f>G789</f>
        <v>90.528000000000006</v>
      </c>
      <c r="F789" cm="1">
        <f t="array" ref="F789">MMULT(C789:E789,$D$784:$D$786)</f>
        <v>69.864000000000004</v>
      </c>
      <c r="G789">
        <f>150-(85-2.4)*(1-0.28)</f>
        <v>90.528000000000006</v>
      </c>
    </row>
    <row r="790" spans="2:7">
      <c r="B790" t="s">
        <v>94</v>
      </c>
      <c r="C790">
        <f>C784*G784</f>
        <v>24</v>
      </c>
      <c r="D790">
        <v>40</v>
      </c>
      <c r="E790">
        <v>40</v>
      </c>
      <c r="F790" cm="1">
        <f t="array" ref="F790">MMULT(C790:E790,$D$784:$D$786)</f>
        <v>37.6</v>
      </c>
    </row>
    <row r="791" spans="2:7">
      <c r="B791" t="s">
        <v>104</v>
      </c>
      <c r="C791">
        <v>0</v>
      </c>
      <c r="D791">
        <v>20</v>
      </c>
      <c r="E791">
        <f>E789-E790</f>
        <v>50.528000000000006</v>
      </c>
      <c r="F791" cm="1">
        <f t="array" ref="F791">MMULT(C791:E791,$D$784:$D$786)</f>
        <v>32.264000000000003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Jeppe Vanderhaegen</dc:creator>
  <cp:lastModifiedBy>Jeppe Vanderhaegen</cp:lastModifiedBy>
  <dcterms:created xsi:type="dcterms:W3CDTF">2024-12-18T11:39:07Z</dcterms:created>
  <dcterms:modified xsi:type="dcterms:W3CDTF">2024-12-19T09:34:09Z</dcterms:modified>
</cp:coreProperties>
</file>