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vander/Documents/Uni/"/>
    </mc:Choice>
  </mc:AlternateContent>
  <xr:revisionPtr revIDLastSave="0" documentId="8_{8106DEA7-D5F9-EA41-9BFE-5E7515FE6C6F}" xr6:coauthVersionLast="47" xr6:coauthVersionMax="47" xr10:uidLastSave="{00000000-0000-0000-0000-000000000000}"/>
  <bookViews>
    <workbookView xWindow="0" yWindow="500" windowWidth="28800" windowHeight="15800" xr2:uid="{698BB024-B4DF-134D-9DD3-8C70F8D75CF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51" i="1" l="1"/>
  <c r="E448" i="1"/>
  <c r="C448" i="1"/>
  <c r="C447" i="1"/>
  <c r="B399" i="1"/>
  <c r="C399" i="1"/>
  <c r="C398" i="1"/>
  <c r="C400" i="1"/>
  <c r="B400" i="1"/>
  <c r="B394" i="1"/>
  <c r="C394" i="1"/>
  <c r="C393" i="1"/>
  <c r="C389" i="1"/>
  <c r="C388" i="1"/>
  <c r="D388" i="1"/>
  <c r="D389" i="1"/>
  <c r="D387" i="1"/>
  <c r="C390" i="1"/>
  <c r="D390" i="1"/>
  <c r="B390" i="1"/>
  <c r="Q364" i="1"/>
  <c r="Q365" i="1"/>
  <c r="Q366" i="1"/>
  <c r="Q367" i="1"/>
  <c r="Q368" i="1"/>
  <c r="Q369" i="1"/>
  <c r="Q370" i="1"/>
  <c r="Q363" i="1"/>
  <c r="P364" i="1"/>
  <c r="P365" i="1"/>
  <c r="P366" i="1"/>
  <c r="P367" i="1"/>
  <c r="P368" i="1"/>
  <c r="P369" i="1"/>
  <c r="P370" i="1"/>
  <c r="P363" i="1"/>
  <c r="O364" i="1"/>
  <c r="O365" i="1"/>
  <c r="O366" i="1"/>
  <c r="O367" i="1"/>
  <c r="O368" i="1"/>
  <c r="O369" i="1"/>
  <c r="O370" i="1"/>
  <c r="O363" i="1"/>
  <c r="N364" i="1"/>
  <c r="N365" i="1"/>
  <c r="N366" i="1"/>
  <c r="N367" i="1"/>
  <c r="N368" i="1"/>
  <c r="N369" i="1"/>
  <c r="N370" i="1"/>
  <c r="N363" i="1"/>
  <c r="M363" i="1"/>
  <c r="M364" i="1"/>
  <c r="M365" i="1"/>
  <c r="M366" i="1"/>
  <c r="M367" i="1"/>
  <c r="M368" i="1"/>
  <c r="M369" i="1"/>
  <c r="M370" i="1"/>
  <c r="M362" i="1"/>
  <c r="L363" i="1"/>
  <c r="L364" i="1"/>
  <c r="L365" i="1"/>
  <c r="L366" i="1"/>
  <c r="L367" i="1"/>
  <c r="L368" i="1"/>
  <c r="L369" i="1"/>
  <c r="L370" i="1"/>
  <c r="L362" i="1"/>
  <c r="K369" i="1"/>
  <c r="K370" i="1"/>
  <c r="K363" i="1"/>
  <c r="K364" i="1"/>
  <c r="K365" i="1"/>
  <c r="K366" i="1"/>
  <c r="K367" i="1"/>
  <c r="K368" i="1"/>
  <c r="K362" i="1"/>
  <c r="Q354" i="1"/>
  <c r="Q355" i="1"/>
  <c r="Q356" i="1"/>
  <c r="Q357" i="1"/>
  <c r="Q358" i="1"/>
  <c r="Q359" i="1"/>
  <c r="Q360" i="1"/>
  <c r="Q353" i="1"/>
  <c r="P353" i="1"/>
  <c r="P354" i="1"/>
  <c r="P355" i="1"/>
  <c r="P356" i="1"/>
  <c r="P357" i="1"/>
  <c r="P358" i="1"/>
  <c r="P359" i="1"/>
  <c r="P360" i="1"/>
  <c r="O354" i="1"/>
  <c r="O355" i="1"/>
  <c r="O356" i="1"/>
  <c r="O357" i="1"/>
  <c r="O358" i="1"/>
  <c r="O359" i="1"/>
  <c r="O360" i="1"/>
  <c r="O353" i="1"/>
  <c r="N354" i="1"/>
  <c r="N355" i="1"/>
  <c r="N356" i="1"/>
  <c r="N357" i="1"/>
  <c r="N358" i="1"/>
  <c r="N359" i="1"/>
  <c r="N360" i="1"/>
  <c r="N353" i="1"/>
  <c r="M354" i="1"/>
  <c r="M355" i="1"/>
  <c r="M356" i="1"/>
  <c r="M357" i="1"/>
  <c r="M358" i="1"/>
  <c r="M359" i="1"/>
  <c r="M360" i="1"/>
  <c r="M353" i="1"/>
  <c r="K353" i="1"/>
  <c r="K354" i="1"/>
  <c r="K355" i="1"/>
  <c r="K356" i="1"/>
  <c r="K357" i="1"/>
  <c r="K358" i="1"/>
  <c r="K359" i="1"/>
  <c r="K360" i="1"/>
  <c r="K352" i="1"/>
  <c r="H353" i="1"/>
  <c r="G354" i="1"/>
  <c r="G355" i="1"/>
  <c r="G356" i="1"/>
  <c r="G357" i="1"/>
  <c r="G358" i="1"/>
  <c r="G359" i="1"/>
  <c r="G360" i="1"/>
  <c r="G353" i="1"/>
  <c r="F354" i="1"/>
  <c r="F355" i="1"/>
  <c r="F356" i="1"/>
  <c r="F357" i="1"/>
  <c r="F358" i="1"/>
  <c r="F359" i="1"/>
  <c r="F360" i="1"/>
  <c r="F353" i="1"/>
  <c r="E354" i="1"/>
  <c r="E355" i="1"/>
  <c r="E356" i="1"/>
  <c r="E357" i="1"/>
  <c r="E358" i="1"/>
  <c r="E359" i="1"/>
  <c r="E360" i="1"/>
  <c r="E353" i="1"/>
  <c r="C356" i="1"/>
  <c r="C357" i="1" s="1"/>
  <c r="C358" i="1" s="1"/>
  <c r="C359" i="1" s="1"/>
  <c r="C360" i="1" s="1"/>
  <c r="C355" i="1"/>
  <c r="D353" i="1"/>
  <c r="D354" i="1"/>
  <c r="H354" i="1" s="1"/>
  <c r="C313" i="1"/>
  <c r="C295" i="1"/>
  <c r="C293" i="1"/>
  <c r="C292" i="1"/>
  <c r="G173" i="1" a="1"/>
  <c r="G173" i="1" s="1"/>
  <c r="I225" i="1"/>
  <c r="F205" i="1" a="1"/>
  <c r="F205" i="1" s="1"/>
  <c r="B206" i="1" a="1"/>
  <c r="B206" i="1" s="1"/>
  <c r="C176" i="1"/>
  <c r="C174" i="1" a="1"/>
  <c r="C174" i="1" s="1"/>
  <c r="C173" i="1" a="1"/>
  <c r="C173" i="1" s="1"/>
  <c r="E171" i="1"/>
  <c r="E170" i="1"/>
  <c r="C170" i="1" a="1"/>
  <c r="C170" i="1" s="1"/>
  <c r="C171" i="1" a="1"/>
  <c r="C171" i="1" s="1"/>
  <c r="B174" i="1"/>
  <c r="B173" i="1"/>
  <c r="C119" i="1"/>
  <c r="C120" i="1"/>
  <c r="C118" i="1"/>
  <c r="C108" i="1" a="1"/>
  <c r="C108" i="1" s="1"/>
  <c r="C111" i="1" s="1"/>
  <c r="K103" i="1"/>
  <c r="K104" i="1"/>
  <c r="K105" i="1"/>
  <c r="F76" i="1" a="1"/>
  <c r="F76" i="1" s="1"/>
  <c r="C40" i="1"/>
  <c r="C43" i="1" s="1"/>
  <c r="C16" i="1"/>
  <c r="C18" i="1" s="1"/>
  <c r="B16" i="1"/>
  <c r="C12" i="1"/>
  <c r="B12" i="1"/>
  <c r="F108" i="1" l="1"/>
  <c r="F109" i="1"/>
  <c r="F110" i="1"/>
  <c r="I109" i="1" a="1"/>
  <c r="I109" i="1" s="1"/>
  <c r="I110" i="1" s="1"/>
  <c r="I108" i="1" a="1"/>
  <c r="I108" i="1" s="1"/>
  <c r="C115" i="1" s="1"/>
  <c r="F111" i="1"/>
  <c r="F79" i="1"/>
  <c r="I76" i="1" s="1"/>
  <c r="D355" i="1" l="1"/>
  <c r="H355" i="1" s="1"/>
  <c r="I77" i="1"/>
  <c r="I78" i="1"/>
  <c r="D356" i="1" l="1"/>
  <c r="H356" i="1" s="1"/>
  <c r="C82" i="1" a="1"/>
  <c r="C82" i="1" s="1"/>
  <c r="C83" i="1" s="1"/>
  <c r="C81" i="1" a="1"/>
  <c r="C81" i="1" s="1"/>
  <c r="I79" i="1"/>
  <c r="D357" i="1" l="1"/>
  <c r="H357" i="1" s="1"/>
  <c r="D358" i="1" l="1"/>
  <c r="H358" i="1" s="1"/>
  <c r="D359" i="1" l="1"/>
  <c r="H359" i="1" s="1"/>
  <c r="D360" i="1" l="1"/>
  <c r="H36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<sst xmlns="http://schemas.openxmlformats.org/spreadsheetml/2006/main" count="128" uniqueCount="86">
  <si>
    <t>S</t>
  </si>
  <si>
    <t>I</t>
  </si>
  <si>
    <t>Difference</t>
  </si>
  <si>
    <t>R1</t>
  </si>
  <si>
    <t>R2</t>
  </si>
  <si>
    <t>ER</t>
  </si>
  <si>
    <t>x=</t>
  </si>
  <si>
    <t>(rp-r2)/(r1-r2)</t>
  </si>
  <si>
    <t xml:space="preserve">We can check this by plugging into the formula </t>
  </si>
  <si>
    <t>RP</t>
  </si>
  <si>
    <t>Svar</t>
  </si>
  <si>
    <t>A</t>
  </si>
  <si>
    <t>b</t>
  </si>
  <si>
    <t>Ones</t>
  </si>
  <si>
    <t>z</t>
  </si>
  <si>
    <t>Z</t>
  </si>
  <si>
    <t>x</t>
  </si>
  <si>
    <t>X</t>
  </si>
  <si>
    <t>Var</t>
  </si>
  <si>
    <t>Vol</t>
  </si>
  <si>
    <t>rf</t>
  </si>
  <si>
    <t>b-rf</t>
  </si>
  <si>
    <t>ER_p</t>
  </si>
  <si>
    <t>etp*x</t>
  </si>
  <si>
    <t xml:space="preserve">We can't say shit based on the Sharpe Ratio </t>
  </si>
  <si>
    <t>1. ESG fund maybe</t>
  </si>
  <si>
    <t>2. Dnno, depends on the market values we do not have</t>
  </si>
  <si>
    <t>3. Nah brother</t>
  </si>
  <si>
    <t xml:space="preserve">4. None of the above </t>
  </si>
  <si>
    <t xml:space="preserve">Slave method </t>
  </si>
  <si>
    <t>Risk-free</t>
  </si>
  <si>
    <t>State</t>
  </si>
  <si>
    <t xml:space="preserve">We can check </t>
  </si>
  <si>
    <t xml:space="preserve">This is true </t>
  </si>
  <si>
    <t xml:space="preserve">We replicate the weights </t>
  </si>
  <si>
    <t xml:space="preserve">Can we find the same price? </t>
  </si>
  <si>
    <t>Price</t>
  </si>
  <si>
    <t>Yes</t>
  </si>
  <si>
    <t xml:space="preserve">Perfect capital markets </t>
  </si>
  <si>
    <t>Firm issues debt of 330</t>
  </si>
  <si>
    <t>Firm pays out 330</t>
  </si>
  <si>
    <t xml:space="preserve">Market val of equity must fall by 330 then </t>
  </si>
  <si>
    <t>1. Holder</t>
  </si>
  <si>
    <t xml:space="preserve">2. ændrer man D/E ratio må der ske something </t>
  </si>
  <si>
    <t xml:space="preserve">3. Tax shield bliver større, hvorfor wacc må falde </t>
  </si>
  <si>
    <t>4. Dette holder. Mere debt må betyde større tax shield</t>
  </si>
  <si>
    <t>5. Assets are fixed brother</t>
  </si>
  <si>
    <t xml:space="preserve">The old creditors have no covenants </t>
  </si>
  <si>
    <t xml:space="preserve">Increasing debt </t>
  </si>
  <si>
    <t>t_g</t>
  </si>
  <si>
    <t>t_d</t>
  </si>
  <si>
    <t>Paid out</t>
  </si>
  <si>
    <t>Gains</t>
  </si>
  <si>
    <t>Dividend</t>
  </si>
  <si>
    <t xml:space="preserve">We can use the put-call-parity </t>
  </si>
  <si>
    <t>C</t>
  </si>
  <si>
    <t>C=</t>
  </si>
  <si>
    <t>P+S-dis(K)</t>
  </si>
  <si>
    <t>L in S</t>
  </si>
  <si>
    <t>S in C, K=10</t>
  </si>
  <si>
    <t>S in C, K=20</t>
  </si>
  <si>
    <t>L in P,K=30</t>
  </si>
  <si>
    <t>Profit</t>
  </si>
  <si>
    <t>Bonds</t>
  </si>
  <si>
    <t>S in P, K=20</t>
  </si>
  <si>
    <t>L in P, K=30</t>
  </si>
  <si>
    <t>L in C, K=30</t>
  </si>
  <si>
    <t>Rf</t>
  </si>
  <si>
    <t xml:space="preserve">Strike </t>
  </si>
  <si>
    <t>t_0</t>
  </si>
  <si>
    <t>t_1</t>
  </si>
  <si>
    <t>t_2</t>
  </si>
  <si>
    <t>c_0</t>
  </si>
  <si>
    <t>c_1</t>
  </si>
  <si>
    <t xml:space="preserve">The BSM inputs are </t>
  </si>
  <si>
    <t>Sigma</t>
  </si>
  <si>
    <t xml:space="preserve">Stock </t>
  </si>
  <si>
    <t>Time to expiry</t>
  </si>
  <si>
    <t>We have</t>
  </si>
  <si>
    <t xml:space="preserve">Cost </t>
  </si>
  <si>
    <t>t</t>
  </si>
  <si>
    <t>T</t>
  </si>
  <si>
    <t>Prob</t>
  </si>
  <si>
    <t>Val of option</t>
  </si>
  <si>
    <t xml:space="preserve">In MM, we just reshuffle the risk and return </t>
  </si>
  <si>
    <t xml:space="preserve">Svar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</si>
</sst>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"/>
  </numFmts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114300</xdr:colOff>
      <xdr:row>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F597AD-3B9D-1798-9E91-D23F2FFED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07300" cy="1562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101600</xdr:rowOff>
    </xdr:from>
    <xdr:to>
      <xdr:col>8</xdr:col>
      <xdr:colOff>127000</xdr:colOff>
      <xdr:row>32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57584A-029C-DB63-FFAB-8368F42D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59200"/>
          <a:ext cx="6794500" cy="292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76200</xdr:rowOff>
    </xdr:from>
    <xdr:to>
      <xdr:col>9</xdr:col>
      <xdr:colOff>190500</xdr:colOff>
      <xdr:row>69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E5656C-EFB7-D0DE-35BD-E0AF67B4B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17000"/>
          <a:ext cx="76835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50800</xdr:rowOff>
    </xdr:from>
    <xdr:to>
      <xdr:col>8</xdr:col>
      <xdr:colOff>63500</xdr:colOff>
      <xdr:row>100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7EA37-A95C-21DA-C274-4E6D45172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19600"/>
          <a:ext cx="6731000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25400</xdr:rowOff>
    </xdr:from>
    <xdr:to>
      <xdr:col>8</xdr:col>
      <xdr:colOff>50800</xdr:colOff>
      <xdr:row>135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8D6160-A2FB-37EC-5413-38E38A785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815800"/>
          <a:ext cx="6718300" cy="280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38100</xdr:rowOff>
    </xdr:from>
    <xdr:to>
      <xdr:col>8</xdr:col>
      <xdr:colOff>774700</xdr:colOff>
      <xdr:row>158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C91A7E-8028-0A56-A26F-66854FB9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095700"/>
          <a:ext cx="744220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165100</xdr:rowOff>
    </xdr:from>
    <xdr:to>
      <xdr:col>8</xdr:col>
      <xdr:colOff>38100</xdr:colOff>
      <xdr:row>194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AE8CB8-FE88-09A7-814F-7767FDD74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334700"/>
          <a:ext cx="670560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101600</xdr:rowOff>
    </xdr:from>
    <xdr:to>
      <xdr:col>7</xdr:col>
      <xdr:colOff>685800</xdr:colOff>
      <xdr:row>222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58A67-B2A6-B93E-6FBD-0A1D070CE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773600"/>
          <a:ext cx="6527800" cy="250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127000</xdr:rowOff>
    </xdr:from>
    <xdr:to>
      <xdr:col>9</xdr:col>
      <xdr:colOff>114300</xdr:colOff>
      <xdr:row>243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2AD39F-7BD3-0284-A646-AAA9BD1F5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066200"/>
          <a:ext cx="7607300" cy="245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177800</xdr:rowOff>
    </xdr:from>
    <xdr:to>
      <xdr:col>9</xdr:col>
      <xdr:colOff>38100</xdr:colOff>
      <xdr:row>266</xdr:row>
      <xdr:rowOff>25400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FDCF46-CA63-762E-F768-3088A550B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1587400"/>
          <a:ext cx="7531100" cy="248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12700</xdr:rowOff>
    </xdr:from>
    <xdr:to>
      <xdr:col>9</xdr:col>
      <xdr:colOff>228600</xdr:colOff>
      <xdr:row>284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B73166-E3F1-083E-B5A4-877CF19F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079900"/>
          <a:ext cx="7721600" cy="28067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296</xdr:row>
      <xdr:rowOff>101600</xdr:rowOff>
    </xdr:from>
    <xdr:to>
      <xdr:col>9</xdr:col>
      <xdr:colOff>203200</xdr:colOff>
      <xdr:row>308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CF19A4-9F4C-CA07-BCF3-7F7A7EAE4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" y="60248800"/>
          <a:ext cx="76200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114300</xdr:rowOff>
    </xdr:from>
    <xdr:to>
      <xdr:col>9</xdr:col>
      <xdr:colOff>38100</xdr:colOff>
      <xdr:row>349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817711-AC81-5833-0D49-3765AE564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122300"/>
          <a:ext cx="7531100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9</xdr:col>
      <xdr:colOff>114300</xdr:colOff>
      <xdr:row>378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CB3101-FE22-8AEB-6FC5-E3AE36E22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5793600"/>
          <a:ext cx="76073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139700</xdr:rowOff>
    </xdr:from>
    <xdr:to>
      <xdr:col>9</xdr:col>
      <xdr:colOff>50800</xdr:colOff>
      <xdr:row>417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CBD828E-C79F-2C89-DED9-B1717D82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1419700"/>
          <a:ext cx="7543800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9</xdr:col>
      <xdr:colOff>127000</xdr:colOff>
      <xdr:row>442</xdr:row>
      <xdr:rowOff>63500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73C43-112A-9824-753E-846023E9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6969600"/>
          <a:ext cx="7620000" cy="290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101600</xdr:rowOff>
    </xdr:from>
    <xdr:to>
      <xdr:col>8</xdr:col>
      <xdr:colOff>50800</xdr:colOff>
      <xdr:row>469</xdr:row>
      <xdr:rowOff>25400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1F0762-0A53-B338-B2E0-0B594883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1744800"/>
          <a:ext cx="6718300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165100</xdr:rowOff>
    </xdr:from>
    <xdr:to>
      <xdr:col>9</xdr:col>
      <xdr:colOff>127000</xdr:colOff>
      <xdr:row>487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B6B93B-5DAE-04BD-A4E3-80D5EE08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6481900"/>
          <a:ext cx="7620000" cy="259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BF302-3F87-4343-A8B1-4F6AD0EAC08D}">
  <dimension ref="B10:Q490"/>
  <sheetViews>
    <sheetView tabSelected="1" topLeftCell="A350" workbookViewId="0">
      <selection activeCell="B491" sqref="B491"/>
    </sheetView>
  </sheetViews>
  <sheetFormatPr baseColWidth="10" defaultRowHeight="16" x14ac:dyDescent="0.2"/>
  <cols>
    <col min="6" max="6" width="11.6640625" bestFit="1" customWidth="1"/>
  </cols>
  <sheetData>
    <row r="10" spans="2:6" x14ac:dyDescent="0.2">
      <c r="B10" t="s">
        <v>0</v>
      </c>
      <c r="C10" t="s">
        <v>1</v>
      </c>
      <c r="E10" t="s">
        <v>0</v>
      </c>
      <c r="F10" t="s">
        <v>1</v>
      </c>
    </row>
    <row r="11" spans="2:6" x14ac:dyDescent="0.2">
      <c r="B11">
        <v>0.75</v>
      </c>
      <c r="C11">
        <v>0.5</v>
      </c>
      <c r="E11">
        <v>0.2</v>
      </c>
      <c r="F11">
        <v>0.2</v>
      </c>
    </row>
    <row r="12" spans="2:6" x14ac:dyDescent="0.2">
      <c r="B12">
        <f>1-B11</f>
        <v>0.25</v>
      </c>
      <c r="C12">
        <f>1-C11</f>
        <v>0.5</v>
      </c>
      <c r="E12">
        <v>-0.2</v>
      </c>
      <c r="F12">
        <v>-0.1</v>
      </c>
    </row>
    <row r="15" spans="2:6" x14ac:dyDescent="0.2">
      <c r="B15" t="s">
        <v>0</v>
      </c>
      <c r="C15" t="s">
        <v>1</v>
      </c>
    </row>
    <row r="16" spans="2:6" x14ac:dyDescent="0.2">
      <c r="B16">
        <f>SUMPRODUCT(B11:B12,E11:E12)</f>
        <v>0.10000000000000002</v>
      </c>
      <c r="C16">
        <f>SUMPRODUCT(C11:C12,F11:F12)</f>
        <v>0.05</v>
      </c>
    </row>
    <row r="18" spans="2:3" x14ac:dyDescent="0.2">
      <c r="B18" t="s">
        <v>2</v>
      </c>
      <c r="C18">
        <f>B16-C16</f>
        <v>5.0000000000000017E-2</v>
      </c>
    </row>
    <row r="35" spans="2:3" x14ac:dyDescent="0.2">
      <c r="B35" t="s">
        <v>3</v>
      </c>
      <c r="C35">
        <v>0.06</v>
      </c>
    </row>
    <row r="36" spans="2:3" x14ac:dyDescent="0.2">
      <c r="B36" t="s">
        <v>4</v>
      </c>
      <c r="C36">
        <v>0.16</v>
      </c>
    </row>
    <row r="37" spans="2:3" x14ac:dyDescent="0.2">
      <c r="B37" t="s">
        <v>5</v>
      </c>
      <c r="C37">
        <v>0.11</v>
      </c>
    </row>
    <row r="39" spans="2:3" x14ac:dyDescent="0.2">
      <c r="B39" t="s">
        <v>6</v>
      </c>
      <c r="C39" t="s">
        <v>7</v>
      </c>
    </row>
    <row r="40" spans="2:3" x14ac:dyDescent="0.2">
      <c r="B40" t="s">
        <v>6</v>
      </c>
      <c r="C40">
        <f>(C37-C36)/(C35-C36)</f>
        <v>0.5</v>
      </c>
    </row>
    <row r="42" spans="2:3" x14ac:dyDescent="0.2">
      <c r="B42" t="s">
        <v>8</v>
      </c>
    </row>
    <row r="43" spans="2:3" x14ac:dyDescent="0.2">
      <c r="B43" t="s">
        <v>9</v>
      </c>
      <c r="C43">
        <f>C40*C35+(1-C40)*C36</f>
        <v>0.11</v>
      </c>
    </row>
    <row r="44" spans="2:3" x14ac:dyDescent="0.2">
      <c r="B44" s="1" t="s">
        <v>10</v>
      </c>
      <c r="C44" s="1">
        <v>2</v>
      </c>
    </row>
    <row r="72" spans="2:9" x14ac:dyDescent="0.2">
      <c r="C72">
        <v>0.38</v>
      </c>
      <c r="D72">
        <v>0.03</v>
      </c>
      <c r="E72">
        <v>-0.09</v>
      </c>
      <c r="H72">
        <v>0.12</v>
      </c>
    </row>
    <row r="73" spans="2:9" x14ac:dyDescent="0.2">
      <c r="B73" t="s">
        <v>11</v>
      </c>
      <c r="C73">
        <v>0.03</v>
      </c>
      <c r="D73">
        <v>0.15</v>
      </c>
      <c r="E73">
        <v>0.16</v>
      </c>
      <c r="G73" t="s">
        <v>12</v>
      </c>
      <c r="H73">
        <v>7.0000000000000007E-2</v>
      </c>
    </row>
    <row r="74" spans="2:9" x14ac:dyDescent="0.2">
      <c r="C74">
        <v>-0.09</v>
      </c>
      <c r="D74">
        <v>0.16</v>
      </c>
      <c r="E74">
        <v>0.66</v>
      </c>
      <c r="H74">
        <v>0.15</v>
      </c>
    </row>
    <row r="76" spans="2:9" x14ac:dyDescent="0.2">
      <c r="B76" t="s">
        <v>13</v>
      </c>
      <c r="C76">
        <v>1</v>
      </c>
      <c r="E76" t="s">
        <v>14</v>
      </c>
      <c r="F76" s="3" cm="1">
        <f t="array" ref="F76:F78">MMULT(MINVERSE(C72:E74),C76:C78)</f>
        <v>2.2800269637971371</v>
      </c>
      <c r="H76" t="s">
        <v>16</v>
      </c>
      <c r="I76" s="3">
        <f>F76/$F$79</f>
        <v>0.26944704779756318</v>
      </c>
    </row>
    <row r="77" spans="2:9" x14ac:dyDescent="0.2">
      <c r="C77">
        <v>1</v>
      </c>
      <c r="F77" s="3">
        <v>5.7496332130536505</v>
      </c>
      <c r="I77" s="3">
        <f t="shared" ref="I77:I78" si="0">F77/$F$79</f>
        <v>0.67947516401124641</v>
      </c>
    </row>
    <row r="78" spans="2:9" x14ac:dyDescent="0.2">
      <c r="C78">
        <v>1</v>
      </c>
      <c r="F78" s="3">
        <v>0.43221380705023993</v>
      </c>
      <c r="I78" s="3">
        <f t="shared" si="0"/>
        <v>5.1077788191190243E-2</v>
      </c>
    </row>
    <row r="79" spans="2:9" x14ac:dyDescent="0.2">
      <c r="E79" t="s">
        <v>15</v>
      </c>
      <c r="F79" s="3">
        <f>SUM(F76:F78)</f>
        <v>8.4618739839010289</v>
      </c>
      <c r="H79" t="s">
        <v>17</v>
      </c>
      <c r="I79">
        <f>SUM(I76:I78)</f>
        <v>0.99999999999999989</v>
      </c>
    </row>
    <row r="81" spans="2:3" x14ac:dyDescent="0.2">
      <c r="B81" t="s">
        <v>5</v>
      </c>
      <c r="C81" s="2" cm="1">
        <f t="array" ref="C81">MMULT(TRANSPOSE(I76:I78),H72:H74)</f>
        <v>8.755857544517337E-2</v>
      </c>
    </row>
    <row r="82" spans="2:3" x14ac:dyDescent="0.2">
      <c r="B82" t="s">
        <v>18</v>
      </c>
      <c r="C82" s="2" cm="1">
        <f t="array" ref="C82">MMULT(MMULT(TRANSPOSE(I76:I78),C72:E74),I76:I78)</f>
        <v>0.11817713214620426</v>
      </c>
    </row>
    <row r="83" spans="2:3" x14ac:dyDescent="0.2">
      <c r="B83" t="s">
        <v>19</v>
      </c>
      <c r="C83" s="2">
        <f>SQRT(C82)</f>
        <v>0.3437690098688424</v>
      </c>
    </row>
    <row r="84" spans="2:3" x14ac:dyDescent="0.2">
      <c r="B84" s="1" t="s">
        <v>10</v>
      </c>
      <c r="C84" s="1">
        <v>3</v>
      </c>
    </row>
    <row r="101" spans="2:11" x14ac:dyDescent="0.2">
      <c r="J101" t="s">
        <v>20</v>
      </c>
      <c r="K101">
        <v>0.03</v>
      </c>
    </row>
    <row r="103" spans="2:11" x14ac:dyDescent="0.2">
      <c r="C103">
        <v>0.38</v>
      </c>
      <c r="D103">
        <v>0.03</v>
      </c>
      <c r="E103">
        <v>-0.09</v>
      </c>
      <c r="H103">
        <v>0.12</v>
      </c>
      <c r="K103">
        <f>H103-$K$101</f>
        <v>0.09</v>
      </c>
    </row>
    <row r="104" spans="2:11" x14ac:dyDescent="0.2">
      <c r="B104" t="s">
        <v>11</v>
      </c>
      <c r="C104">
        <v>0.03</v>
      </c>
      <c r="D104">
        <v>0.15</v>
      </c>
      <c r="E104">
        <v>0.16</v>
      </c>
      <c r="G104" t="s">
        <v>12</v>
      </c>
      <c r="H104">
        <v>7.0000000000000007E-2</v>
      </c>
      <c r="J104" t="s">
        <v>21</v>
      </c>
      <c r="K104">
        <f t="shared" ref="K104:K105" si="1">H104-$K$101</f>
        <v>4.0000000000000008E-2</v>
      </c>
    </row>
    <row r="105" spans="2:11" x14ac:dyDescent="0.2">
      <c r="C105">
        <v>-0.09</v>
      </c>
      <c r="D105">
        <v>0.16</v>
      </c>
      <c r="E105">
        <v>0.66</v>
      </c>
      <c r="H105">
        <v>0.15</v>
      </c>
      <c r="K105">
        <f t="shared" si="1"/>
        <v>0.12</v>
      </c>
    </row>
    <row r="108" spans="2:11" x14ac:dyDescent="0.2">
      <c r="B108" t="s">
        <v>14</v>
      </c>
      <c r="C108" s="3" cm="1">
        <f t="array" ref="C108:C110">MMULT(MINVERSE(C103:E105),K103:K105)</f>
        <v>0.29477774693683328</v>
      </c>
      <c r="E108" t="s">
        <v>16</v>
      </c>
      <c r="F108" s="3">
        <f>C108/$C$111</f>
        <v>0.60522673613937938</v>
      </c>
      <c r="H108" t="s">
        <v>5</v>
      </c>
      <c r="I108" s="3" cm="1">
        <f t="array" ref="I108">MMULT(TRANSPOSE(F108:F110),H103:H105)</f>
        <v>0.13829113408776353</v>
      </c>
    </row>
    <row r="109" spans="2:11" x14ac:dyDescent="0.2">
      <c r="C109" s="3">
        <v>-3.9256116420159082E-2</v>
      </c>
      <c r="F109" s="3">
        <f t="shared" ref="F109:F110" si="2">C109/$C$111</f>
        <v>-8.0599202149311377E-2</v>
      </c>
      <c r="H109" t="s">
        <v>18</v>
      </c>
      <c r="I109" s="3" cm="1">
        <f t="array" ref="I109">MMULT(MMULT(TRANSPOSE(F108:F110),C103:E105),F108:F110)</f>
        <v>0.22233933978338419</v>
      </c>
    </row>
    <row r="110" spans="2:11" x14ac:dyDescent="0.2">
      <c r="C110" s="3">
        <v>0.23153178159324309</v>
      </c>
      <c r="F110" s="3">
        <f t="shared" si="2"/>
        <v>0.4753724660099321</v>
      </c>
      <c r="H110" t="s">
        <v>19</v>
      </c>
      <c r="I110" s="3">
        <f>SQRT(I109)</f>
        <v>0.47152872636074272</v>
      </c>
    </row>
    <row r="111" spans="2:11" x14ac:dyDescent="0.2">
      <c r="B111" t="s">
        <v>15</v>
      </c>
      <c r="C111" s="3">
        <f>SUM(C108:C110)</f>
        <v>0.48705341210991726</v>
      </c>
      <c r="E111" t="s">
        <v>17</v>
      </c>
      <c r="F111">
        <f>SUM(F108:F110)</f>
        <v>1</v>
      </c>
    </row>
    <row r="113" spans="2:3" x14ac:dyDescent="0.2">
      <c r="B113" t="s">
        <v>22</v>
      </c>
      <c r="C113">
        <v>0.06</v>
      </c>
    </row>
    <row r="114" spans="2:3" x14ac:dyDescent="0.2">
      <c r="B114" t="s">
        <v>6</v>
      </c>
      <c r="C114" t="s">
        <v>7</v>
      </c>
    </row>
    <row r="115" spans="2:3" x14ac:dyDescent="0.2">
      <c r="B115" t="s">
        <v>6</v>
      </c>
      <c r="C115">
        <f>(C113-K101)/(I108-K101)</f>
        <v>0.27703098921918007</v>
      </c>
    </row>
    <row r="118" spans="2:3" x14ac:dyDescent="0.2">
      <c r="B118" t="s">
        <v>23</v>
      </c>
      <c r="C118" s="3">
        <f>$C$115*F108</f>
        <v>0.16766656141458794</v>
      </c>
    </row>
    <row r="119" spans="2:3" x14ac:dyDescent="0.2">
      <c r="C119" s="3">
        <f t="shared" ref="C119:C120" si="3">$C$115*F109</f>
        <v>-2.2328476701700396E-2</v>
      </c>
    </row>
    <row r="120" spans="2:3" x14ac:dyDescent="0.2">
      <c r="C120" s="3">
        <f t="shared" si="3"/>
        <v>0.13169290450629254</v>
      </c>
    </row>
    <row r="122" spans="2:3" x14ac:dyDescent="0.2">
      <c r="B122" s="1" t="s">
        <v>10</v>
      </c>
      <c r="C122" s="1">
        <v>3</v>
      </c>
    </row>
    <row r="138" spans="2:3" x14ac:dyDescent="0.2">
      <c r="B138" t="s">
        <v>24</v>
      </c>
    </row>
    <row r="139" spans="2:3" x14ac:dyDescent="0.2">
      <c r="B139" t="s">
        <v>25</v>
      </c>
    </row>
    <row r="140" spans="2:3" x14ac:dyDescent="0.2">
      <c r="B140" t="s">
        <v>26</v>
      </c>
    </row>
    <row r="141" spans="2:3" x14ac:dyDescent="0.2">
      <c r="B141" t="s">
        <v>27</v>
      </c>
    </row>
    <row r="142" spans="2:3" x14ac:dyDescent="0.2">
      <c r="B142" t="s">
        <v>28</v>
      </c>
    </row>
    <row r="143" spans="2:3" x14ac:dyDescent="0.2">
      <c r="B143" s="1" t="s">
        <v>10</v>
      </c>
      <c r="C143" s="1">
        <v>5</v>
      </c>
    </row>
    <row r="161" spans="2:7" x14ac:dyDescent="0.2">
      <c r="B161">
        <v>0.09</v>
      </c>
      <c r="D161">
        <v>0.28999999999999998</v>
      </c>
      <c r="E161">
        <v>1</v>
      </c>
    </row>
    <row r="162" spans="2:7" x14ac:dyDescent="0.2">
      <c r="B162">
        <v>0.13</v>
      </c>
      <c r="D162">
        <v>0.55000000000000004</v>
      </c>
      <c r="E162">
        <v>1</v>
      </c>
    </row>
    <row r="164" spans="2:7" x14ac:dyDescent="0.2">
      <c r="B164" t="s">
        <v>29</v>
      </c>
    </row>
    <row r="167" spans="2:7" x14ac:dyDescent="0.2">
      <c r="B167">
        <v>0</v>
      </c>
      <c r="C167">
        <v>1</v>
      </c>
    </row>
    <row r="168" spans="2:7" x14ac:dyDescent="0.2">
      <c r="B168">
        <v>1</v>
      </c>
      <c r="C168">
        <v>1</v>
      </c>
    </row>
    <row r="170" spans="2:7" x14ac:dyDescent="0.2">
      <c r="B170" t="s">
        <v>30</v>
      </c>
      <c r="C170" s="3" cm="1">
        <f t="array" ref="C170:D170">MMULT(B167:C167,MINVERSE(D161:E162))</f>
        <v>2.115384615384615</v>
      </c>
      <c r="D170" s="3">
        <v>-1.1153846153846152</v>
      </c>
      <c r="E170">
        <f>SUM(_xlfn.ANCHORARRAY(C170))</f>
        <v>0.99999999999999978</v>
      </c>
    </row>
    <row r="171" spans="2:7" x14ac:dyDescent="0.2">
      <c r="B171" t="s">
        <v>31</v>
      </c>
      <c r="C171" s="3" cm="1">
        <f t="array" ref="C171:D171">MMULT(B168:C168,MINVERSE(D161:E162))</f>
        <v>-1.7307692307692299</v>
      </c>
      <c r="D171" s="3">
        <v>2.7307692307692299</v>
      </c>
      <c r="E171">
        <f>SUM(_xlfn.ANCHORARRAY(C171))</f>
        <v>1</v>
      </c>
    </row>
    <row r="172" spans="2:7" x14ac:dyDescent="0.2">
      <c r="C172" s="3"/>
      <c r="D172" s="3"/>
    </row>
    <row r="173" spans="2:7" x14ac:dyDescent="0.2">
      <c r="B173" t="str">
        <f>B170</f>
        <v>Risk-free</v>
      </c>
      <c r="C173" s="3" cm="1">
        <f t="array" ref="C173">MMULT(_xlfn.ANCHORARRAY(C170),$B$161:$B$162)</f>
        <v>4.5384615384615357E-2</v>
      </c>
      <c r="D173" s="3"/>
      <c r="E173" t="s">
        <v>32</v>
      </c>
      <c r="G173" cm="1">
        <f t="array" ref="G173:G174">MMULT(MINVERSE(D161:E162),B161:B162)</f>
        <v>0.1538461538461538</v>
      </c>
    </row>
    <row r="174" spans="2:7" x14ac:dyDescent="0.2">
      <c r="B174" t="str">
        <f>B171</f>
        <v>State</v>
      </c>
      <c r="C174" s="3" cm="1">
        <f t="array" ref="C174">MMULT(_xlfn.ANCHORARRAY(C171),$B$161:$B$162)</f>
        <v>0.19923076923076924</v>
      </c>
      <c r="D174" s="3"/>
      <c r="G174">
        <v>4.5384615384615357E-2</v>
      </c>
    </row>
    <row r="175" spans="2:7" x14ac:dyDescent="0.2">
      <c r="E175" t="s">
        <v>33</v>
      </c>
    </row>
    <row r="176" spans="2:7" x14ac:dyDescent="0.2">
      <c r="B176" t="s">
        <v>2</v>
      </c>
      <c r="C176" s="3">
        <f>C174-C173</f>
        <v>0.15384615384615388</v>
      </c>
    </row>
    <row r="178" spans="2:3" x14ac:dyDescent="0.2">
      <c r="B178" s="1" t="s">
        <v>10</v>
      </c>
      <c r="C178" s="1">
        <v>2</v>
      </c>
    </row>
    <row r="198" spans="2:7" x14ac:dyDescent="0.2">
      <c r="B198">
        <v>55</v>
      </c>
      <c r="C198">
        <v>20</v>
      </c>
      <c r="D198">
        <v>20</v>
      </c>
      <c r="G198">
        <v>29</v>
      </c>
    </row>
    <row r="199" spans="2:7" x14ac:dyDescent="0.2">
      <c r="B199">
        <v>7</v>
      </c>
      <c r="C199">
        <v>17</v>
      </c>
      <c r="D199">
        <v>27</v>
      </c>
      <c r="G199">
        <v>17</v>
      </c>
    </row>
    <row r="200" spans="2:7" x14ac:dyDescent="0.2">
      <c r="B200">
        <v>34</v>
      </c>
      <c r="C200">
        <v>58</v>
      </c>
      <c r="D200">
        <v>38</v>
      </c>
      <c r="G200">
        <v>43</v>
      </c>
    </row>
    <row r="201" spans="2:7" x14ac:dyDescent="0.2">
      <c r="B201">
        <v>65</v>
      </c>
      <c r="C201">
        <v>24</v>
      </c>
      <c r="D201">
        <v>55</v>
      </c>
      <c r="G201">
        <v>45</v>
      </c>
    </row>
    <row r="204" spans="2:7" x14ac:dyDescent="0.2">
      <c r="B204" t="s">
        <v>34</v>
      </c>
      <c r="E204" t="s">
        <v>35</v>
      </c>
    </row>
    <row r="205" spans="2:7" x14ac:dyDescent="0.2">
      <c r="E205" t="s">
        <v>36</v>
      </c>
      <c r="F205" s="3" cm="1">
        <f t="array" ref="F205">MMULT(_xlfn.ANCHORARRAY(B206),G198:G200)</f>
        <v>44.71178048780488</v>
      </c>
    </row>
    <row r="206" spans="2:7" x14ac:dyDescent="0.2">
      <c r="B206" s="3" cm="1">
        <f t="array" ref="B206:D206">MMULT(B201:D201,MINVERSE(B198:D200))</f>
        <v>1.3076097560975612</v>
      </c>
      <c r="C206" s="3">
        <v>1.9075609756097562</v>
      </c>
      <c r="D206" s="3">
        <v>-0.59621951219512215</v>
      </c>
      <c r="F206" s="1" t="s">
        <v>37</v>
      </c>
    </row>
    <row r="208" spans="2:7" x14ac:dyDescent="0.2">
      <c r="B208" s="1" t="s">
        <v>10</v>
      </c>
      <c r="C208" s="1">
        <v>4</v>
      </c>
    </row>
    <row r="225" spans="2:9" x14ac:dyDescent="0.2">
      <c r="B225" t="s">
        <v>38</v>
      </c>
      <c r="I225">
        <f>8*3</f>
        <v>24</v>
      </c>
    </row>
    <row r="226" spans="2:9" x14ac:dyDescent="0.2">
      <c r="B226" t="s">
        <v>39</v>
      </c>
    </row>
    <row r="227" spans="2:9" x14ac:dyDescent="0.2">
      <c r="B227" t="s">
        <v>40</v>
      </c>
    </row>
    <row r="229" spans="2:9" x14ac:dyDescent="0.2">
      <c r="B229" t="s">
        <v>41</v>
      </c>
    </row>
    <row r="231" spans="2:9" x14ac:dyDescent="0.2">
      <c r="B231" s="1" t="s">
        <v>10</v>
      </c>
      <c r="C231" s="1">
        <v>3</v>
      </c>
    </row>
    <row r="247" spans="2:3" x14ac:dyDescent="0.2">
      <c r="B247" t="s">
        <v>42</v>
      </c>
    </row>
    <row r="248" spans="2:3" x14ac:dyDescent="0.2">
      <c r="B248" t="s">
        <v>43</v>
      </c>
    </row>
    <row r="249" spans="2:3" x14ac:dyDescent="0.2">
      <c r="B249" t="s">
        <v>44</v>
      </c>
    </row>
    <row r="250" spans="2:3" x14ac:dyDescent="0.2">
      <c r="B250" t="s">
        <v>45</v>
      </c>
    </row>
    <row r="251" spans="2:3" x14ac:dyDescent="0.2">
      <c r="B251" t="s">
        <v>46</v>
      </c>
    </row>
    <row r="253" spans="2:3" x14ac:dyDescent="0.2">
      <c r="B253" s="1" t="s">
        <v>10</v>
      </c>
      <c r="C253" s="1">
        <v>3</v>
      </c>
    </row>
    <row r="268" spans="2:3" x14ac:dyDescent="0.2">
      <c r="B268" t="s">
        <v>47</v>
      </c>
    </row>
    <row r="269" spans="2:3" x14ac:dyDescent="0.2">
      <c r="B269" t="s">
        <v>48</v>
      </c>
    </row>
    <row r="270" spans="2:3" x14ac:dyDescent="0.2">
      <c r="B270" s="1" t="s">
        <v>10</v>
      </c>
      <c r="C270" s="1">
        <v>2</v>
      </c>
    </row>
    <row r="287" spans="2:3" x14ac:dyDescent="0.2">
      <c r="B287" t="s">
        <v>50</v>
      </c>
      <c r="C287">
        <v>0.4</v>
      </c>
    </row>
    <row r="288" spans="2:3" x14ac:dyDescent="0.2">
      <c r="B288" t="s">
        <v>49</v>
      </c>
      <c r="C288">
        <v>0.3</v>
      </c>
    </row>
    <row r="290" spans="2:3" x14ac:dyDescent="0.2">
      <c r="B290" t="s">
        <v>51</v>
      </c>
      <c r="C290">
        <v>1000</v>
      </c>
    </row>
    <row r="292" spans="2:3" x14ac:dyDescent="0.2">
      <c r="B292" t="s">
        <v>53</v>
      </c>
      <c r="C292">
        <f>$C$290*(1-C287)</f>
        <v>600</v>
      </c>
    </row>
    <row r="293" spans="2:3" x14ac:dyDescent="0.2">
      <c r="B293" t="s">
        <v>52</v>
      </c>
      <c r="C293">
        <f>$C$290*(1-C288)</f>
        <v>700</v>
      </c>
    </row>
    <row r="295" spans="2:3" x14ac:dyDescent="0.2">
      <c r="B295" t="s">
        <v>2</v>
      </c>
      <c r="C295">
        <f>C293-C292</f>
        <v>100</v>
      </c>
    </row>
    <row r="296" spans="2:3" x14ac:dyDescent="0.2">
      <c r="B296" s="1" t="s">
        <v>10</v>
      </c>
      <c r="C296" s="1">
        <v>4</v>
      </c>
    </row>
    <row r="311" spans="2:3" x14ac:dyDescent="0.2">
      <c r="B311" t="s">
        <v>54</v>
      </c>
    </row>
    <row r="312" spans="2:3" x14ac:dyDescent="0.2">
      <c r="B312" t="s">
        <v>56</v>
      </c>
      <c r="C312" t="s">
        <v>57</v>
      </c>
    </row>
    <row r="313" spans="2:3" x14ac:dyDescent="0.2">
      <c r="B313" t="s">
        <v>55</v>
      </c>
      <c r="C313" s="3">
        <f>22+100-105/(1+0.03)</f>
        <v>20.05825242718447</v>
      </c>
    </row>
    <row r="315" spans="2:3" x14ac:dyDescent="0.2">
      <c r="B315" s="1" t="s">
        <v>10</v>
      </c>
      <c r="C315" s="1">
        <v>2</v>
      </c>
    </row>
    <row r="352" spans="2:17" x14ac:dyDescent="0.2">
      <c r="B352">
        <v>1</v>
      </c>
      <c r="C352" t="s">
        <v>0</v>
      </c>
      <c r="D352" t="s">
        <v>58</v>
      </c>
      <c r="E352" t="s">
        <v>59</v>
      </c>
      <c r="F352" t="s">
        <v>60</v>
      </c>
      <c r="G352" t="s">
        <v>61</v>
      </c>
      <c r="H352" t="s">
        <v>62</v>
      </c>
      <c r="J352">
        <v>2</v>
      </c>
      <c r="K352" t="str">
        <f>C352</f>
        <v>S</v>
      </c>
      <c r="L352" t="s">
        <v>63</v>
      </c>
      <c r="M352" t="s">
        <v>58</v>
      </c>
      <c r="N352" t="s">
        <v>59</v>
      </c>
      <c r="O352" t="s">
        <v>64</v>
      </c>
      <c r="P352" t="s">
        <v>65</v>
      </c>
      <c r="Q352" t="s">
        <v>62</v>
      </c>
    </row>
    <row r="353" spans="3:17" x14ac:dyDescent="0.2">
      <c r="C353">
        <v>0</v>
      </c>
      <c r="D353">
        <f>C353</f>
        <v>0</v>
      </c>
      <c r="E353">
        <f>-MAX(C353-10,0)</f>
        <v>0</v>
      </c>
      <c r="F353">
        <f>-MAX(C353-20,0)</f>
        <v>0</v>
      </c>
      <c r="G353">
        <f>MAX(30-C353,0)</f>
        <v>30</v>
      </c>
      <c r="H353">
        <f>SUM(D353:G353)</f>
        <v>30</v>
      </c>
      <c r="K353">
        <f t="shared" ref="K353:K360" si="4">C353</f>
        <v>0</v>
      </c>
      <c r="L353">
        <v>10</v>
      </c>
      <c r="M353">
        <f>K353</f>
        <v>0</v>
      </c>
      <c r="N353">
        <f>-MAX(K353-10,0)</f>
        <v>0</v>
      </c>
      <c r="O353">
        <f>-MAX(20-K353,0)</f>
        <v>-20</v>
      </c>
      <c r="P353">
        <f>MAX(K353-30,0)</f>
        <v>0</v>
      </c>
      <c r="Q353">
        <f>SUM(L353:P353)</f>
        <v>-10</v>
      </c>
    </row>
    <row r="354" spans="3:17" x14ac:dyDescent="0.2">
      <c r="C354">
        <v>5</v>
      </c>
      <c r="D354">
        <f t="shared" ref="D354:D387" si="5">C354</f>
        <v>5</v>
      </c>
      <c r="E354">
        <f t="shared" ref="E354:E360" si="6">-MAX(C354-10,0)</f>
        <v>0</v>
      </c>
      <c r="F354">
        <f t="shared" ref="F354:F360" si="7">-MAX(C354-20,0)</f>
        <v>0</v>
      </c>
      <c r="G354">
        <f t="shared" ref="G354:G360" si="8">MAX(30-C354,0)</f>
        <v>25</v>
      </c>
      <c r="H354">
        <f t="shared" ref="H354:H360" si="9">SUM(D354:G354)</f>
        <v>30</v>
      </c>
      <c r="K354">
        <f t="shared" si="4"/>
        <v>5</v>
      </c>
      <c r="L354">
        <v>10</v>
      </c>
      <c r="M354">
        <f t="shared" ref="M354:M360" si="10">K354</f>
        <v>5</v>
      </c>
      <c r="N354">
        <f t="shared" ref="N354:N360" si="11">-MAX(K354-10,0)</f>
        <v>0</v>
      </c>
      <c r="O354">
        <f t="shared" ref="O354:O360" si="12">-MAX(20-K354,0)</f>
        <v>-15</v>
      </c>
      <c r="P354">
        <f t="shared" ref="P354:P360" si="13">MAX(K354-30,0)</f>
        <v>0</v>
      </c>
      <c r="Q354">
        <f t="shared" ref="Q354:Q360" si="14">SUM(L354:P354)</f>
        <v>0</v>
      </c>
    </row>
    <row r="355" spans="3:17" x14ac:dyDescent="0.2">
      <c r="C355">
        <f>C354+5</f>
        <v>10</v>
      </c>
      <c r="D355">
        <f t="shared" si="5"/>
        <v>10</v>
      </c>
      <c r="E355">
        <f t="shared" si="6"/>
        <v>0</v>
      </c>
      <c r="F355">
        <f t="shared" si="7"/>
        <v>0</v>
      </c>
      <c r="G355">
        <f t="shared" si="8"/>
        <v>20</v>
      </c>
      <c r="H355">
        <f t="shared" si="9"/>
        <v>30</v>
      </c>
      <c r="K355">
        <f t="shared" si="4"/>
        <v>10</v>
      </c>
      <c r="L355">
        <v>10</v>
      </c>
      <c r="M355">
        <f t="shared" si="10"/>
        <v>10</v>
      </c>
      <c r="N355">
        <f t="shared" si="11"/>
        <v>0</v>
      </c>
      <c r="O355">
        <f t="shared" si="12"/>
        <v>-10</v>
      </c>
      <c r="P355">
        <f t="shared" si="13"/>
        <v>0</v>
      </c>
      <c r="Q355">
        <f t="shared" si="14"/>
        <v>10</v>
      </c>
    </row>
    <row r="356" spans="3:17" x14ac:dyDescent="0.2">
      <c r="C356">
        <f t="shared" ref="C356:C360" si="15">C355+5</f>
        <v>15</v>
      </c>
      <c r="D356">
        <f t="shared" si="5"/>
        <v>15</v>
      </c>
      <c r="E356">
        <f t="shared" si="6"/>
        <v>-5</v>
      </c>
      <c r="F356">
        <f t="shared" si="7"/>
        <v>0</v>
      </c>
      <c r="G356">
        <f t="shared" si="8"/>
        <v>15</v>
      </c>
      <c r="H356">
        <f t="shared" si="9"/>
        <v>25</v>
      </c>
      <c r="K356">
        <f t="shared" si="4"/>
        <v>15</v>
      </c>
      <c r="L356">
        <v>10</v>
      </c>
      <c r="M356">
        <f t="shared" si="10"/>
        <v>15</v>
      </c>
      <c r="N356">
        <f t="shared" si="11"/>
        <v>-5</v>
      </c>
      <c r="O356">
        <f t="shared" si="12"/>
        <v>-5</v>
      </c>
      <c r="P356">
        <f t="shared" si="13"/>
        <v>0</v>
      </c>
      <c r="Q356">
        <f t="shared" si="14"/>
        <v>15</v>
      </c>
    </row>
    <row r="357" spans="3:17" x14ac:dyDescent="0.2">
      <c r="C357">
        <f t="shared" si="15"/>
        <v>20</v>
      </c>
      <c r="D357">
        <f t="shared" si="5"/>
        <v>20</v>
      </c>
      <c r="E357">
        <f t="shared" si="6"/>
        <v>-10</v>
      </c>
      <c r="F357">
        <f t="shared" si="7"/>
        <v>0</v>
      </c>
      <c r="G357">
        <f t="shared" si="8"/>
        <v>10</v>
      </c>
      <c r="H357">
        <f t="shared" si="9"/>
        <v>20</v>
      </c>
      <c r="K357">
        <f t="shared" si="4"/>
        <v>20</v>
      </c>
      <c r="L357">
        <v>10</v>
      </c>
      <c r="M357">
        <f t="shared" si="10"/>
        <v>20</v>
      </c>
      <c r="N357">
        <f t="shared" si="11"/>
        <v>-10</v>
      </c>
      <c r="O357">
        <f t="shared" si="12"/>
        <v>0</v>
      </c>
      <c r="P357">
        <f t="shared" si="13"/>
        <v>0</v>
      </c>
      <c r="Q357">
        <f t="shared" si="14"/>
        <v>20</v>
      </c>
    </row>
    <row r="358" spans="3:17" x14ac:dyDescent="0.2">
      <c r="C358">
        <f t="shared" si="15"/>
        <v>25</v>
      </c>
      <c r="D358">
        <f t="shared" si="5"/>
        <v>25</v>
      </c>
      <c r="E358">
        <f t="shared" si="6"/>
        <v>-15</v>
      </c>
      <c r="F358">
        <f t="shared" si="7"/>
        <v>-5</v>
      </c>
      <c r="G358">
        <f t="shared" si="8"/>
        <v>5</v>
      </c>
      <c r="H358">
        <f t="shared" si="9"/>
        <v>10</v>
      </c>
      <c r="K358">
        <f t="shared" si="4"/>
        <v>25</v>
      </c>
      <c r="L358">
        <v>10</v>
      </c>
      <c r="M358">
        <f t="shared" si="10"/>
        <v>25</v>
      </c>
      <c r="N358">
        <f t="shared" si="11"/>
        <v>-15</v>
      </c>
      <c r="O358">
        <f t="shared" si="12"/>
        <v>0</v>
      </c>
      <c r="P358">
        <f t="shared" si="13"/>
        <v>0</v>
      </c>
      <c r="Q358">
        <f t="shared" si="14"/>
        <v>20</v>
      </c>
    </row>
    <row r="359" spans="3:17" x14ac:dyDescent="0.2">
      <c r="C359">
        <f t="shared" si="15"/>
        <v>30</v>
      </c>
      <c r="D359">
        <f t="shared" si="5"/>
        <v>30</v>
      </c>
      <c r="E359">
        <f t="shared" si="6"/>
        <v>-20</v>
      </c>
      <c r="F359">
        <f t="shared" si="7"/>
        <v>-10</v>
      </c>
      <c r="G359">
        <f t="shared" si="8"/>
        <v>0</v>
      </c>
      <c r="H359">
        <f t="shared" si="9"/>
        <v>0</v>
      </c>
      <c r="K359">
        <f t="shared" si="4"/>
        <v>30</v>
      </c>
      <c r="L359">
        <v>10</v>
      </c>
      <c r="M359">
        <f t="shared" si="10"/>
        <v>30</v>
      </c>
      <c r="N359">
        <f t="shared" si="11"/>
        <v>-20</v>
      </c>
      <c r="O359">
        <f t="shared" si="12"/>
        <v>0</v>
      </c>
      <c r="P359">
        <f t="shared" si="13"/>
        <v>0</v>
      </c>
      <c r="Q359">
        <f t="shared" si="14"/>
        <v>20</v>
      </c>
    </row>
    <row r="360" spans="3:17" x14ac:dyDescent="0.2">
      <c r="C360">
        <f t="shared" si="15"/>
        <v>35</v>
      </c>
      <c r="D360">
        <f t="shared" si="5"/>
        <v>35</v>
      </c>
      <c r="E360">
        <f t="shared" si="6"/>
        <v>-25</v>
      </c>
      <c r="F360">
        <f t="shared" si="7"/>
        <v>-15</v>
      </c>
      <c r="G360">
        <f t="shared" si="8"/>
        <v>0</v>
      </c>
      <c r="H360">
        <f t="shared" si="9"/>
        <v>-5</v>
      </c>
      <c r="K360">
        <f t="shared" si="4"/>
        <v>35</v>
      </c>
      <c r="L360">
        <v>10</v>
      </c>
      <c r="M360">
        <f t="shared" si="10"/>
        <v>35</v>
      </c>
      <c r="N360">
        <f t="shared" si="11"/>
        <v>-25</v>
      </c>
      <c r="O360">
        <f t="shared" si="12"/>
        <v>0</v>
      </c>
      <c r="P360">
        <f t="shared" si="13"/>
        <v>5</v>
      </c>
      <c r="Q360">
        <f t="shared" si="14"/>
        <v>25</v>
      </c>
    </row>
    <row r="362" spans="3:17" x14ac:dyDescent="0.2">
      <c r="J362">
        <v>4</v>
      </c>
      <c r="K362" t="str">
        <f>K352</f>
        <v>S</v>
      </c>
      <c r="L362" t="str">
        <f>L352</f>
        <v>Bonds</v>
      </c>
      <c r="M362" t="str">
        <f>M352</f>
        <v>L in S</v>
      </c>
      <c r="N362" t="s">
        <v>59</v>
      </c>
      <c r="O362" t="s">
        <v>60</v>
      </c>
      <c r="P362" t="s">
        <v>66</v>
      </c>
      <c r="Q362" t="s">
        <v>62</v>
      </c>
    </row>
    <row r="363" spans="3:17" x14ac:dyDescent="0.2">
      <c r="K363">
        <f t="shared" ref="K363:M370" si="16">K353</f>
        <v>0</v>
      </c>
      <c r="L363">
        <f t="shared" si="16"/>
        <v>10</v>
      </c>
      <c r="M363">
        <f t="shared" si="16"/>
        <v>0</v>
      </c>
      <c r="N363">
        <f>-MAX(K363-10,0)</f>
        <v>0</v>
      </c>
      <c r="O363">
        <f>-MAX(K363-20,0)</f>
        <v>0</v>
      </c>
      <c r="P363">
        <f>MAX(K363-30,0)</f>
        <v>0</v>
      </c>
      <c r="Q363">
        <f>SUM(L363:P363)</f>
        <v>10</v>
      </c>
    </row>
    <row r="364" spans="3:17" x14ac:dyDescent="0.2">
      <c r="K364">
        <f t="shared" si="16"/>
        <v>5</v>
      </c>
      <c r="L364">
        <f t="shared" si="16"/>
        <v>10</v>
      </c>
      <c r="M364">
        <f t="shared" si="16"/>
        <v>5</v>
      </c>
      <c r="N364">
        <f t="shared" ref="N364:N370" si="17">-MAX(K364-10,0)</f>
        <v>0</v>
      </c>
      <c r="O364">
        <f t="shared" ref="O364:O370" si="18">-MAX(K364-20,0)</f>
        <v>0</v>
      </c>
      <c r="P364">
        <f t="shared" ref="P364:P370" si="19">MAX(K364-30,0)</f>
        <v>0</v>
      </c>
      <c r="Q364">
        <f t="shared" ref="Q364:Q370" si="20">SUM(L364:P364)</f>
        <v>15</v>
      </c>
    </row>
    <row r="365" spans="3:17" x14ac:dyDescent="0.2">
      <c r="K365">
        <f t="shared" si="16"/>
        <v>10</v>
      </c>
      <c r="L365">
        <f t="shared" si="16"/>
        <v>10</v>
      </c>
      <c r="M365">
        <f t="shared" si="16"/>
        <v>10</v>
      </c>
      <c r="N365">
        <f t="shared" si="17"/>
        <v>0</v>
      </c>
      <c r="O365">
        <f t="shared" si="18"/>
        <v>0</v>
      </c>
      <c r="P365">
        <f t="shared" si="19"/>
        <v>0</v>
      </c>
      <c r="Q365">
        <f t="shared" si="20"/>
        <v>20</v>
      </c>
    </row>
    <row r="366" spans="3:17" x14ac:dyDescent="0.2">
      <c r="K366">
        <f t="shared" si="16"/>
        <v>15</v>
      </c>
      <c r="L366">
        <f t="shared" si="16"/>
        <v>10</v>
      </c>
      <c r="M366">
        <f t="shared" si="16"/>
        <v>15</v>
      </c>
      <c r="N366">
        <f t="shared" si="17"/>
        <v>-5</v>
      </c>
      <c r="O366">
        <f t="shared" si="18"/>
        <v>0</v>
      </c>
      <c r="P366">
        <f t="shared" si="19"/>
        <v>0</v>
      </c>
      <c r="Q366">
        <f t="shared" si="20"/>
        <v>20</v>
      </c>
    </row>
    <row r="367" spans="3:17" x14ac:dyDescent="0.2">
      <c r="K367">
        <f t="shared" si="16"/>
        <v>20</v>
      </c>
      <c r="L367">
        <f t="shared" si="16"/>
        <v>10</v>
      </c>
      <c r="M367">
        <f t="shared" si="16"/>
        <v>20</v>
      </c>
      <c r="N367">
        <f t="shared" si="17"/>
        <v>-10</v>
      </c>
      <c r="O367">
        <f t="shared" si="18"/>
        <v>0</v>
      </c>
      <c r="P367">
        <f t="shared" si="19"/>
        <v>0</v>
      </c>
      <c r="Q367">
        <f t="shared" si="20"/>
        <v>20</v>
      </c>
    </row>
    <row r="368" spans="3:17" x14ac:dyDescent="0.2">
      <c r="K368">
        <f t="shared" si="16"/>
        <v>25</v>
      </c>
      <c r="L368">
        <f t="shared" si="16"/>
        <v>10</v>
      </c>
      <c r="M368">
        <f t="shared" si="16"/>
        <v>25</v>
      </c>
      <c r="N368">
        <f t="shared" si="17"/>
        <v>-15</v>
      </c>
      <c r="O368">
        <f t="shared" si="18"/>
        <v>-5</v>
      </c>
      <c r="P368">
        <f t="shared" si="19"/>
        <v>0</v>
      </c>
      <c r="Q368">
        <f t="shared" si="20"/>
        <v>15</v>
      </c>
    </row>
    <row r="369" spans="2:17" x14ac:dyDescent="0.2">
      <c r="K369">
        <f t="shared" si="16"/>
        <v>30</v>
      </c>
      <c r="L369">
        <f t="shared" si="16"/>
        <v>10</v>
      </c>
      <c r="M369">
        <f t="shared" si="16"/>
        <v>30</v>
      </c>
      <c r="N369">
        <f t="shared" si="17"/>
        <v>-20</v>
      </c>
      <c r="O369">
        <f t="shared" si="18"/>
        <v>-10</v>
      </c>
      <c r="P369">
        <f t="shared" si="19"/>
        <v>0</v>
      </c>
      <c r="Q369">
        <f t="shared" si="20"/>
        <v>10</v>
      </c>
    </row>
    <row r="370" spans="2:17" x14ac:dyDescent="0.2">
      <c r="K370">
        <f t="shared" si="16"/>
        <v>35</v>
      </c>
      <c r="L370">
        <f t="shared" si="16"/>
        <v>10</v>
      </c>
      <c r="M370">
        <f t="shared" si="16"/>
        <v>35</v>
      </c>
      <c r="N370">
        <f t="shared" si="17"/>
        <v>-25</v>
      </c>
      <c r="O370">
        <f t="shared" si="18"/>
        <v>-15</v>
      </c>
      <c r="P370">
        <f t="shared" si="19"/>
        <v>5</v>
      </c>
      <c r="Q370">
        <f t="shared" si="20"/>
        <v>10</v>
      </c>
    </row>
    <row r="372" spans="2:17" x14ac:dyDescent="0.2">
      <c r="B372" s="1" t="s">
        <v>10</v>
      </c>
      <c r="C372" s="1">
        <v>4</v>
      </c>
    </row>
    <row r="380" spans="2:17" x14ac:dyDescent="0.2">
      <c r="B380" t="s">
        <v>67</v>
      </c>
      <c r="C380">
        <v>0.05</v>
      </c>
    </row>
    <row r="381" spans="2:17" x14ac:dyDescent="0.2">
      <c r="B381" t="s">
        <v>68</v>
      </c>
      <c r="C381">
        <v>100</v>
      </c>
    </row>
    <row r="382" spans="2:17" x14ac:dyDescent="0.2">
      <c r="D382">
        <v>122</v>
      </c>
    </row>
    <row r="383" spans="2:17" x14ac:dyDescent="0.2">
      <c r="C383">
        <v>111</v>
      </c>
      <c r="D383">
        <v>101</v>
      </c>
    </row>
    <row r="384" spans="2:17" x14ac:dyDescent="0.2">
      <c r="B384">
        <v>100</v>
      </c>
      <c r="C384">
        <v>90</v>
      </c>
      <c r="D384">
        <v>80</v>
      </c>
    </row>
    <row r="385" spans="2:4" x14ac:dyDescent="0.2">
      <c r="B385" t="s">
        <v>69</v>
      </c>
      <c r="C385" t="s">
        <v>70</v>
      </c>
      <c r="D385" t="s">
        <v>71</v>
      </c>
    </row>
    <row r="387" spans="2:4" x14ac:dyDescent="0.2">
      <c r="D387">
        <f>MAX(D382-$C$381,0)</f>
        <v>22</v>
      </c>
    </row>
    <row r="388" spans="2:4" x14ac:dyDescent="0.2">
      <c r="C388">
        <f>MAX(C383-$C$381,0)</f>
        <v>11</v>
      </c>
      <c r="D388">
        <f t="shared" ref="D388:D389" si="21">MAX(D383-$C$381,0)</f>
        <v>1</v>
      </c>
    </row>
    <row r="389" spans="2:4" x14ac:dyDescent="0.2">
      <c r="C389">
        <f>MAX(C384-$C$381,0)</f>
        <v>0</v>
      </c>
      <c r="D389">
        <f t="shared" si="21"/>
        <v>0</v>
      </c>
    </row>
    <row r="390" spans="2:4" x14ac:dyDescent="0.2">
      <c r="B390" t="str">
        <f>B385</f>
        <v>t_0</v>
      </c>
      <c r="C390" t="str">
        <f t="shared" ref="C390:D390" si="22">C385</f>
        <v>t_1</v>
      </c>
      <c r="D390" t="str">
        <f t="shared" si="22"/>
        <v>t_2</v>
      </c>
    </row>
    <row r="393" spans="2:4" x14ac:dyDescent="0.2">
      <c r="C393" s="3">
        <f>((1+$C$380)*C383-D383)/(D382-D383)</f>
        <v>0.74047619047619107</v>
      </c>
    </row>
    <row r="394" spans="2:4" x14ac:dyDescent="0.2">
      <c r="B394" s="3">
        <f>((1+$C$380)*B384-C384)/(C383-C384)</f>
        <v>0.7142857142857143</v>
      </c>
      <c r="C394" s="3">
        <f>((1+$C$380)*C384-D384)/(D383-D384)</f>
        <v>0.69047619047619047</v>
      </c>
    </row>
    <row r="395" spans="2:4" x14ac:dyDescent="0.2">
      <c r="B395" t="s">
        <v>72</v>
      </c>
      <c r="C395" t="s">
        <v>73</v>
      </c>
    </row>
    <row r="398" spans="2:4" x14ac:dyDescent="0.2">
      <c r="B398" s="3"/>
      <c r="C398" s="3">
        <f>(C393*D387+(1-C393)*D388)/(1+$C$380)</f>
        <v>15.761904761904772</v>
      </c>
    </row>
    <row r="399" spans="2:4" x14ac:dyDescent="0.2">
      <c r="B399" s="3">
        <f>(B394*C398+(1-B394)*C399)/(1+$C$380)</f>
        <v>10.901321980039187</v>
      </c>
      <c r="C399" s="3">
        <f>(C394*D388+(1-C394)*D389)/(1+$C$380)</f>
        <v>0.65759637188208608</v>
      </c>
    </row>
    <row r="400" spans="2:4" x14ac:dyDescent="0.2">
      <c r="B400" t="str">
        <f>B390</f>
        <v>t_0</v>
      </c>
      <c r="C400" t="str">
        <f>C390</f>
        <v>t_1</v>
      </c>
    </row>
    <row r="420" spans="2:4" x14ac:dyDescent="0.2">
      <c r="B420" t="s">
        <v>74</v>
      </c>
      <c r="D420" t="s">
        <v>78</v>
      </c>
    </row>
    <row r="421" spans="2:4" x14ac:dyDescent="0.2">
      <c r="B421" t="s">
        <v>75</v>
      </c>
      <c r="D421">
        <v>1</v>
      </c>
    </row>
    <row r="422" spans="2:4" x14ac:dyDescent="0.2">
      <c r="B422" t="s">
        <v>76</v>
      </c>
    </row>
    <row r="423" spans="2:4" x14ac:dyDescent="0.2">
      <c r="B423" t="s">
        <v>68</v>
      </c>
    </row>
    <row r="424" spans="2:4" x14ac:dyDescent="0.2">
      <c r="B424" t="s">
        <v>77</v>
      </c>
    </row>
    <row r="425" spans="2:4" x14ac:dyDescent="0.2">
      <c r="B425" t="s">
        <v>30</v>
      </c>
      <c r="D425">
        <v>1</v>
      </c>
    </row>
    <row r="427" spans="2:4" x14ac:dyDescent="0.2">
      <c r="B427" s="1" t="s">
        <v>10</v>
      </c>
      <c r="C427" s="1">
        <v>3</v>
      </c>
    </row>
    <row r="445" spans="2:5" x14ac:dyDescent="0.2">
      <c r="B445" t="s">
        <v>79</v>
      </c>
      <c r="C445">
        <v>100</v>
      </c>
    </row>
    <row r="446" spans="2:5" x14ac:dyDescent="0.2">
      <c r="E446" t="s">
        <v>82</v>
      </c>
    </row>
    <row r="447" spans="2:5" x14ac:dyDescent="0.2">
      <c r="C447">
        <f>140-100</f>
        <v>40</v>
      </c>
      <c r="E447">
        <v>0.4</v>
      </c>
    </row>
    <row r="448" spans="2:5" x14ac:dyDescent="0.2">
      <c r="B448">
        <v>10</v>
      </c>
      <c r="C448">
        <f>MAX(90-100,0)</f>
        <v>0</v>
      </c>
      <c r="E448">
        <f>1-E447</f>
        <v>0.6</v>
      </c>
    </row>
    <row r="449" spans="2:3" x14ac:dyDescent="0.2">
      <c r="B449" t="s">
        <v>80</v>
      </c>
      <c r="C449" t="s">
        <v>81</v>
      </c>
    </row>
    <row r="451" spans="2:3" x14ac:dyDescent="0.2">
      <c r="B451" t="s">
        <v>83</v>
      </c>
      <c r="C451">
        <f>SUMPRODUCT(C447:C448,E447:E448)</f>
        <v>16</v>
      </c>
    </row>
    <row r="472" spans="2:3" x14ac:dyDescent="0.2">
      <c r="B472" t="s">
        <v>84</v>
      </c>
    </row>
    <row r="474" spans="2:3" x14ac:dyDescent="0.2">
      <c r="B474" s="1" t="s">
        <v>85</v>
      </c>
      <c r="C474" s="1">
        <v>4</v>
      </c>
    </row>
    <row r="490" spans="2:3" x14ac:dyDescent="0.2">
      <c r="B490" t="s">
        <v>10</v>
      </c>
      <c r="C490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Vanderhaegen</dc:creator>
  <cp:lastModifiedBy>Jeppe Vanderhaegen</cp:lastModifiedBy>
  <dcterms:created xsi:type="dcterms:W3CDTF">2024-12-19T10:04:27Z</dcterms:created>
  <dcterms:modified xsi:type="dcterms:W3CDTF">2024-12-23T10:49:23Z</dcterms:modified>
</cp:coreProperties>
</file>