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xml" ContentType="application/vnd.openxmlformats-officedocument.drawingml.chart+xml"/>
  <Override PartName="/xl/drawings/drawing9.xml" ContentType="application/vnd.openxmlformats-officedocument.drawing+xml"/>
  <Override PartName="/xl/charts/chart2.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charts/chart9.xml" ContentType="application/vnd.openxmlformats-officedocument.drawingml.chart+xml"/>
  <Override PartName="/xl/drawings/drawing60.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61.xml" ContentType="application/vnd.openxmlformats-officedocument.drawing+xml"/>
  <Override PartName="/xl/drawings/drawing62.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Champen\Desktop\"/>
    </mc:Choice>
  </mc:AlternateContent>
  <xr:revisionPtr revIDLastSave="0" documentId="13_ncr:1_{FC872543-C347-4E83-81FC-2AC1565546A8}" xr6:coauthVersionLast="46" xr6:coauthVersionMax="46" xr10:uidLastSave="{00000000-0000-0000-0000-000000000000}"/>
  <bookViews>
    <workbookView xWindow="6540" yWindow="585" windowWidth="18060" windowHeight="14430" tabRatio="602" activeTab="3" xr2:uid="{00000000-000D-0000-FFFF-FFFF00000000}"/>
  </bookViews>
  <sheets>
    <sheet name="Regnskaber" sheetId="1" r:id="rId1"/>
    <sheet name="Investeringsteori" sheetId="21" r:id="rId2"/>
    <sheet name="Finansieringsteori" sheetId="43" r:id="rId3"/>
    <sheet name="Strategi" sheetId="44" r:id="rId4"/>
    <sheet name="AG - Eksempel" sheetId="2" r:id="rId5"/>
    <sheet name="OG - Eksempel" sheetId="3" r:id="rId6"/>
    <sheet name="AOH - Eksempel" sheetId="4" r:id="rId7"/>
    <sheet name="EKF - Eksempel" sheetId="5" r:id="rId8"/>
    <sheet name="Aktiver = passiver" sheetId="6" r:id="rId9"/>
    <sheet name="Bogføring - debet - kredit" sheetId="7" r:id="rId10"/>
    <sheet name="Anlæg- og omsætningsaktiver" sheetId="8" r:id="rId11"/>
    <sheet name="Resultatopgørelse - eksempel" sheetId="9" r:id="rId12"/>
    <sheet name="Periodisering - eksempel" sheetId="10" r:id="rId13"/>
    <sheet name="Afskrivning - eksempel" sheetId="11" r:id="rId14"/>
    <sheet name="Virksomheds aktiviteter - eks" sheetId="12" r:id="rId15"/>
    <sheet name="Pengestrøm - eksempel" sheetId="13" r:id="rId16"/>
    <sheet name="Egenkapitalopgørelse - eks" sheetId="14" r:id="rId17"/>
    <sheet name="Værdiansættelse - eksempel" sheetId="15" r:id="rId18"/>
    <sheet name="Indtægter(matching) - eks" sheetId="16" r:id="rId19"/>
    <sheet name="Konsistens - eksempel" sheetId="17" r:id="rId20"/>
    <sheet name="Dupont dekomponering - eks" sheetId="18" r:id="rId21"/>
    <sheet name="Solvens og soliditetsgrad" sheetId="19" r:id="rId22"/>
    <sheet name="Aktieafkast - eksempel" sheetId="20" r:id="rId23"/>
    <sheet name="Fremtidsværdi - eksempel" sheetId="22" r:id="rId24"/>
    <sheet name="Nutidsværdi - eksempel" sheetId="23" r:id="rId25"/>
    <sheet name="Nettonutidsværdi - eks" sheetId="24" r:id="rId26"/>
    <sheet name="Annuitets - eks" sheetId="25" r:id="rId27"/>
    <sheet name="Annuitet med vækst - eks" sheetId="26" r:id="rId28"/>
    <sheet name="Opsparingsformlen - eks" sheetId="27" r:id="rId29"/>
    <sheet name="Gordons formel - eksempel" sheetId="28" r:id="rId30"/>
    <sheet name="Investeringskalkule - eks" sheetId="29" r:id="rId31"/>
    <sheet name="Kalkulationsrenten - eks" sheetId="30" r:id="rId32"/>
    <sheet name="Kapitalværdi - eks" sheetId="31" r:id="rId33"/>
    <sheet name="Intern rente - eks" sheetId="32" r:id="rId34"/>
    <sheet name="Modificeret intern rente - eks" sheetId="33" r:id="rId35"/>
    <sheet name="Simpel tilbagebetalingstid - ek" sheetId="34" r:id="rId36"/>
    <sheet name="Eksakt tilbagebetalingstid - ek" sheetId="35" r:id="rId37"/>
    <sheet name="Beslutningskriterier - eks" sheetId="36" r:id="rId38"/>
    <sheet name="Tilbagebetaling" sheetId="37" r:id="rId39"/>
    <sheet name="Investeringsalternativer - eks" sheetId="38" r:id="rId40"/>
    <sheet name="Optimal levetid - eksempel" sheetId="39" r:id="rId41"/>
    <sheet name="MIR - eksempel" sheetId="40" r:id="rId42"/>
    <sheet name="Følsomhedsanalyse - eks" sheetId="41" r:id="rId43"/>
    <sheet name="Skat i investeringer - eks" sheetId="42" r:id="rId44"/>
    <sheet name="Lån typer - eks" sheetId="45" r:id="rId45"/>
    <sheet name="Pålydende rente - eks" sheetId="46" r:id="rId46"/>
    <sheet name="Effektiv rente - eks" sheetId="47" r:id="rId47"/>
    <sheet name="Effektiv rente begrænsninger" sheetId="48" r:id="rId48"/>
    <sheet name="Stående lån - eks" sheetId="49" r:id="rId49"/>
    <sheet name="Serielån - eks" sheetId="50" r:id="rId50"/>
    <sheet name="Annuitetslån - eks" sheetId="51" r:id="rId51"/>
    <sheet name="Obligationer - eksempel" sheetId="52" r:id="rId52"/>
    <sheet name="Effektiv rente og kurstab" sheetId="53" r:id="rId53"/>
    <sheet name="Kurs og rente" sheetId="54" r:id="rId54"/>
    <sheet name="Risikoaversion - eks" sheetId="55" r:id="rId55"/>
    <sheet name="Relativt afkast - eks" sheetId="56" r:id="rId56"/>
    <sheet name="Nominelt og realt afkast - eks" sheetId="57" r:id="rId57"/>
    <sheet name="Kumulativt afkast - eks" sheetId="58" r:id="rId58"/>
    <sheet name="Gennemsnitligt afkast- eksempel" sheetId="59" r:id="rId59"/>
    <sheet name="Antagelser under portifølgeteor" sheetId="60" r:id="rId60"/>
    <sheet name="Diversifikationsprincippet - ek" sheetId="61" r:id="rId61"/>
    <sheet name="Realiseret værdi-stokastisk var" sheetId="62" r:id="rId62"/>
    <sheet name="Kovarians - eksempel" sheetId="63" r:id="rId63"/>
    <sheet name="Korrelationskoefficienten - eks" sheetId="64" r:id="rId64"/>
    <sheet name="Risikofrit aktiv - eksempel" sheetId="65" r:id="rId65"/>
    <sheet name="kapitalmarkedslinjen - eks" sheetId="66" r:id="rId66"/>
    <sheet name="Markedsportefølgen - eks" sheetId="67" r:id="rId67"/>
    <sheet name="CAPM - eksempel" sheetId="68" r:id="rId68"/>
    <sheet name="Estimering af BETA - eks" sheetId="69" r:id="rId69"/>
    <sheet name="DDM VS. FCFE" sheetId="70" r:id="rId70"/>
    <sheet name="Svag EMH" sheetId="71" r:id="rId71"/>
    <sheet name="Halvstærk EMH" sheetId="72" r:id="rId72"/>
    <sheet name="Stærk EMH" sheetId="73" r:id="rId73"/>
    <sheet name="Afkast beregning - eks" sheetId="74" r:id="rId74"/>
    <sheet name="Standardafvigelse - eks" sheetId="75" r:id="rId75"/>
    <sheet name="Aktie sammenligning" sheetId="76" r:id="rId76"/>
    <sheet name="Betaværdi - eks" sheetId="77" r:id="rId77"/>
    <sheet name="P-E-forhold - eks" sheetId="78" r:id="rId78"/>
    <sheet name="Værdiansættelse af aktier - eks" sheetId="79" r:id="rId79"/>
    <sheet name="Stordriftsfordele - eks" sheetId="80" r:id="rId80"/>
    <sheet name="Skalaulemper - eks" sheetId="81" r:id="rId81"/>
    <sheet name="Principal-agent-problemet -eks" sheetId="82" r:id="rId82"/>
    <sheet name="Incitament baseret afløning -ek" sheetId="83" r:id="rId83"/>
    <sheet name="Profitmaksimering -eks" sheetId="84" r:id="rId84"/>
    <sheet name="Virksomheds undersøgelse - eks" sheetId="85" r:id="rId85"/>
    <sheet name="Elastisitet - eksempel" sheetId="86" r:id="rId86"/>
    <sheet name="Make-or-Buy - eks" sheetId="87" r:id="rId87"/>
    <sheet name="Omsætning- og anlægsaktiver" sheetId="88" r:id="rId88"/>
    <sheet name="Bogført værdi - eks" sheetId="89" r:id="rId89"/>
    <sheet name="Optimal prissætning - eks" sheetId="90" r:id="rId90"/>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4"/>
    </ext>
  </extLst>
</workbook>
</file>

<file path=xl/calcChain.xml><?xml version="1.0" encoding="utf-8"?>
<calcChain xmlns="http://schemas.openxmlformats.org/spreadsheetml/2006/main">
  <c r="G13" i="77" l="1"/>
  <c r="C84" i="45"/>
  <c r="C81" i="45"/>
  <c r="C82" i="45"/>
  <c r="C85" i="45" s="1"/>
  <c r="C86" i="45" s="1"/>
  <c r="B72" i="45"/>
  <c r="C65" i="45" s="1"/>
  <c r="F97" i="45" s="1"/>
  <c r="B39" i="30"/>
  <c r="B42" i="5"/>
  <c r="G42" i="5"/>
  <c r="H10" i="90"/>
  <c r="I10" i="90"/>
  <c r="J10" i="90"/>
  <c r="K10" i="90"/>
  <c r="D11" i="90"/>
  <c r="D15" i="90" s="1"/>
  <c r="D17" i="90" s="1"/>
  <c r="E11" i="90"/>
  <c r="E37" i="90"/>
  <c r="D37" i="90"/>
  <c r="D77" i="90"/>
  <c r="B88" i="90"/>
  <c r="C91" i="90"/>
  <c r="D91" i="90"/>
  <c r="E91" i="90"/>
  <c r="F91" i="90"/>
  <c r="G91" i="90"/>
  <c r="H91" i="90"/>
  <c r="I91" i="90"/>
  <c r="J91" i="90"/>
  <c r="K91" i="90"/>
  <c r="L91" i="90"/>
  <c r="M91" i="90"/>
  <c r="N91" i="90"/>
  <c r="O91" i="90"/>
  <c r="P91" i="90"/>
  <c r="Q91" i="90"/>
  <c r="R91" i="90"/>
  <c r="S91" i="90"/>
  <c r="T91" i="90"/>
  <c r="U91" i="90"/>
  <c r="V91" i="90"/>
  <c r="W91" i="90"/>
  <c r="X91" i="90"/>
  <c r="Y91" i="90"/>
  <c r="Z91" i="90"/>
  <c r="C92" i="90"/>
  <c r="D92" i="90"/>
  <c r="E92" i="90"/>
  <c r="F92" i="90"/>
  <c r="G92" i="90"/>
  <c r="H92" i="90"/>
  <c r="I92" i="90"/>
  <c r="J92" i="90"/>
  <c r="K92" i="90"/>
  <c r="L92" i="90"/>
  <c r="M92" i="90"/>
  <c r="N92" i="90"/>
  <c r="O92" i="90"/>
  <c r="P92" i="90"/>
  <c r="Q92" i="90"/>
  <c r="R92" i="90"/>
  <c r="S92" i="90"/>
  <c r="T92" i="90"/>
  <c r="U92" i="90"/>
  <c r="V92" i="90"/>
  <c r="W92" i="90"/>
  <c r="X92" i="90"/>
  <c r="Y92" i="90"/>
  <c r="Z92" i="90"/>
  <c r="D104" i="90"/>
  <c r="E104" i="90"/>
  <c r="F104" i="90"/>
  <c r="G104" i="90"/>
  <c r="H104" i="90"/>
  <c r="I104" i="90"/>
  <c r="J104" i="90"/>
  <c r="K104" i="90"/>
  <c r="L104" i="90"/>
  <c r="M104" i="90"/>
  <c r="N104" i="90"/>
  <c r="O104" i="90"/>
  <c r="P104" i="90"/>
  <c r="Q104" i="90"/>
  <c r="R104" i="90"/>
  <c r="S104" i="90"/>
  <c r="D105" i="90"/>
  <c r="E105" i="90"/>
  <c r="F105" i="90"/>
  <c r="G105" i="90"/>
  <c r="H105" i="90"/>
  <c r="I105" i="90"/>
  <c r="J105" i="90"/>
  <c r="K105" i="90"/>
  <c r="L105" i="90"/>
  <c r="M105" i="90"/>
  <c r="N105" i="90"/>
  <c r="O105" i="90"/>
  <c r="P105" i="90"/>
  <c r="Q105" i="90"/>
  <c r="R105" i="90"/>
  <c r="S105" i="90"/>
  <c r="D106" i="90"/>
  <c r="E106" i="90"/>
  <c r="F106" i="90"/>
  <c r="G106" i="90"/>
  <c r="H106" i="90"/>
  <c r="I106" i="90"/>
  <c r="J106" i="90"/>
  <c r="K106" i="90"/>
  <c r="L106" i="90"/>
  <c r="M106" i="90"/>
  <c r="N106" i="90"/>
  <c r="O106" i="90"/>
  <c r="P106" i="90"/>
  <c r="Q106" i="90"/>
  <c r="R106" i="90"/>
  <c r="S106" i="90"/>
  <c r="F23" i="85"/>
  <c r="H22" i="85" s="1"/>
  <c r="I22" i="85"/>
  <c r="F27" i="85"/>
  <c r="F28" i="85"/>
  <c r="F29" i="85"/>
  <c r="F30" i="85"/>
  <c r="F31" i="85"/>
  <c r="F32" i="85"/>
  <c r="F33" i="85"/>
  <c r="F34" i="85"/>
  <c r="F35" i="85"/>
  <c r="F36" i="85"/>
  <c r="F37" i="85"/>
  <c r="F38" i="85"/>
  <c r="F39" i="85"/>
  <c r="F40" i="85"/>
  <c r="F41" i="85"/>
  <c r="F42" i="85"/>
  <c r="H55" i="85"/>
  <c r="H56" i="85"/>
  <c r="H57" i="85"/>
  <c r="H58" i="85"/>
  <c r="H59" i="85"/>
  <c r="H60" i="85"/>
  <c r="H61" i="85"/>
  <c r="H62" i="85"/>
  <c r="G78" i="85"/>
  <c r="G79" i="85"/>
  <c r="G80" i="85"/>
  <c r="G81" i="85"/>
  <c r="G82" i="85"/>
  <c r="G83" i="85"/>
  <c r="G84" i="85"/>
  <c r="G85" i="85"/>
  <c r="G86" i="85"/>
  <c r="G87" i="85"/>
  <c r="G88" i="85"/>
  <c r="G89" i="85"/>
  <c r="G90" i="85"/>
  <c r="G91" i="85"/>
  <c r="G92" i="85"/>
  <c r="G93" i="85"/>
  <c r="F122" i="85"/>
  <c r="I121" i="85"/>
  <c r="H12" i="84"/>
  <c r="I12" i="84"/>
  <c r="J12" i="84"/>
  <c r="K12" i="84"/>
  <c r="D13" i="84"/>
  <c r="E13" i="84"/>
  <c r="D17" i="84" s="1"/>
  <c r="D19" i="84" s="1"/>
  <c r="E39" i="84"/>
  <c r="D39" i="84"/>
  <c r="D18" i="79"/>
  <c r="D19" i="79" s="1"/>
  <c r="D20" i="79" s="1"/>
  <c r="E18" i="79"/>
  <c r="F18" i="79"/>
  <c r="G18" i="79"/>
  <c r="G19" i="79" s="1"/>
  <c r="G20" i="79" s="1"/>
  <c r="E19" i="79"/>
  <c r="E20" i="79" s="1"/>
  <c r="F19" i="79"/>
  <c r="F20" i="79" s="1"/>
  <c r="E38" i="79"/>
  <c r="E42" i="79" s="1"/>
  <c r="F38" i="79"/>
  <c r="F42" i="79" s="1"/>
  <c r="D39" i="79"/>
  <c r="E39" i="79"/>
  <c r="F39" i="79"/>
  <c r="G39" i="79"/>
  <c r="D40" i="79"/>
  <c r="E40" i="79"/>
  <c r="F40" i="79"/>
  <c r="G40" i="79"/>
  <c r="G14" i="77"/>
  <c r="E14" i="77" s="1"/>
  <c r="G15" i="77"/>
  <c r="E15" i="77"/>
  <c r="G16" i="77"/>
  <c r="E16" i="77"/>
  <c r="G17" i="77"/>
  <c r="E17" i="77" s="1"/>
  <c r="G18" i="77"/>
  <c r="E18" i="77" s="1"/>
  <c r="G19" i="77"/>
  <c r="E19" i="77"/>
  <c r="G20" i="77"/>
  <c r="E20" i="77"/>
  <c r="G21" i="77"/>
  <c r="E21" i="77" s="1"/>
  <c r="G22" i="77"/>
  <c r="E22" i="77" s="1"/>
  <c r="G23" i="77"/>
  <c r="E23" i="77"/>
  <c r="G24" i="77"/>
  <c r="E24" i="77"/>
  <c r="D39" i="76"/>
  <c r="F12" i="76" s="1"/>
  <c r="F27" i="76" s="1"/>
  <c r="F28" i="76" s="1"/>
  <c r="E39" i="76"/>
  <c r="G13" i="76" s="1"/>
  <c r="F13" i="76"/>
  <c r="F14" i="76"/>
  <c r="F15" i="76"/>
  <c r="F16" i="76"/>
  <c r="F17" i="76"/>
  <c r="F18" i="76"/>
  <c r="F19" i="76"/>
  <c r="F20" i="76"/>
  <c r="F21" i="76"/>
  <c r="F22" i="76"/>
  <c r="F23" i="76"/>
  <c r="F24" i="76"/>
  <c r="F25" i="76"/>
  <c r="F26" i="76"/>
  <c r="D47" i="76"/>
  <c r="W113" i="76"/>
  <c r="Y113" i="76" a="1"/>
  <c r="Y113" i="76" s="1"/>
  <c r="W114" i="76"/>
  <c r="W115" i="76" s="1"/>
  <c r="R122" i="76"/>
  <c r="S119" i="76" s="1" a="1"/>
  <c r="S119" i="76" s="1"/>
  <c r="T119" i="76" s="1"/>
  <c r="U119" i="76" a="1"/>
  <c r="U119" i="76" s="1"/>
  <c r="V119" i="76"/>
  <c r="T126" i="76" a="1"/>
  <c r="S141" i="76"/>
  <c r="T141" i="76"/>
  <c r="U141" i="76"/>
  <c r="V141" i="76"/>
  <c r="W141" i="76"/>
  <c r="Q17" i="75"/>
  <c r="Q18" i="75"/>
  <c r="Q19" i="75" a="1"/>
  <c r="Q19" i="75" s="1"/>
  <c r="U23" i="75" s="1"/>
  <c r="R23" i="75"/>
  <c r="F30" i="75"/>
  <c r="G30" i="75"/>
  <c r="F31" i="75"/>
  <c r="G31" i="75"/>
  <c r="F32" i="75"/>
  <c r="G32" i="75" s="1"/>
  <c r="F33" i="75"/>
  <c r="G33" i="75"/>
  <c r="F34" i="75"/>
  <c r="G34" i="75"/>
  <c r="F35" i="75"/>
  <c r="G35" i="75"/>
  <c r="F36" i="75"/>
  <c r="G36" i="75" s="1"/>
  <c r="F37" i="75"/>
  <c r="G37" i="75"/>
  <c r="F38" i="75"/>
  <c r="G38" i="75" s="1"/>
  <c r="F39" i="75"/>
  <c r="G39" i="75"/>
  <c r="F40" i="75"/>
  <c r="G40" i="75" s="1"/>
  <c r="F41" i="75"/>
  <c r="G41" i="75"/>
  <c r="F42" i="75"/>
  <c r="G42" i="75" s="1"/>
  <c r="F43" i="75"/>
  <c r="G43" i="75" s="1"/>
  <c r="F44" i="75"/>
  <c r="G44" i="75" s="1"/>
  <c r="H30" i="75"/>
  <c r="H31" i="75"/>
  <c r="I31" i="75"/>
  <c r="H32" i="75"/>
  <c r="I32" i="75" s="1"/>
  <c r="H33" i="75"/>
  <c r="I33" i="75" s="1"/>
  <c r="H34" i="75"/>
  <c r="I34" i="75"/>
  <c r="H35" i="75"/>
  <c r="I35" i="75" s="1"/>
  <c r="H36" i="75"/>
  <c r="I36" i="75" s="1"/>
  <c r="H37" i="75"/>
  <c r="I37" i="75" s="1"/>
  <c r="H38" i="75"/>
  <c r="I38" i="75"/>
  <c r="H39" i="75"/>
  <c r="I39" i="75" s="1"/>
  <c r="H40" i="75"/>
  <c r="I40" i="75" s="1"/>
  <c r="H41" i="75"/>
  <c r="I41" i="75" s="1"/>
  <c r="H42" i="75"/>
  <c r="I42" i="75"/>
  <c r="H43" i="75"/>
  <c r="I43" i="75"/>
  <c r="H44" i="75"/>
  <c r="I44" i="75" s="1"/>
  <c r="F70" i="75"/>
  <c r="G70" i="75"/>
  <c r="J70" i="75" s="1"/>
  <c r="F80" i="75"/>
  <c r="I70" i="75"/>
  <c r="G80" i="75"/>
  <c r="F71" i="75"/>
  <c r="G71" i="75"/>
  <c r="J71" i="75" s="1"/>
  <c r="I71" i="75"/>
  <c r="F72" i="75"/>
  <c r="G72" i="75"/>
  <c r="J72" i="75" s="1"/>
  <c r="I72" i="75"/>
  <c r="F73" i="75"/>
  <c r="I73" i="75" s="1"/>
  <c r="G73" i="75"/>
  <c r="J73" i="75" s="1"/>
  <c r="F74" i="75"/>
  <c r="G74" i="75"/>
  <c r="J74" i="75" s="1"/>
  <c r="I74" i="75"/>
  <c r="F75" i="75"/>
  <c r="G75" i="75"/>
  <c r="J75" i="75" s="1"/>
  <c r="I75" i="75"/>
  <c r="F76" i="75"/>
  <c r="G76" i="75"/>
  <c r="J76" i="75" s="1"/>
  <c r="I76" i="75"/>
  <c r="F77" i="75"/>
  <c r="G77" i="75"/>
  <c r="J77" i="75" s="1"/>
  <c r="I77" i="75"/>
  <c r="F78" i="75"/>
  <c r="G78" i="75"/>
  <c r="J78" i="75" s="1"/>
  <c r="I78" i="75"/>
  <c r="F79" i="75"/>
  <c r="G79" i="75"/>
  <c r="J79" i="75" s="1"/>
  <c r="I79" i="75"/>
  <c r="D19" i="74"/>
  <c r="D20" i="74" s="1"/>
  <c r="E20" i="74"/>
  <c r="E21" i="74"/>
  <c r="E22" i="74" s="1"/>
  <c r="E23" i="74" s="1"/>
  <c r="E24" i="74"/>
  <c r="F24" i="74"/>
  <c r="F25" i="74"/>
  <c r="D29" i="74"/>
  <c r="D30" i="74" s="1"/>
  <c r="E29" i="74"/>
  <c r="F29" i="74"/>
  <c r="F34" i="74" s="1"/>
  <c r="E30" i="74"/>
  <c r="F30" i="74"/>
  <c r="E31" i="74"/>
  <c r="F31" i="74"/>
  <c r="E32" i="74"/>
  <c r="E33" i="74" s="1"/>
  <c r="F32" i="74"/>
  <c r="F33" i="74"/>
  <c r="M27" i="72"/>
  <c r="M28" i="72" s="1"/>
  <c r="M29" i="72" s="1"/>
  <c r="M30" i="72" s="1"/>
  <c r="M31" i="72" s="1"/>
  <c r="M32" i="72" s="1"/>
  <c r="M33" i="72" s="1"/>
  <c r="M34" i="72" s="1"/>
  <c r="P27" i="72"/>
  <c r="P28" i="72" s="1"/>
  <c r="P29" i="72" s="1"/>
  <c r="S27" i="72"/>
  <c r="S28" i="72"/>
  <c r="S29" i="72"/>
  <c r="P30" i="72"/>
  <c r="P31" i="72" s="1"/>
  <c r="P32" i="72" s="1"/>
  <c r="P33" i="72" s="1"/>
  <c r="P34" i="72" s="1"/>
  <c r="P35" i="72" s="1"/>
  <c r="P36" i="72" s="1"/>
  <c r="P37" i="72" s="1"/>
  <c r="P38" i="72" s="1"/>
  <c r="P39" i="72" s="1"/>
  <c r="P40" i="72" s="1"/>
  <c r="P41" i="72" s="1"/>
  <c r="P42" i="72" s="1"/>
  <c r="S30" i="72"/>
  <c r="S31" i="72" s="1"/>
  <c r="S32" i="72" s="1"/>
  <c r="S33" i="72" s="1"/>
  <c r="S34" i="72" s="1"/>
  <c r="S35" i="72" s="1"/>
  <c r="S36" i="72" s="1"/>
  <c r="S37" i="72" s="1"/>
  <c r="S38" i="72" s="1"/>
  <c r="S39" i="72" s="1"/>
  <c r="S40" i="72" s="1"/>
  <c r="S41" i="72" s="1"/>
  <c r="S42" i="72" s="1"/>
  <c r="S43" i="72" s="1"/>
  <c r="S44" i="72" s="1"/>
  <c r="S45" i="72" s="1"/>
  <c r="S46" i="72" s="1"/>
  <c r="S47" i="72" s="1"/>
  <c r="S48" i="72" s="1"/>
  <c r="S49" i="72" s="1"/>
  <c r="S50" i="72" s="1"/>
  <c r="S51" i="72" s="1"/>
  <c r="S52" i="72" s="1"/>
  <c r="S53" i="72" s="1"/>
  <c r="M35" i="72"/>
  <c r="M36" i="72" s="1"/>
  <c r="M37" i="72" s="1"/>
  <c r="M38" i="72"/>
  <c r="M39" i="72" s="1"/>
  <c r="M40" i="72" s="1"/>
  <c r="M41" i="72" s="1"/>
  <c r="M42" i="72"/>
  <c r="M43" i="72" s="1"/>
  <c r="M44" i="72" s="1"/>
  <c r="M45" i="72" s="1"/>
  <c r="M46" i="72" s="1"/>
  <c r="M47" i="72" s="1"/>
  <c r="M48" i="72" s="1"/>
  <c r="M49" i="72" s="1"/>
  <c r="M50" i="72" s="1"/>
  <c r="M51" i="72" s="1"/>
  <c r="M52" i="72" s="1"/>
  <c r="M53" i="72" s="1"/>
  <c r="M54" i="72" s="1"/>
  <c r="M55" i="72" s="1"/>
  <c r="M56" i="72" s="1"/>
  <c r="M57" i="72" s="1"/>
  <c r="M58" i="72" s="1"/>
  <c r="M59" i="72" s="1"/>
  <c r="M60" i="72" s="1"/>
  <c r="M61" i="72" s="1"/>
  <c r="M62" i="72" s="1"/>
  <c r="M63" i="72" s="1"/>
  <c r="M64" i="72" s="1"/>
  <c r="P43" i="72"/>
  <c r="P44" i="72" s="1"/>
  <c r="P45" i="72" s="1"/>
  <c r="P46" i="72" s="1"/>
  <c r="P47" i="72" s="1"/>
  <c r="P48" i="72" s="1"/>
  <c r="P49" i="72" s="1"/>
  <c r="P50" i="72" s="1"/>
  <c r="P51" i="72" s="1"/>
  <c r="P52" i="72" s="1"/>
  <c r="P53" i="72" s="1"/>
  <c r="P54" i="72" s="1"/>
  <c r="P55" i="72" s="1"/>
  <c r="P56" i="72" s="1"/>
  <c r="P57" i="72" s="1"/>
  <c r="P58" i="72" s="1"/>
  <c r="P59" i="72" s="1"/>
  <c r="P60" i="72" s="1"/>
  <c r="P61" i="72" s="1"/>
  <c r="P62" i="72" s="1"/>
  <c r="P63" i="72" s="1"/>
  <c r="P64" i="72" s="1"/>
  <c r="P65" i="72" s="1"/>
  <c r="P66" i="72" s="1"/>
  <c r="P67" i="72" s="1"/>
  <c r="S54" i="72"/>
  <c r="S55" i="72" s="1"/>
  <c r="S56" i="72" s="1"/>
  <c r="S57" i="72" s="1"/>
  <c r="S58" i="72" s="1"/>
  <c r="S59" i="72" s="1"/>
  <c r="S60" i="72" s="1"/>
  <c r="S61" i="72" s="1"/>
  <c r="S62" i="72" s="1"/>
  <c r="S63" i="72" s="1"/>
  <c r="S64" i="72" s="1"/>
  <c r="S65" i="72" s="1"/>
  <c r="S66" i="72" s="1"/>
  <c r="S67" i="72" s="1"/>
  <c r="M65" i="72"/>
  <c r="M66" i="72" s="1"/>
  <c r="M67" i="72" s="1"/>
  <c r="L17" i="67"/>
  <c r="C54" i="63"/>
  <c r="G33" i="63"/>
  <c r="D54" i="63"/>
  <c r="D69" i="63" s="1" a="1"/>
  <c r="D69" i="63" s="1"/>
  <c r="H33" i="63"/>
  <c r="E54" i="63"/>
  <c r="I37" i="63" s="1"/>
  <c r="I33" i="63"/>
  <c r="F54" i="63"/>
  <c r="J33" i="63"/>
  <c r="K33" i="63"/>
  <c r="L33" i="63"/>
  <c r="G34" i="63"/>
  <c r="H34" i="63"/>
  <c r="I34" i="63"/>
  <c r="J34" i="63"/>
  <c r="K34" i="63"/>
  <c r="L34" i="63"/>
  <c r="G35" i="63"/>
  <c r="G55" i="63" s="1"/>
  <c r="G56" i="63" s="1"/>
  <c r="H35" i="63"/>
  <c r="I35" i="63"/>
  <c r="J35" i="63"/>
  <c r="K35" i="63"/>
  <c r="L35" i="63"/>
  <c r="G36" i="63"/>
  <c r="H36" i="63"/>
  <c r="I36" i="63"/>
  <c r="J36" i="63"/>
  <c r="K36" i="63"/>
  <c r="L36" i="63"/>
  <c r="G37" i="63"/>
  <c r="H37" i="63"/>
  <c r="J37" i="63"/>
  <c r="K37" i="63"/>
  <c r="L37" i="63"/>
  <c r="G38" i="63"/>
  <c r="H38" i="63"/>
  <c r="I38" i="63"/>
  <c r="J38" i="63"/>
  <c r="K38" i="63"/>
  <c r="L38" i="63"/>
  <c r="G39" i="63"/>
  <c r="H39" i="63"/>
  <c r="I39" i="63"/>
  <c r="J39" i="63"/>
  <c r="K39" i="63"/>
  <c r="L39" i="63"/>
  <c r="G40" i="63"/>
  <c r="H40" i="63"/>
  <c r="I40" i="63"/>
  <c r="J40" i="63"/>
  <c r="K40" i="63"/>
  <c r="L40" i="63"/>
  <c r="G41" i="63"/>
  <c r="H41" i="63"/>
  <c r="J41" i="63"/>
  <c r="K41" i="63"/>
  <c r="L41" i="63"/>
  <c r="G42" i="63"/>
  <c r="H42" i="63"/>
  <c r="I42" i="63"/>
  <c r="J42" i="63"/>
  <c r="K42" i="63"/>
  <c r="L42" i="63"/>
  <c r="G43" i="63"/>
  <c r="H43" i="63"/>
  <c r="I43" i="63"/>
  <c r="J43" i="63"/>
  <c r="K43" i="63"/>
  <c r="L43" i="63"/>
  <c r="G44" i="63"/>
  <c r="H44" i="63"/>
  <c r="I44" i="63"/>
  <c r="J44" i="63"/>
  <c r="K44" i="63"/>
  <c r="L44" i="63"/>
  <c r="G45" i="63"/>
  <c r="H45" i="63"/>
  <c r="J45" i="63"/>
  <c r="K45" i="63"/>
  <c r="L45" i="63"/>
  <c r="G46" i="63"/>
  <c r="H46" i="63"/>
  <c r="I46" i="63"/>
  <c r="J46" i="63"/>
  <c r="K46" i="63"/>
  <c r="L46" i="63"/>
  <c r="G47" i="63"/>
  <c r="H47" i="63"/>
  <c r="I47" i="63"/>
  <c r="J47" i="63"/>
  <c r="K47" i="63"/>
  <c r="L47" i="63"/>
  <c r="G48" i="63"/>
  <c r="H48" i="63"/>
  <c r="I48" i="63"/>
  <c r="J48" i="63"/>
  <c r="K48" i="63"/>
  <c r="L48" i="63"/>
  <c r="G49" i="63"/>
  <c r="H49" i="63"/>
  <c r="J49" i="63"/>
  <c r="K49" i="63"/>
  <c r="L49" i="63"/>
  <c r="G50" i="63"/>
  <c r="H50" i="63"/>
  <c r="I50" i="63"/>
  <c r="J50" i="63"/>
  <c r="K50" i="63"/>
  <c r="L50" i="63"/>
  <c r="G51" i="63"/>
  <c r="H51" i="63"/>
  <c r="I51" i="63"/>
  <c r="J51" i="63"/>
  <c r="K51" i="63"/>
  <c r="L51" i="63"/>
  <c r="G52" i="63"/>
  <c r="H52" i="63"/>
  <c r="I52" i="63"/>
  <c r="J52" i="63"/>
  <c r="K52" i="63"/>
  <c r="L52" i="63"/>
  <c r="G53" i="63"/>
  <c r="H53" i="63"/>
  <c r="J53" i="63"/>
  <c r="K53" i="63"/>
  <c r="L53" i="63"/>
  <c r="C69" i="63"/>
  <c r="E80" i="63"/>
  <c r="F80" i="63"/>
  <c r="G80" i="63"/>
  <c r="H80" i="63"/>
  <c r="E81" i="63"/>
  <c r="F81" i="63"/>
  <c r="G81" i="63"/>
  <c r="H81" i="63"/>
  <c r="E82" i="63"/>
  <c r="F82" i="63"/>
  <c r="G82" i="63"/>
  <c r="H82" i="63"/>
  <c r="E83" i="63"/>
  <c r="F83" i="63"/>
  <c r="G83" i="63"/>
  <c r="H83" i="63"/>
  <c r="E84" i="63"/>
  <c r="F84" i="63"/>
  <c r="G84" i="63"/>
  <c r="H84" i="63"/>
  <c r="E85" i="63"/>
  <c r="F85" i="63"/>
  <c r="G85" i="63"/>
  <c r="H85" i="63"/>
  <c r="E86" i="63"/>
  <c r="F86" i="63"/>
  <c r="G86" i="63"/>
  <c r="H86" i="63"/>
  <c r="E87" i="63"/>
  <c r="F87" i="63"/>
  <c r="G87" i="63"/>
  <c r="H87" i="63"/>
  <c r="E88" i="63"/>
  <c r="F88" i="63"/>
  <c r="G88" i="63"/>
  <c r="H88" i="63"/>
  <c r="E89" i="63"/>
  <c r="F89" i="63"/>
  <c r="G89" i="63"/>
  <c r="H89" i="63"/>
  <c r="E90" i="63"/>
  <c r="F90" i="63"/>
  <c r="N17" i="59"/>
  <c r="N18" i="59"/>
  <c r="O18" i="59"/>
  <c r="N19" i="59"/>
  <c r="O19" i="59" s="1"/>
  <c r="N20" i="59"/>
  <c r="O20" i="59"/>
  <c r="N21" i="59"/>
  <c r="O21" i="59"/>
  <c r="N22" i="59"/>
  <c r="O22" i="59" s="1"/>
  <c r="N23" i="59"/>
  <c r="O23" i="59" s="1"/>
  <c r="N24" i="59"/>
  <c r="O24" i="59"/>
  <c r="N25" i="59"/>
  <c r="O25" i="59" s="1"/>
  <c r="N26" i="59"/>
  <c r="O26" i="59"/>
  <c r="E36" i="59"/>
  <c r="G36" i="59"/>
  <c r="E37" i="59"/>
  <c r="G37" i="59"/>
  <c r="E38" i="59"/>
  <c r="G38" i="59"/>
  <c r="E39" i="59"/>
  <c r="G39" i="59"/>
  <c r="E40" i="59"/>
  <c r="G40" i="59"/>
  <c r="E41" i="59"/>
  <c r="G41" i="59"/>
  <c r="E42" i="59"/>
  <c r="G42" i="59"/>
  <c r="E43" i="59"/>
  <c r="G43" i="59"/>
  <c r="E44" i="59"/>
  <c r="G44" i="59"/>
  <c r="E45" i="59"/>
  <c r="G45" i="59"/>
  <c r="E46" i="59"/>
  <c r="G46" i="59"/>
  <c r="E47" i="59"/>
  <c r="B29" i="54"/>
  <c r="B30" i="54" s="1"/>
  <c r="C29" i="54"/>
  <c r="B31" i="54"/>
  <c r="B32" i="54" s="1"/>
  <c r="B33" i="54"/>
  <c r="B34" i="54" s="1"/>
  <c r="B35" i="54" s="1"/>
  <c r="B36" i="54" s="1"/>
  <c r="B37" i="54" s="1"/>
  <c r="B38" i="54" s="1"/>
  <c r="B43" i="54"/>
  <c r="B44" i="54" s="1"/>
  <c r="B45" i="54" s="1"/>
  <c r="B46" i="54" s="1"/>
  <c r="B47" i="54" s="1"/>
  <c r="B48" i="54" s="1"/>
  <c r="B49" i="54" s="1"/>
  <c r="B50" i="54" s="1"/>
  <c r="B51" i="54" s="1"/>
  <c r="B52" i="54" s="1"/>
  <c r="C43" i="54"/>
  <c r="C44" i="54" s="1"/>
  <c r="C45" i="54" s="1"/>
  <c r="D43" i="54"/>
  <c r="F43" i="54" s="1"/>
  <c r="D44" i="54"/>
  <c r="F44" i="54" s="1"/>
  <c r="D35" i="51"/>
  <c r="E35" i="51" s="1"/>
  <c r="G35" i="51"/>
  <c r="G36" i="51"/>
  <c r="G37" i="51"/>
  <c r="G38" i="51"/>
  <c r="G41" i="51" s="1"/>
  <c r="G39" i="51"/>
  <c r="G40" i="51"/>
  <c r="D34" i="50"/>
  <c r="E34" i="50" s="1"/>
  <c r="F34" i="50"/>
  <c r="G34" i="50"/>
  <c r="D35" i="50"/>
  <c r="E35" i="50"/>
  <c r="F35" i="50"/>
  <c r="F36" i="50"/>
  <c r="F37" i="50"/>
  <c r="F38" i="50"/>
  <c r="F39" i="50"/>
  <c r="C30" i="49"/>
  <c r="D30" i="49"/>
  <c r="F30" i="49"/>
  <c r="C31" i="49"/>
  <c r="D32" i="49" s="1"/>
  <c r="F32" i="49" s="1"/>
  <c r="D31" i="49"/>
  <c r="F31" i="49" s="1"/>
  <c r="K18" i="47"/>
  <c r="L18" i="47"/>
  <c r="N18" i="47" s="1"/>
  <c r="K19" i="47"/>
  <c r="K20" i="47" s="1"/>
  <c r="K21" i="47" s="1"/>
  <c r="K22" i="47" s="1"/>
  <c r="L19" i="47"/>
  <c r="N19" i="47" s="1"/>
  <c r="L20" i="47"/>
  <c r="N20" i="47"/>
  <c r="L21" i="47"/>
  <c r="N21" i="47"/>
  <c r="L22" i="47"/>
  <c r="N22" i="47" s="1"/>
  <c r="L23" i="47"/>
  <c r="N23" i="47" s="1"/>
  <c r="K28" i="47"/>
  <c r="L28" i="47"/>
  <c r="N28" i="47" s="1"/>
  <c r="M28" i="47"/>
  <c r="K29" i="47"/>
  <c r="K30" i="47" s="1"/>
  <c r="M29" i="47"/>
  <c r="M30" i="47"/>
  <c r="M31" i="47"/>
  <c r="M32" i="47"/>
  <c r="M33" i="47"/>
  <c r="K38" i="47"/>
  <c r="L38" i="47" s="1"/>
  <c r="M38" i="47" s="1"/>
  <c r="K39" i="47" s="1"/>
  <c r="N38" i="47"/>
  <c r="N39" i="47"/>
  <c r="N40" i="47"/>
  <c r="N41" i="47"/>
  <c r="N42" i="47"/>
  <c r="N43" i="47"/>
  <c r="C50" i="47"/>
  <c r="B51" i="47"/>
  <c r="C51" i="47"/>
  <c r="C52" i="47" s="1"/>
  <c r="C53" i="47" s="1"/>
  <c r="C54" i="47" s="1"/>
  <c r="D51" i="47"/>
  <c r="D52" i="47"/>
  <c r="D53" i="47" s="1"/>
  <c r="D54" i="47" s="1"/>
  <c r="B57" i="47"/>
  <c r="G58" i="47"/>
  <c r="C59" i="47"/>
  <c r="D59" i="47"/>
  <c r="E59" i="47"/>
  <c r="G59" i="47" s="1"/>
  <c r="F59" i="47"/>
  <c r="B60" i="47"/>
  <c r="B64" i="47" s="1"/>
  <c r="C60" i="47"/>
  <c r="C61" i="47" s="1"/>
  <c r="C62" i="47" s="1"/>
  <c r="D60" i="47"/>
  <c r="E60" i="47" s="1"/>
  <c r="G60" i="47" s="1"/>
  <c r="F60" i="47"/>
  <c r="D61" i="47"/>
  <c r="D62" i="47" s="1"/>
  <c r="D63" i="47" s="1"/>
  <c r="E63" i="47" s="1"/>
  <c r="G63" i="47" s="1"/>
  <c r="E61" i="47"/>
  <c r="G61" i="47" s="1"/>
  <c r="F61" i="47"/>
  <c r="E62" i="47"/>
  <c r="G62" i="47" s="1"/>
  <c r="F62" i="47"/>
  <c r="C63" i="47"/>
  <c r="C64" i="47" s="1"/>
  <c r="C65" i="47" s="1"/>
  <c r="C66" i="47" s="1"/>
  <c r="C67" i="47" s="1"/>
  <c r="C68" i="47" s="1"/>
  <c r="C69" i="47" s="1"/>
  <c r="C70" i="47" s="1"/>
  <c r="F63" i="47"/>
  <c r="D64" i="47"/>
  <c r="F64" i="47"/>
  <c r="F65" i="47"/>
  <c r="F66" i="47"/>
  <c r="B67" i="47"/>
  <c r="F67" i="47"/>
  <c r="F68" i="47"/>
  <c r="F69" i="47"/>
  <c r="F70" i="47"/>
  <c r="G79" i="47"/>
  <c r="G91" i="47" s="1"/>
  <c r="I79" i="47"/>
  <c r="G80" i="47"/>
  <c r="H80" i="47"/>
  <c r="G81" i="47"/>
  <c r="I81" i="47" s="1"/>
  <c r="H81" i="47"/>
  <c r="G82" i="47"/>
  <c r="H82" i="47"/>
  <c r="I82" i="47"/>
  <c r="G83" i="47"/>
  <c r="I83" i="47" s="1"/>
  <c r="H83" i="47"/>
  <c r="G84" i="47"/>
  <c r="H84" i="47"/>
  <c r="I84" i="47"/>
  <c r="G85" i="47"/>
  <c r="H85" i="47"/>
  <c r="I85" i="47"/>
  <c r="G86" i="47"/>
  <c r="H86" i="47"/>
  <c r="I86" i="47" s="1"/>
  <c r="G87" i="47"/>
  <c r="H87" i="47"/>
  <c r="G88" i="47"/>
  <c r="I88" i="47" s="1"/>
  <c r="H88" i="47"/>
  <c r="G89" i="47"/>
  <c r="I89" i="47" s="1"/>
  <c r="H89" i="47"/>
  <c r="B95" i="47"/>
  <c r="F95" i="47"/>
  <c r="I95" i="47"/>
  <c r="G96" i="47"/>
  <c r="I96" i="47" s="1"/>
  <c r="H96" i="47"/>
  <c r="G97" i="47"/>
  <c r="I97" i="47" s="1"/>
  <c r="H97" i="47"/>
  <c r="G98" i="47"/>
  <c r="I98" i="47" s="1"/>
  <c r="H98" i="47"/>
  <c r="G99" i="47"/>
  <c r="H99" i="47"/>
  <c r="I99" i="47"/>
  <c r="G100" i="47"/>
  <c r="H100" i="47"/>
  <c r="I100" i="47"/>
  <c r="G101" i="47"/>
  <c r="H101" i="47"/>
  <c r="I101" i="47" s="1"/>
  <c r="G102" i="47"/>
  <c r="H102" i="47"/>
  <c r="I102" i="47" s="1"/>
  <c r="G103" i="47"/>
  <c r="H103" i="47"/>
  <c r="G104" i="47"/>
  <c r="I104" i="47" s="1"/>
  <c r="H104" i="47"/>
  <c r="G105" i="47"/>
  <c r="H105" i="47"/>
  <c r="I105" i="47"/>
  <c r="D32" i="45"/>
  <c r="F31" i="45"/>
  <c r="D42" i="45"/>
  <c r="F37" i="45"/>
  <c r="G39" i="45"/>
  <c r="H39" i="45"/>
  <c r="I39" i="45"/>
  <c r="J39" i="45" s="1"/>
  <c r="K39" i="45" s="1"/>
  <c r="L39" i="45" s="1"/>
  <c r="M39" i="45" s="1"/>
  <c r="N39" i="45" s="1"/>
  <c r="O39" i="45" s="1"/>
  <c r="P39" i="45"/>
  <c r="G41" i="45"/>
  <c r="H41" i="45" s="1"/>
  <c r="I41" i="45" s="1"/>
  <c r="J41" i="45"/>
  <c r="K41" i="45" s="1"/>
  <c r="L41" i="45"/>
  <c r="M41" i="45" s="1"/>
  <c r="N41" i="45" s="1"/>
  <c r="O41" i="45"/>
  <c r="P41" i="45" s="1"/>
  <c r="F42" i="45"/>
  <c r="F98" i="45"/>
  <c r="F100" i="45"/>
  <c r="F105" i="45"/>
  <c r="C109" i="45"/>
  <c r="D109" i="45" s="1"/>
  <c r="F109" i="45"/>
  <c r="E109" i="45" s="1"/>
  <c r="G109" i="45" s="1"/>
  <c r="C110" i="45" s="1"/>
  <c r="F110" i="45"/>
  <c r="F111" i="45"/>
  <c r="F112" i="45"/>
  <c r="F113" i="45"/>
  <c r="F114" i="45"/>
  <c r="F115" i="45"/>
  <c r="F116" i="45"/>
  <c r="F117" i="45"/>
  <c r="F118" i="45"/>
  <c r="E18" i="41"/>
  <c r="G18" i="41"/>
  <c r="H18" i="41"/>
  <c r="I18" i="41"/>
  <c r="F19" i="41"/>
  <c r="G19" i="41"/>
  <c r="H19" i="41"/>
  <c r="I19" i="41"/>
  <c r="J19" i="41"/>
  <c r="K19" i="41"/>
  <c r="L19" i="41"/>
  <c r="C20" i="41"/>
  <c r="F20" i="41"/>
  <c r="G20" i="41"/>
  <c r="H20" i="41"/>
  <c r="I20" i="41"/>
  <c r="J20" i="41"/>
  <c r="K20" i="41"/>
  <c r="L20" i="41"/>
  <c r="F21" i="41"/>
  <c r="G21" i="41"/>
  <c r="H21" i="41"/>
  <c r="H24" i="41" s="1"/>
  <c r="H25" i="41" s="1"/>
  <c r="I21" i="41"/>
  <c r="J21" i="41"/>
  <c r="K21" i="41"/>
  <c r="L21" i="41"/>
  <c r="F22" i="41"/>
  <c r="F24" i="41" s="1"/>
  <c r="F25" i="41" s="1"/>
  <c r="G22" i="41"/>
  <c r="H22" i="41"/>
  <c r="I22" i="41"/>
  <c r="J22" i="41"/>
  <c r="K22" i="41"/>
  <c r="L22" i="41"/>
  <c r="L23" i="41"/>
  <c r="E24" i="41"/>
  <c r="E25" i="41"/>
  <c r="E26" i="41" s="1"/>
  <c r="P32" i="41"/>
  <c r="Q32" i="41"/>
  <c r="P33" i="41"/>
  <c r="Q33" i="41"/>
  <c r="O34" i="41"/>
  <c r="P34" i="41"/>
  <c r="Q34" i="41"/>
  <c r="O35" i="41"/>
  <c r="P35" i="41"/>
  <c r="Q35" i="41"/>
  <c r="E36" i="41"/>
  <c r="F37" i="41"/>
  <c r="G37" i="41"/>
  <c r="C38" i="41"/>
  <c r="F38" i="41" s="1"/>
  <c r="G38" i="41"/>
  <c r="H38" i="41" s="1"/>
  <c r="I38" i="41" s="1"/>
  <c r="J38" i="41" s="1"/>
  <c r="K38" i="41" s="1"/>
  <c r="L38" i="41" s="1"/>
  <c r="F39" i="41"/>
  <c r="G39" i="41"/>
  <c r="H39" i="41"/>
  <c r="I39" i="41"/>
  <c r="J39" i="41"/>
  <c r="K39" i="41"/>
  <c r="L39" i="41"/>
  <c r="F40" i="41"/>
  <c r="G40" i="41"/>
  <c r="H40" i="41"/>
  <c r="I40" i="41"/>
  <c r="J40" i="41"/>
  <c r="K40" i="41"/>
  <c r="L40" i="41"/>
  <c r="L41" i="41"/>
  <c r="E42" i="41"/>
  <c r="F42" i="41"/>
  <c r="F43" i="41" s="1"/>
  <c r="E43" i="41"/>
  <c r="E44" i="41" s="1"/>
  <c r="D15" i="40"/>
  <c r="E15" i="40"/>
  <c r="D16" i="40"/>
  <c r="E16" i="40"/>
  <c r="D17" i="40"/>
  <c r="D20" i="40" s="1"/>
  <c r="E17" i="40"/>
  <c r="D18" i="40"/>
  <c r="E18" i="40"/>
  <c r="D19" i="40"/>
  <c r="E19" i="40"/>
  <c r="C21" i="40"/>
  <c r="C23" i="40"/>
  <c r="C24" i="40" s="1"/>
  <c r="C26" i="40"/>
  <c r="E26" i="40"/>
  <c r="C28" i="40"/>
  <c r="C18" i="39"/>
  <c r="D18" i="39"/>
  <c r="E18" i="39"/>
  <c r="F18" i="39"/>
  <c r="G18" i="39"/>
  <c r="H18" i="39"/>
  <c r="I18" i="39"/>
  <c r="J18" i="39"/>
  <c r="C19" i="39"/>
  <c r="D19" i="39"/>
  <c r="D21" i="39" s="1"/>
  <c r="C20" i="39"/>
  <c r="D20" i="39"/>
  <c r="E20" i="39"/>
  <c r="E32" i="39" s="1"/>
  <c r="F20" i="39"/>
  <c r="G20" i="39"/>
  <c r="G32" i="39" s="1"/>
  <c r="H20" i="39"/>
  <c r="I20" i="39"/>
  <c r="I32" i="39" s="1"/>
  <c r="J20" i="39"/>
  <c r="C21" i="39"/>
  <c r="C29" i="39"/>
  <c r="D29" i="39"/>
  <c r="E29" i="39"/>
  <c r="F29" i="39"/>
  <c r="G29" i="39"/>
  <c r="H29" i="39"/>
  <c r="I29" i="39"/>
  <c r="J29" i="39"/>
  <c r="C30" i="39"/>
  <c r="D30" i="39"/>
  <c r="E30" i="39"/>
  <c r="F30" i="39"/>
  <c r="G30" i="39"/>
  <c r="H30" i="39"/>
  <c r="I30" i="39"/>
  <c r="J30" i="39"/>
  <c r="C31" i="39"/>
  <c r="D31" i="39"/>
  <c r="E31" i="39"/>
  <c r="C32" i="39"/>
  <c r="D32" i="39"/>
  <c r="D33" i="39" s="1"/>
  <c r="F32" i="39"/>
  <c r="H32" i="39"/>
  <c r="J32" i="39"/>
  <c r="C33" i="39"/>
  <c r="B14" i="37"/>
  <c r="B16" i="37"/>
  <c r="C14" i="37"/>
  <c r="C16" i="37"/>
  <c r="D14" i="37"/>
  <c r="C19" i="37"/>
  <c r="B25" i="37"/>
  <c r="B29" i="37" s="1"/>
  <c r="F26" i="37"/>
  <c r="C27" i="37"/>
  <c r="D27" i="37"/>
  <c r="E27" i="37"/>
  <c r="C28" i="37"/>
  <c r="B10" i="36"/>
  <c r="C10" i="36"/>
  <c r="B19" i="36"/>
  <c r="B20" i="36" s="1"/>
  <c r="B22" i="36"/>
  <c r="B30" i="36"/>
  <c r="C30" i="36"/>
  <c r="B43" i="36"/>
  <c r="C43" i="36"/>
  <c r="D43" i="36"/>
  <c r="E43" i="36"/>
  <c r="E44" i="36" s="1"/>
  <c r="F43" i="36"/>
  <c r="G43" i="36"/>
  <c r="G44" i="36" s="1"/>
  <c r="B44" i="36"/>
  <c r="C44" i="36"/>
  <c r="D44" i="36"/>
  <c r="F44" i="36"/>
  <c r="B46" i="36"/>
  <c r="C57" i="36"/>
  <c r="C62" i="36" s="1"/>
  <c r="D57" i="36"/>
  <c r="D62" i="36" s="1"/>
  <c r="C58" i="36"/>
  <c r="D58" i="36"/>
  <c r="C59" i="36"/>
  <c r="D59" i="36"/>
  <c r="C60" i="36"/>
  <c r="D60" i="36"/>
  <c r="C61" i="36"/>
  <c r="D61" i="36"/>
  <c r="C64" i="36"/>
  <c r="D64" i="36"/>
  <c r="C71" i="36"/>
  <c r="D71" i="36"/>
  <c r="C72" i="36"/>
  <c r="D72" i="36"/>
  <c r="C73" i="36"/>
  <c r="D73" i="36"/>
  <c r="C74" i="36"/>
  <c r="D74" i="36"/>
  <c r="C75" i="36"/>
  <c r="D75" i="36"/>
  <c r="B76" i="36"/>
  <c r="D76" i="36"/>
  <c r="B78" i="36"/>
  <c r="B77" i="36"/>
  <c r="B87" i="36"/>
  <c r="B94" i="36"/>
  <c r="B97" i="36"/>
  <c r="B98" i="36" s="1"/>
  <c r="C97" i="36"/>
  <c r="B99" i="36"/>
  <c r="C107" i="36"/>
  <c r="C108" i="36"/>
  <c r="C109" i="36"/>
  <c r="C110" i="36"/>
  <c r="B111" i="36"/>
  <c r="C112" i="36"/>
  <c r="C114" i="36" s="1"/>
  <c r="D116" i="36" s="1"/>
  <c r="C116" i="36"/>
  <c r="C118" i="36" s="1"/>
  <c r="C124" i="36"/>
  <c r="C125" i="36" s="1"/>
  <c r="D124" i="36"/>
  <c r="C126" i="36"/>
  <c r="B135" i="36"/>
  <c r="B143" i="36" s="1"/>
  <c r="C135" i="36"/>
  <c r="E137" i="36"/>
  <c r="B138" i="36"/>
  <c r="C138" i="36"/>
  <c r="E138" i="36"/>
  <c r="E139" i="36"/>
  <c r="C143" i="36"/>
  <c r="B154" i="36"/>
  <c r="C154" i="36"/>
  <c r="B155" i="36"/>
  <c r="B156" i="36" s="1"/>
  <c r="B170" i="36"/>
  <c r="B174" i="36" s="1"/>
  <c r="B173" i="36"/>
  <c r="B189" i="36"/>
  <c r="B190" i="36"/>
  <c r="B191" i="36" s="1"/>
  <c r="B194" i="36"/>
  <c r="B195" i="36"/>
  <c r="B196" i="36" s="1"/>
  <c r="C42" i="33"/>
  <c r="C46" i="32"/>
  <c r="K17" i="29"/>
  <c r="K23" i="29" s="1"/>
  <c r="M17" i="29"/>
  <c r="N17" i="29" s="1"/>
  <c r="O17" i="29"/>
  <c r="P17" i="29" s="1"/>
  <c r="L18" i="29"/>
  <c r="M18" i="29"/>
  <c r="N18" i="29"/>
  <c r="O18" i="29"/>
  <c r="P18" i="29"/>
  <c r="Q18" i="29"/>
  <c r="R18" i="29"/>
  <c r="I19" i="29"/>
  <c r="M20" i="29"/>
  <c r="M21" i="29"/>
  <c r="L19" i="29"/>
  <c r="L20" i="29"/>
  <c r="L21" i="29"/>
  <c r="N20" i="29"/>
  <c r="N21" i="29"/>
  <c r="P19" i="29"/>
  <c r="P20" i="29"/>
  <c r="P21" i="29"/>
  <c r="R19" i="29"/>
  <c r="R20" i="29"/>
  <c r="R21" i="29"/>
  <c r="R22" i="29"/>
  <c r="O20" i="29"/>
  <c r="Q20" i="29"/>
  <c r="O21" i="29"/>
  <c r="Q21" i="29"/>
  <c r="K35" i="29"/>
  <c r="L36" i="29"/>
  <c r="M36" i="29"/>
  <c r="I37" i="29"/>
  <c r="L37" i="29"/>
  <c r="L38" i="29"/>
  <c r="M38" i="29"/>
  <c r="N38" i="29"/>
  <c r="O38" i="29"/>
  <c r="P38" i="29"/>
  <c r="Q38" i="29"/>
  <c r="R38" i="29"/>
  <c r="L39" i="29"/>
  <c r="M39" i="29"/>
  <c r="N39" i="29"/>
  <c r="O39" i="29"/>
  <c r="P39" i="29"/>
  <c r="Q39" i="29"/>
  <c r="R39" i="29"/>
  <c r="R40" i="29"/>
  <c r="K41" i="29"/>
  <c r="K42" i="29" s="1"/>
  <c r="K43" i="29" s="1"/>
  <c r="D32" i="28"/>
  <c r="D38" i="28"/>
  <c r="E38" i="28"/>
  <c r="D39" i="28"/>
  <c r="E39" i="28" s="1"/>
  <c r="D40" i="28"/>
  <c r="D49" i="28"/>
  <c r="E49" i="28"/>
  <c r="D57" i="28"/>
  <c r="E57" i="28"/>
  <c r="D78" i="28"/>
  <c r="D79" i="28"/>
  <c r="F85" i="28"/>
  <c r="G85" i="28"/>
  <c r="F86" i="28"/>
  <c r="G104" i="28"/>
  <c r="G105" i="28"/>
  <c r="G106" i="28" s="1"/>
  <c r="G107" i="28" s="1"/>
  <c r="F110" i="28"/>
  <c r="F111" i="28" s="1"/>
  <c r="D25" i="27"/>
  <c r="D26" i="27" s="1"/>
  <c r="C22" i="25"/>
  <c r="C23" i="25"/>
  <c r="D24" i="24"/>
  <c r="I30" i="24"/>
  <c r="F40" i="24" s="1"/>
  <c r="D34" i="24"/>
  <c r="D39" i="24" s="1"/>
  <c r="C37" i="24"/>
  <c r="D38" i="24"/>
  <c r="E38" i="24"/>
  <c r="F38" i="24"/>
  <c r="G38" i="24"/>
  <c r="F39" i="24"/>
  <c r="D40" i="24"/>
  <c r="E40" i="24"/>
  <c r="G40" i="24"/>
  <c r="C42" i="24"/>
  <c r="C53" i="24"/>
  <c r="D54" i="24"/>
  <c r="E54" i="24"/>
  <c r="F54" i="24"/>
  <c r="G54" i="24"/>
  <c r="D55" i="24"/>
  <c r="E55" i="24"/>
  <c r="F55" i="24"/>
  <c r="F58" i="24" s="1"/>
  <c r="G55" i="24"/>
  <c r="D56" i="24"/>
  <c r="F56" i="24"/>
  <c r="G56" i="24"/>
  <c r="C58" i="24"/>
  <c r="D58" i="24"/>
  <c r="G58" i="24"/>
  <c r="C74" i="24"/>
  <c r="C79" i="24" s="1"/>
  <c r="D75" i="24"/>
  <c r="E75" i="24"/>
  <c r="F75" i="24"/>
  <c r="G75" i="24"/>
  <c r="D76" i="24"/>
  <c r="E76" i="24"/>
  <c r="E79" i="24" s="1"/>
  <c r="F76" i="24"/>
  <c r="G76" i="24"/>
  <c r="D77" i="24"/>
  <c r="E77" i="24" s="1"/>
  <c r="F77" i="24"/>
  <c r="G77" i="24" s="1"/>
  <c r="D79" i="24"/>
  <c r="C86" i="19"/>
  <c r="C87" i="19" s="1"/>
  <c r="C93" i="19" s="1"/>
  <c r="D86" i="19"/>
  <c r="D87" i="19" s="1"/>
  <c r="E86" i="19"/>
  <c r="C91" i="19"/>
  <c r="D91" i="19"/>
  <c r="D93" i="19"/>
  <c r="C98" i="19"/>
  <c r="D98" i="19"/>
  <c r="C99" i="19"/>
  <c r="D99" i="19"/>
  <c r="C103" i="19"/>
  <c r="C105" i="19" s="1"/>
  <c r="D103" i="19"/>
  <c r="D105" i="19"/>
  <c r="C109" i="19"/>
  <c r="D109" i="19"/>
  <c r="C110" i="19"/>
  <c r="D110" i="19"/>
  <c r="C34" i="18"/>
  <c r="D34" i="18"/>
  <c r="C35" i="18"/>
  <c r="D35" i="18"/>
  <c r="C36" i="18"/>
  <c r="D36" i="18"/>
  <c r="C37" i="18"/>
  <c r="D37" i="18"/>
  <c r="C38" i="18"/>
  <c r="D38" i="18"/>
  <c r="C39" i="18"/>
  <c r="D39" i="18"/>
  <c r="C47" i="18"/>
  <c r="C48" i="18"/>
  <c r="C49" i="18"/>
  <c r="C50" i="18"/>
  <c r="C51" i="18"/>
  <c r="C52" i="18"/>
  <c r="C26" i="17"/>
  <c r="D26" i="17"/>
  <c r="D29" i="17" s="1"/>
  <c r="E26" i="17"/>
  <c r="E29" i="17" s="1"/>
  <c r="F26" i="17"/>
  <c r="C29" i="17"/>
  <c r="F29" i="17"/>
  <c r="D48" i="15"/>
  <c r="F48" i="15"/>
  <c r="D51" i="15"/>
  <c r="D62" i="15"/>
  <c r="F62" i="15"/>
  <c r="F64" i="15"/>
  <c r="E25" i="14"/>
  <c r="G12" i="14"/>
  <c r="C20" i="14"/>
  <c r="G23" i="14"/>
  <c r="G25" i="14" s="1"/>
  <c r="I12" i="14" s="1"/>
  <c r="I19" i="14" s="1"/>
  <c r="G19" i="14"/>
  <c r="C54" i="14"/>
  <c r="D73" i="14" s="1"/>
  <c r="F57" i="14"/>
  <c r="F60" i="14" s="1"/>
  <c r="F69" i="14" s="1"/>
  <c r="C66" i="14"/>
  <c r="E73" i="14" s="1"/>
  <c r="D74" i="14"/>
  <c r="E74" i="14"/>
  <c r="C10" i="13"/>
  <c r="C14" i="13"/>
  <c r="C18" i="13"/>
  <c r="C21" i="13" s="1"/>
  <c r="B15" i="11"/>
  <c r="C15" i="11"/>
  <c r="D15" i="11" s="1"/>
  <c r="E15" i="11"/>
  <c r="B16" i="11"/>
  <c r="B25" i="11" s="1"/>
  <c r="C16" i="11"/>
  <c r="D16" i="11"/>
  <c r="E16" i="11"/>
  <c r="B17" i="11"/>
  <c r="C17" i="11"/>
  <c r="D17" i="11" s="1"/>
  <c r="E17" i="11"/>
  <c r="B18" i="11"/>
  <c r="C18" i="11"/>
  <c r="D18" i="11"/>
  <c r="D25" i="11" s="1"/>
  <c r="E18" i="11"/>
  <c r="B19" i="11"/>
  <c r="C19" i="11"/>
  <c r="D19" i="11" s="1"/>
  <c r="E19" i="11"/>
  <c r="B20" i="11"/>
  <c r="C20" i="11"/>
  <c r="D20" i="11"/>
  <c r="E20" i="11"/>
  <c r="B21" i="11"/>
  <c r="C21" i="11"/>
  <c r="D21" i="11" s="1"/>
  <c r="E21" i="11"/>
  <c r="B22" i="11"/>
  <c r="C22" i="11"/>
  <c r="D22" i="11"/>
  <c r="E22" i="11"/>
  <c r="C23" i="11"/>
  <c r="D23" i="11"/>
  <c r="E23" i="11"/>
  <c r="C24" i="11"/>
  <c r="D24" i="11"/>
  <c r="B30" i="11"/>
  <c r="C30" i="11"/>
  <c r="E30" i="11"/>
  <c r="E31" i="11" s="1"/>
  <c r="E32" i="11" s="1"/>
  <c r="E33" i="11" s="1"/>
  <c r="E34" i="11" s="1"/>
  <c r="E35" i="11" s="1"/>
  <c r="E36" i="11" s="1"/>
  <c r="E37" i="11" s="1"/>
  <c r="E38" i="11" s="1"/>
  <c r="C31" i="11"/>
  <c r="R18" i="9"/>
  <c r="P29" i="9"/>
  <c r="S29" i="9" s="1"/>
  <c r="O19" i="9"/>
  <c r="Q20" i="9"/>
  <c r="Q21" i="9"/>
  <c r="Q22" i="9"/>
  <c r="Q23" i="9"/>
  <c r="Q24" i="9"/>
  <c r="Q25" i="9"/>
  <c r="Q26" i="9"/>
  <c r="P28" i="9"/>
  <c r="S27" i="9"/>
  <c r="S42" i="9" s="1"/>
  <c r="S30" i="9"/>
  <c r="O31" i="9"/>
  <c r="S31" i="9" s="1"/>
  <c r="S33" i="9"/>
  <c r="O34" i="9"/>
  <c r="T34" i="9" s="1"/>
  <c r="P35" i="9"/>
  <c r="P42" i="9" s="1"/>
  <c r="T36" i="9"/>
  <c r="T37" i="9"/>
  <c r="B38" i="9"/>
  <c r="D38" i="9"/>
  <c r="G38" i="9"/>
  <c r="P38" i="9"/>
  <c r="O39" i="9"/>
  <c r="O40" i="9"/>
  <c r="T40" i="9" s="1"/>
  <c r="P40" i="9"/>
  <c r="T41" i="9"/>
  <c r="R42" i="9"/>
  <c r="D77" i="9"/>
  <c r="H57" i="6"/>
  <c r="H58" i="6"/>
  <c r="H59" i="6"/>
  <c r="H60" i="6"/>
  <c r="F69" i="6"/>
  <c r="F114" i="6"/>
  <c r="H114" i="6"/>
  <c r="B26" i="5"/>
  <c r="C26" i="5"/>
  <c r="F26" i="5"/>
  <c r="G26" i="5"/>
  <c r="B43" i="5"/>
  <c r="I43" i="5"/>
  <c r="F45" i="5"/>
  <c r="B48" i="4"/>
  <c r="C48" i="4"/>
  <c r="C56" i="4" s="1"/>
  <c r="D48" i="4"/>
  <c r="B49" i="4"/>
  <c r="C49" i="4"/>
  <c r="C57" i="4" s="1"/>
  <c r="D49" i="4"/>
  <c r="B50" i="4"/>
  <c r="B58" i="4" s="1"/>
  <c r="C50" i="4"/>
  <c r="C58" i="4" s="1"/>
  <c r="D50" i="4"/>
  <c r="B51" i="4"/>
  <c r="B59" i="4" s="1"/>
  <c r="C51" i="4"/>
  <c r="D51" i="4"/>
  <c r="B52" i="4"/>
  <c r="B60" i="4" s="1"/>
  <c r="C52" i="4"/>
  <c r="D52" i="4"/>
  <c r="D60" i="4" s="1"/>
  <c r="B56" i="4"/>
  <c r="D56" i="4"/>
  <c r="B57" i="4"/>
  <c r="D57" i="4"/>
  <c r="D58" i="4"/>
  <c r="D59" i="4"/>
  <c r="C60" i="4"/>
  <c r="C48" i="3"/>
  <c r="C56" i="3" s="1"/>
  <c r="D48" i="3"/>
  <c r="D56" i="3" s="1"/>
  <c r="E48" i="3"/>
  <c r="C49" i="3"/>
  <c r="C57" i="3" s="1"/>
  <c r="D49" i="3"/>
  <c r="D57" i="3" s="1"/>
  <c r="E49" i="3"/>
  <c r="C50" i="3"/>
  <c r="C58" i="3" s="1"/>
  <c r="D50" i="3"/>
  <c r="E50" i="3"/>
  <c r="C51" i="3"/>
  <c r="C59" i="3" s="1"/>
  <c r="D51" i="3"/>
  <c r="E51" i="3"/>
  <c r="C52" i="3"/>
  <c r="D60" i="3" s="1"/>
  <c r="D52" i="3"/>
  <c r="E52" i="3"/>
  <c r="E56" i="3"/>
  <c r="E57" i="3"/>
  <c r="C60" i="3"/>
  <c r="B27" i="2"/>
  <c r="C27" i="2"/>
  <c r="F27" i="2"/>
  <c r="G27" i="2"/>
  <c r="B41" i="2"/>
  <c r="B42" i="2"/>
  <c r="M37" i="29"/>
  <c r="N37" i="29" s="1"/>
  <c r="O37" i="29" s="1"/>
  <c r="P37" i="29" s="1"/>
  <c r="Q37" i="29" s="1"/>
  <c r="R37" i="29" s="1"/>
  <c r="E43" i="76"/>
  <c r="D51" i="76"/>
  <c r="E61" i="63"/>
  <c r="D62" i="63" s="1"/>
  <c r="F61" i="63"/>
  <c r="J69" i="63" s="1"/>
  <c r="G63" i="63"/>
  <c r="F63" i="63"/>
  <c r="G61" i="63"/>
  <c r="D64" i="63" s="1"/>
  <c r="H72" i="63" s="1"/>
  <c r="G64" i="63"/>
  <c r="E55" i="63"/>
  <c r="F62" i="63"/>
  <c r="J70" i="63" s="1"/>
  <c r="J73" i="63" s="1"/>
  <c r="C55" i="63"/>
  <c r="D55" i="63"/>
  <c r="D61" i="63"/>
  <c r="H69" i="63" s="1"/>
  <c r="F56" i="63"/>
  <c r="F55" i="63"/>
  <c r="D43" i="76"/>
  <c r="G62" i="63"/>
  <c r="E62" i="63"/>
  <c r="I70" i="63" s="1"/>
  <c r="C56" i="63"/>
  <c r="D56" i="63"/>
  <c r="E56" i="63"/>
  <c r="K70" i="63"/>
  <c r="E64" i="63"/>
  <c r="I72" i="63" s="1"/>
  <c r="D64" i="76"/>
  <c r="E64" i="76" s="1"/>
  <c r="D66" i="76"/>
  <c r="E66" i="76" s="1"/>
  <c r="D63" i="63"/>
  <c r="H71" i="63" s="1"/>
  <c r="F64" i="63"/>
  <c r="J72" i="63" s="1"/>
  <c r="H70" i="63"/>
  <c r="J71" i="63"/>
  <c r="K69" i="63"/>
  <c r="K71" i="63"/>
  <c r="K72" i="63"/>
  <c r="G12" i="84"/>
  <c r="E66" i="84" s="1"/>
  <c r="E67" i="84"/>
  <c r="E65" i="84"/>
  <c r="E64" i="84"/>
  <c r="E62" i="84"/>
  <c r="E61" i="84"/>
  <c r="E58" i="84"/>
  <c r="E57" i="84"/>
  <c r="E54" i="84"/>
  <c r="E53" i="84"/>
  <c r="E51" i="84"/>
  <c r="E50" i="84"/>
  <c r="E48" i="84"/>
  <c r="E46" i="84"/>
  <c r="E40" i="84"/>
  <c r="D40" i="84" s="1"/>
  <c r="F12" i="84"/>
  <c r="G10" i="90"/>
  <c r="E60" i="90"/>
  <c r="E57" i="90"/>
  <c r="E56" i="90"/>
  <c r="E49" i="90"/>
  <c r="E47" i="90"/>
  <c r="E46" i="90"/>
  <c r="F10" i="90"/>
  <c r="Q17" i="29" l="1"/>
  <c r="P23" i="29"/>
  <c r="P24" i="29" s="1"/>
  <c r="H73" i="63"/>
  <c r="E66" i="90"/>
  <c r="E58" i="90"/>
  <c r="E50" i="90"/>
  <c r="E42" i="90"/>
  <c r="E63" i="90"/>
  <c r="E55" i="90"/>
  <c r="I69" i="63"/>
  <c r="E63" i="63"/>
  <c r="I71" i="63" s="1"/>
  <c r="E60" i="3"/>
  <c r="C32" i="11"/>
  <c r="G79" i="24"/>
  <c r="D28" i="37"/>
  <c r="C29" i="37"/>
  <c r="C30" i="37" s="1"/>
  <c r="E110" i="45"/>
  <c r="G110" i="45" s="1"/>
  <c r="C111" i="45" s="1"/>
  <c r="E48" i="90"/>
  <c r="E59" i="90"/>
  <c r="K73" i="63"/>
  <c r="C59" i="4"/>
  <c r="F79" i="24"/>
  <c r="C80" i="24" s="1"/>
  <c r="D42" i="24"/>
  <c r="C127" i="36"/>
  <c r="C76" i="36"/>
  <c r="F27" i="37"/>
  <c r="D110" i="45"/>
  <c r="M39" i="47"/>
  <c r="N44" i="47"/>
  <c r="Q19" i="9"/>
  <c r="Q42" i="9" s="1"/>
  <c r="R43" i="9" s="1"/>
  <c r="O42" i="9"/>
  <c r="L23" i="29"/>
  <c r="L24" i="29" s="1"/>
  <c r="K24" i="29"/>
  <c r="K25" i="29" s="1"/>
  <c r="C119" i="36"/>
  <c r="C120" i="36"/>
  <c r="B70" i="47"/>
  <c r="E38" i="90"/>
  <c r="D38" i="90" s="1"/>
  <c r="E51" i="90"/>
  <c r="E61" i="90"/>
  <c r="E45" i="84"/>
  <c r="E56" i="84"/>
  <c r="D59" i="3"/>
  <c r="E59" i="3"/>
  <c r="H62" i="6"/>
  <c r="D30" i="11"/>
  <c r="B31" i="11"/>
  <c r="F42" i="24"/>
  <c r="K40" i="47"/>
  <c r="L39" i="47"/>
  <c r="E43" i="90"/>
  <c r="E52" i="90"/>
  <c r="E62" i="90"/>
  <c r="D58" i="3"/>
  <c r="E25" i="11"/>
  <c r="F31" i="39"/>
  <c r="E33" i="39"/>
  <c r="E20" i="40"/>
  <c r="D65" i="47"/>
  <c r="E64" i="47"/>
  <c r="G64" i="47" s="1"/>
  <c r="L28" i="59"/>
  <c r="M28" i="59"/>
  <c r="O17" i="59"/>
  <c r="E44" i="90"/>
  <c r="E53" i="90"/>
  <c r="E64" i="90"/>
  <c r="E63" i="84"/>
  <c r="E55" i="84"/>
  <c r="E47" i="84"/>
  <c r="E68" i="84"/>
  <c r="E60" i="84"/>
  <c r="E52" i="84"/>
  <c r="E44" i="84"/>
  <c r="T42" i="9"/>
  <c r="E40" i="11"/>
  <c r="C25" i="11"/>
  <c r="N36" i="29"/>
  <c r="M41" i="29"/>
  <c r="M42" i="29" s="1"/>
  <c r="M43" i="29" s="1"/>
  <c r="B45" i="36"/>
  <c r="B30" i="37"/>
  <c r="C30" i="54"/>
  <c r="D29" i="54"/>
  <c r="F29" i="54" s="1"/>
  <c r="J55" i="63"/>
  <c r="J56" i="63" s="1"/>
  <c r="E45" i="90"/>
  <c r="E54" i="90"/>
  <c r="E65" i="90"/>
  <c r="E49" i="84"/>
  <c r="E59" i="84"/>
  <c r="E58" i="3"/>
  <c r="L41" i="29"/>
  <c r="L42" i="29" s="1"/>
  <c r="L43" i="29" s="1"/>
  <c r="O19" i="29"/>
  <c r="O23" i="29" s="1"/>
  <c r="O24" i="29" s="1"/>
  <c r="M19" i="29"/>
  <c r="M23" i="29" s="1"/>
  <c r="N19" i="29"/>
  <c r="N23" i="29" s="1"/>
  <c r="N24" i="29" s="1"/>
  <c r="Q19" i="29"/>
  <c r="F44" i="41"/>
  <c r="D55" i="47"/>
  <c r="G24" i="41"/>
  <c r="G25" i="41" s="1"/>
  <c r="G26" i="41" s="1"/>
  <c r="H26" i="41" s="1"/>
  <c r="F26" i="45"/>
  <c r="G26" i="45"/>
  <c r="I103" i="47"/>
  <c r="G35" i="50"/>
  <c r="T126" i="76"/>
  <c r="T128" i="76"/>
  <c r="T129" i="76"/>
  <c r="T127" i="76"/>
  <c r="G39" i="24"/>
  <c r="G42" i="24" s="1"/>
  <c r="E19" i="39"/>
  <c r="G42" i="41"/>
  <c r="G43" i="41" s="1"/>
  <c r="G44" i="41" s="1"/>
  <c r="H37" i="41"/>
  <c r="G107" i="47"/>
  <c r="L29" i="47"/>
  <c r="N29" i="47" s="1"/>
  <c r="D45" i="54"/>
  <c r="F45" i="54" s="1"/>
  <c r="C46" i="54"/>
  <c r="I107" i="47"/>
  <c r="L30" i="47"/>
  <c r="N30" i="47" s="1"/>
  <c r="K31" i="47"/>
  <c r="I80" i="75"/>
  <c r="I81" i="75" s="1"/>
  <c r="I82" i="75" s="1"/>
  <c r="C62" i="45"/>
  <c r="C63" i="45"/>
  <c r="C66" i="45"/>
  <c r="C67" i="45" s="1"/>
  <c r="C96" i="45"/>
  <c r="F102" i="45"/>
  <c r="F96" i="45"/>
  <c r="F104" i="45"/>
  <c r="F101" i="45"/>
  <c r="F103" i="45"/>
  <c r="E39" i="24"/>
  <c r="E42" i="24" s="1"/>
  <c r="F26" i="41"/>
  <c r="J18" i="41"/>
  <c r="I24" i="41"/>
  <c r="I25" i="41" s="1"/>
  <c r="H55" i="63"/>
  <c r="H56" i="63" s="1"/>
  <c r="E56" i="24"/>
  <c r="E58" i="24" s="1"/>
  <c r="C59" i="24" s="1"/>
  <c r="B30" i="40"/>
  <c r="F99" i="45"/>
  <c r="I87" i="47"/>
  <c r="J80" i="75"/>
  <c r="J81" i="75" s="1"/>
  <c r="J82" i="75" s="1"/>
  <c r="E39" i="11"/>
  <c r="G37" i="45"/>
  <c r="G38" i="45"/>
  <c r="G40" i="45" s="1"/>
  <c r="G42" i="45" s="1"/>
  <c r="I80" i="47"/>
  <c r="I91" i="47" s="1"/>
  <c r="N24" i="47"/>
  <c r="O24" i="47"/>
  <c r="G47" i="59"/>
  <c r="G91" i="63"/>
  <c r="D36" i="50"/>
  <c r="I53" i="63"/>
  <c r="I49" i="63"/>
  <c r="I45" i="63"/>
  <c r="I41" i="63"/>
  <c r="I55" i="63" s="1"/>
  <c r="I56" i="63" s="1"/>
  <c r="N33" i="63"/>
  <c r="N34" i="63"/>
  <c r="N35" i="63"/>
  <c r="N36" i="63"/>
  <c r="N37" i="63"/>
  <c r="N38" i="63"/>
  <c r="N39" i="63"/>
  <c r="N40" i="63"/>
  <c r="N41" i="63"/>
  <c r="N42" i="63"/>
  <c r="N43" i="63"/>
  <c r="N44" i="63"/>
  <c r="N45" i="63"/>
  <c r="N46" i="63"/>
  <c r="N47" i="63"/>
  <c r="N48" i="63"/>
  <c r="N49" i="63"/>
  <c r="N50" i="63"/>
  <c r="N51" i="63"/>
  <c r="N52" i="63"/>
  <c r="N53" i="63"/>
  <c r="L18" i="67"/>
  <c r="C32" i="49"/>
  <c r="F35" i="51"/>
  <c r="D36" i="51" s="1"/>
  <c r="M33" i="63"/>
  <c r="M34" i="63"/>
  <c r="M35" i="63"/>
  <c r="M36" i="63"/>
  <c r="M37" i="63"/>
  <c r="M38" i="63"/>
  <c r="M39" i="63"/>
  <c r="M40" i="63"/>
  <c r="M41" i="63"/>
  <c r="M42" i="63"/>
  <c r="M43" i="63"/>
  <c r="M44" i="63"/>
  <c r="M45" i="63"/>
  <c r="M46" i="63"/>
  <c r="M47" i="63"/>
  <c r="M48" i="63"/>
  <c r="M49" i="63"/>
  <c r="M50" i="63"/>
  <c r="M51" i="63"/>
  <c r="M52" i="63"/>
  <c r="M53" i="63"/>
  <c r="K30" i="75"/>
  <c r="S23" i="75"/>
  <c r="T23" i="75"/>
  <c r="Q23" i="75"/>
  <c r="M30" i="75"/>
  <c r="K29" i="75"/>
  <c r="I30" i="75"/>
  <c r="M33" i="75"/>
  <c r="K34" i="75"/>
  <c r="L55" i="63"/>
  <c r="G24" i="76"/>
  <c r="G20" i="76"/>
  <c r="G16" i="76"/>
  <c r="G12" i="76"/>
  <c r="D38" i="79"/>
  <c r="D42" i="79" s="1"/>
  <c r="Y114" i="76"/>
  <c r="G23" i="76"/>
  <c r="G19" i="76"/>
  <c r="G15" i="76"/>
  <c r="G26" i="76"/>
  <c r="G22" i="76"/>
  <c r="G18" i="76"/>
  <c r="G14" i="76"/>
  <c r="G38" i="79"/>
  <c r="G42" i="79" s="1"/>
  <c r="D55" i="76"/>
  <c r="G25" i="76"/>
  <c r="G21" i="76"/>
  <c r="G17" i="76"/>
  <c r="M24" i="29" l="1"/>
  <c r="D111" i="45"/>
  <c r="E111" i="45" s="1"/>
  <c r="G111" i="45" s="1"/>
  <c r="C112" i="45" s="1"/>
  <c r="D33" i="49"/>
  <c r="F33" i="49" s="1"/>
  <c r="C33" i="49"/>
  <c r="C31" i="54"/>
  <c r="D30" i="54"/>
  <c r="F30" i="54" s="1"/>
  <c r="K33" i="75"/>
  <c r="E47" i="75" s="1"/>
  <c r="I46" i="75"/>
  <c r="L21" i="67"/>
  <c r="L19" i="67"/>
  <c r="I37" i="41"/>
  <c r="H42" i="41"/>
  <c r="H43" i="41" s="1"/>
  <c r="H44" i="41" s="1"/>
  <c r="T130" i="76"/>
  <c r="U128" i="76" s="1"/>
  <c r="B32" i="11"/>
  <c r="D31" i="11"/>
  <c r="I26" i="41"/>
  <c r="C70" i="63" a="1"/>
  <c r="C70" i="63" s="1"/>
  <c r="C71" i="63" s="1"/>
  <c r="D66" i="47"/>
  <c r="E65" i="47"/>
  <c r="G65" i="47" s="1"/>
  <c r="C43" i="24"/>
  <c r="E28" i="37"/>
  <c r="D29" i="37"/>
  <c r="D30" i="37" s="1"/>
  <c r="H37" i="45"/>
  <c r="H38" i="45"/>
  <c r="H40" i="45" s="1"/>
  <c r="H42" i="45" s="1"/>
  <c r="K18" i="41"/>
  <c r="J24" i="41"/>
  <c r="J25" i="41" s="1"/>
  <c r="J26" i="41" s="1"/>
  <c r="F19" i="39"/>
  <c r="E21" i="39"/>
  <c r="B31" i="37"/>
  <c r="C31" i="37" s="1"/>
  <c r="D31" i="37" s="1"/>
  <c r="L25" i="29"/>
  <c r="E36" i="50"/>
  <c r="G36" i="50" s="1"/>
  <c r="D37" i="50"/>
  <c r="I73" i="63"/>
  <c r="L73" i="63" s="1"/>
  <c r="Q25" i="75" a="1"/>
  <c r="Q25" i="75" s="1"/>
  <c r="Q24" i="75" a="1"/>
  <c r="Q24" i="75" s="1"/>
  <c r="S24" i="75" s="1"/>
  <c r="D46" i="54"/>
  <c r="F46" i="54" s="1"/>
  <c r="C47" i="54"/>
  <c r="O27" i="59"/>
  <c r="L29" i="59"/>
  <c r="M29" i="59"/>
  <c r="F33" i="39"/>
  <c r="G31" i="39"/>
  <c r="L40" i="47"/>
  <c r="M40" i="47" s="1"/>
  <c r="K41" i="47"/>
  <c r="C33" i="11"/>
  <c r="Y115" i="76"/>
  <c r="Z113" i="76" s="1"/>
  <c r="M55" i="63"/>
  <c r="D96" i="45"/>
  <c r="E96" i="45" s="1"/>
  <c r="G96" i="45" s="1"/>
  <c r="C97" i="45" s="1"/>
  <c r="U127" i="76"/>
  <c r="G30" i="45"/>
  <c r="G27" i="45"/>
  <c r="N41" i="29"/>
  <c r="N42" i="29" s="1"/>
  <c r="N43" i="29" s="1"/>
  <c r="O36" i="29"/>
  <c r="G27" i="76"/>
  <c r="G28" i="76" s="1"/>
  <c r="E36" i="51"/>
  <c r="F36" i="51" s="1"/>
  <c r="D37" i="51" s="1"/>
  <c r="N55" i="63"/>
  <c r="K32" i="47"/>
  <c r="L31" i="47"/>
  <c r="N31" i="47" s="1"/>
  <c r="U129" i="76"/>
  <c r="H29" i="45"/>
  <c r="J29" i="45"/>
  <c r="L29" i="45"/>
  <c r="N29" i="45"/>
  <c r="P29" i="45"/>
  <c r="I29" i="45"/>
  <c r="M29" i="45"/>
  <c r="G29" i="45"/>
  <c r="K29" i="45"/>
  <c r="O29" i="45"/>
  <c r="T43" i="9"/>
  <c r="R17" i="29"/>
  <c r="R23" i="29" s="1"/>
  <c r="R24" i="29" s="1"/>
  <c r="Q23" i="29"/>
  <c r="Q24" i="29" s="1"/>
  <c r="D97" i="45" l="1"/>
  <c r="E97" i="45" s="1"/>
  <c r="G97" i="45" s="1"/>
  <c r="C98" i="45" s="1"/>
  <c r="E37" i="51"/>
  <c r="F37" i="51" s="1"/>
  <c r="D38" i="51" s="1"/>
  <c r="C39" i="11"/>
  <c r="N34" i="47"/>
  <c r="D112" i="45"/>
  <c r="E112" i="45" s="1"/>
  <c r="G112" i="45" s="1"/>
  <c r="C113" i="45" s="1"/>
  <c r="D47" i="54"/>
  <c r="F47" i="54" s="1"/>
  <c r="C48" i="54"/>
  <c r="E66" i="47"/>
  <c r="G66" i="47" s="1"/>
  <c r="D67" i="47"/>
  <c r="D34" i="49"/>
  <c r="F34" i="49" s="1"/>
  <c r="F36" i="49" s="1"/>
  <c r="C34" i="49"/>
  <c r="D35" i="49" s="1"/>
  <c r="F35" i="49" s="1"/>
  <c r="G28" i="45"/>
  <c r="H26" i="45" s="1"/>
  <c r="G31" i="45"/>
  <c r="L41" i="47"/>
  <c r="M41" i="47" s="1"/>
  <c r="K42" i="47"/>
  <c r="I38" i="45"/>
  <c r="I40" i="45" s="1"/>
  <c r="I42" i="45" s="1"/>
  <c r="I37" i="45"/>
  <c r="D32" i="11"/>
  <c r="B33" i="11"/>
  <c r="L27" i="67"/>
  <c r="P36" i="29"/>
  <c r="O41" i="29"/>
  <c r="B32" i="37"/>
  <c r="B33" i="37" s="1"/>
  <c r="L32" i="47"/>
  <c r="N32" i="47" s="1"/>
  <c r="K33" i="47"/>
  <c r="L33" i="47" s="1"/>
  <c r="N33" i="47" s="1"/>
  <c r="H31" i="39"/>
  <c r="G33" i="39"/>
  <c r="E29" i="41"/>
  <c r="F21" i="39"/>
  <c r="G19" i="39"/>
  <c r="F28" i="37"/>
  <c r="F29" i="37" s="1"/>
  <c r="F30" i="37" s="1"/>
  <c r="E29" i="37"/>
  <c r="U126" i="76"/>
  <c r="U130" i="76" s="1"/>
  <c r="D38" i="50"/>
  <c r="E37" i="50"/>
  <c r="G37" i="50" s="1"/>
  <c r="E49" i="75"/>
  <c r="E57" i="75"/>
  <c r="E52" i="75"/>
  <c r="E56" i="75"/>
  <c r="E54" i="75"/>
  <c r="E59" i="75"/>
  <c r="E61" i="75"/>
  <c r="E60" i="75"/>
  <c r="E58" i="75"/>
  <c r="E55" i="75"/>
  <c r="E48" i="75"/>
  <c r="E62" i="75" s="1"/>
  <c r="E63" i="75" s="1"/>
  <c r="E64" i="75" s="1"/>
  <c r="E51" i="75"/>
  <c r="E50" i="75"/>
  <c r="E53" i="75"/>
  <c r="K28" i="29"/>
  <c r="I42" i="41"/>
  <c r="J37" i="41"/>
  <c r="K27" i="29"/>
  <c r="Z114" i="76"/>
  <c r="Z115" i="76" s="1"/>
  <c r="L18" i="41"/>
  <c r="L24" i="41" s="1"/>
  <c r="L25" i="41" s="1"/>
  <c r="L26" i="41" s="1"/>
  <c r="E27" i="41" s="1"/>
  <c r="E30" i="41" s="1"/>
  <c r="K24" i="41"/>
  <c r="K25" i="41" s="1"/>
  <c r="K26" i="41" s="1"/>
  <c r="C32" i="54"/>
  <c r="D31" i="54"/>
  <c r="F31" i="54" s="1"/>
  <c r="M25" i="29"/>
  <c r="N25" i="29" s="1"/>
  <c r="O25" i="29" s="1"/>
  <c r="P25" i="29" s="1"/>
  <c r="Q25" i="29" s="1"/>
  <c r="R25" i="29" s="1"/>
  <c r="K26" i="29" s="1"/>
  <c r="K29" i="29" s="1"/>
  <c r="C34" i="11"/>
  <c r="C35" i="11" s="1"/>
  <c r="C36" i="11" s="1"/>
  <c r="C37" i="11" s="1"/>
  <c r="C38" i="11" s="1"/>
  <c r="C40" i="11"/>
  <c r="L20" i="67"/>
  <c r="D98" i="45" l="1"/>
  <c r="E98" i="45" s="1"/>
  <c r="G98" i="45"/>
  <c r="C99" i="45" s="1"/>
  <c r="G113" i="45"/>
  <c r="C114" i="45" s="1"/>
  <c r="D113" i="45"/>
  <c r="E113" i="45" s="1"/>
  <c r="E38" i="51"/>
  <c r="F38" i="51" s="1"/>
  <c r="D39" i="51" s="1"/>
  <c r="J42" i="41"/>
  <c r="J43" i="41" s="1"/>
  <c r="K37" i="41"/>
  <c r="D48" i="54"/>
  <c r="F48" i="54" s="1"/>
  <c r="C49" i="54"/>
  <c r="O42" i="29"/>
  <c r="O43" i="29" s="1"/>
  <c r="E30" i="37"/>
  <c r="B34" i="37"/>
  <c r="E28" i="41"/>
  <c r="Q36" i="29"/>
  <c r="P41" i="29"/>
  <c r="P42" i="29" s="1"/>
  <c r="P43" i="29" s="1"/>
  <c r="D33" i="11"/>
  <c r="B34" i="11"/>
  <c r="I43" i="41"/>
  <c r="I44" i="41" s="1"/>
  <c r="H27" i="45"/>
  <c r="H28" i="45" s="1"/>
  <c r="I26" i="45" s="1"/>
  <c r="H30" i="45"/>
  <c r="H31" i="45" s="1"/>
  <c r="H19" i="39"/>
  <c r="G21" i="39"/>
  <c r="J37" i="45"/>
  <c r="J38" i="45"/>
  <c r="J40" i="45" s="1"/>
  <c r="J42" i="45" s="1"/>
  <c r="L42" i="47"/>
  <c r="M42" i="47" s="1"/>
  <c r="K43" i="47"/>
  <c r="L43" i="47" s="1"/>
  <c r="M43" i="47" s="1"/>
  <c r="C33" i="54"/>
  <c r="D32" i="54"/>
  <c r="F32" i="54" s="1"/>
  <c r="H33" i="39"/>
  <c r="I31" i="39"/>
  <c r="E38" i="50"/>
  <c r="G38" i="50" s="1"/>
  <c r="D39" i="50"/>
  <c r="E39" i="50" s="1"/>
  <c r="G39" i="50" s="1"/>
  <c r="G40" i="50" s="1"/>
  <c r="D68" i="47"/>
  <c r="E67" i="47"/>
  <c r="G67" i="47" s="1"/>
  <c r="L22" i="67"/>
  <c r="L34" i="67"/>
  <c r="L30" i="67"/>
  <c r="E39" i="51" l="1"/>
  <c r="F39" i="51" s="1"/>
  <c r="D40" i="51" s="1"/>
  <c r="E40" i="51" s="1"/>
  <c r="F40" i="51" s="1"/>
  <c r="I27" i="45"/>
  <c r="I28" i="45" s="1"/>
  <c r="I30" i="45"/>
  <c r="I31" i="45" s="1"/>
  <c r="J26" i="45"/>
  <c r="D69" i="47"/>
  <c r="E68" i="47"/>
  <c r="G68" i="47" s="1"/>
  <c r="L23" i="67"/>
  <c r="H21" i="39"/>
  <c r="I19" i="39"/>
  <c r="D34" i="11"/>
  <c r="B35" i="11"/>
  <c r="C34" i="54"/>
  <c r="D33" i="54"/>
  <c r="F33" i="54" s="1"/>
  <c r="L31" i="67"/>
  <c r="L33" i="67"/>
  <c r="Q41" i="29"/>
  <c r="Q42" i="29" s="1"/>
  <c r="Q43" i="29" s="1"/>
  <c r="R36" i="29"/>
  <c r="R41" i="29" s="1"/>
  <c r="R42" i="29" s="1"/>
  <c r="D99" i="45"/>
  <c r="E99" i="45" s="1"/>
  <c r="G99" i="45"/>
  <c r="C100" i="45" s="1"/>
  <c r="K42" i="41"/>
  <c r="L37" i="41"/>
  <c r="L42" i="41" s="1"/>
  <c r="L43" i="41" s="1"/>
  <c r="D49" i="54"/>
  <c r="F49" i="54" s="1"/>
  <c r="C50" i="54"/>
  <c r="J44" i="41"/>
  <c r="D114" i="45"/>
  <c r="E114" i="45" s="1"/>
  <c r="G114" i="45" s="1"/>
  <c r="C115" i="45" s="1"/>
  <c r="I33" i="39"/>
  <c r="J31" i="39"/>
  <c r="J33" i="39" s="1"/>
  <c r="K37" i="45"/>
  <c r="K38" i="45"/>
  <c r="K40" i="45" s="1"/>
  <c r="K42" i="45" s="1"/>
  <c r="G30" i="37"/>
  <c r="E31" i="37"/>
  <c r="G115" i="45" l="1"/>
  <c r="C116" i="45" s="1"/>
  <c r="D115" i="45"/>
  <c r="E115" i="45" s="1"/>
  <c r="J19" i="39"/>
  <c r="J21" i="39" s="1"/>
  <c r="I21" i="39"/>
  <c r="D100" i="45"/>
  <c r="E100" i="45" s="1"/>
  <c r="G100" i="45" s="1"/>
  <c r="C101" i="45" s="1"/>
  <c r="D34" i="54"/>
  <c r="F34" i="54" s="1"/>
  <c r="C35" i="54"/>
  <c r="D50" i="54"/>
  <c r="F50" i="54" s="1"/>
  <c r="C51" i="54"/>
  <c r="D70" i="47"/>
  <c r="E70" i="47" s="1"/>
  <c r="G70" i="47" s="1"/>
  <c r="G71" i="47" s="1"/>
  <c r="G72" i="47" s="1"/>
  <c r="E69" i="47"/>
  <c r="G69" i="47" s="1"/>
  <c r="L32" i="67"/>
  <c r="K26" i="45"/>
  <c r="J30" i="45"/>
  <c r="J31" i="45" s="1"/>
  <c r="J27" i="45"/>
  <c r="J28" i="45" s="1"/>
  <c r="K43" i="41"/>
  <c r="K44" i="41" s="1"/>
  <c r="L44" i="41" s="1"/>
  <c r="E45" i="41" s="1"/>
  <c r="E48" i="41" s="1"/>
  <c r="E47" i="41"/>
  <c r="E46" i="41"/>
  <c r="L24" i="67"/>
  <c r="B36" i="11"/>
  <c r="D35" i="11"/>
  <c r="L38" i="45"/>
  <c r="L40" i="45" s="1"/>
  <c r="L42" i="45" s="1"/>
  <c r="L37" i="45"/>
  <c r="C40" i="37"/>
  <c r="D40" i="37" s="1"/>
  <c r="F31" i="37"/>
  <c r="R43" i="29"/>
  <c r="K44" i="29" s="1"/>
  <c r="K47" i="29" s="1"/>
  <c r="K46" i="29"/>
  <c r="K45" i="29"/>
  <c r="D101" i="45" l="1"/>
  <c r="E101" i="45" s="1"/>
  <c r="G101" i="45"/>
  <c r="C102" i="45" s="1"/>
  <c r="K27" i="45"/>
  <c r="K28" i="45" s="1"/>
  <c r="K30" i="45"/>
  <c r="K31" i="45" s="1"/>
  <c r="L26" i="45"/>
  <c r="L25" i="67"/>
  <c r="M37" i="45"/>
  <c r="M38" i="45"/>
  <c r="M40" i="45" s="1"/>
  <c r="M42" i="45" s="1"/>
  <c r="C52" i="54"/>
  <c r="D52" i="54" s="1"/>
  <c r="F52" i="54" s="1"/>
  <c r="F53" i="54" s="1"/>
  <c r="D51" i="54"/>
  <c r="F51" i="54" s="1"/>
  <c r="D36" i="11"/>
  <c r="B37" i="11"/>
  <c r="C36" i="54"/>
  <c r="D35" i="54"/>
  <c r="F35" i="54" s="1"/>
  <c r="G116" i="45"/>
  <c r="C117" i="45" s="1"/>
  <c r="D116" i="45"/>
  <c r="E116" i="45" s="1"/>
  <c r="D36" i="54" l="1"/>
  <c r="F36" i="54" s="1"/>
  <c r="C37" i="54"/>
  <c r="D37" i="11"/>
  <c r="B38" i="11"/>
  <c r="N38" i="45"/>
  <c r="N40" i="45" s="1"/>
  <c r="N42" i="45" s="1"/>
  <c r="N37" i="45"/>
  <c r="L28" i="67"/>
  <c r="L26" i="67"/>
  <c r="L30" i="45"/>
  <c r="L31" i="45" s="1"/>
  <c r="L27" i="45"/>
  <c r="L28" i="45" s="1"/>
  <c r="M26" i="45" s="1"/>
  <c r="D102" i="45"/>
  <c r="E102" i="45" s="1"/>
  <c r="G102" i="45" s="1"/>
  <c r="C103" i="45" s="1"/>
  <c r="D117" i="45"/>
  <c r="E117" i="45" s="1"/>
  <c r="G117" i="45"/>
  <c r="C118" i="45" s="1"/>
  <c r="D103" i="45" l="1"/>
  <c r="E103" i="45" s="1"/>
  <c r="G103" i="45" s="1"/>
  <c r="C104" i="45" s="1"/>
  <c r="M27" i="45"/>
  <c r="M28" i="45" s="1"/>
  <c r="N26" i="45"/>
  <c r="M30" i="45"/>
  <c r="M31" i="45" s="1"/>
  <c r="D38" i="11"/>
  <c r="B39" i="11"/>
  <c r="D118" i="45"/>
  <c r="E118" i="45" s="1"/>
  <c r="G118" i="45" s="1"/>
  <c r="C38" i="54"/>
  <c r="D38" i="54" s="1"/>
  <c r="F38" i="54" s="1"/>
  <c r="F39" i="54" s="1"/>
  <c r="D37" i="54"/>
  <c r="F37" i="54" s="1"/>
  <c r="O37" i="45"/>
  <c r="P38" i="45" s="1"/>
  <c r="P40" i="45" s="1"/>
  <c r="P42" i="45" s="1"/>
  <c r="F46" i="45" s="1"/>
  <c r="F47" i="45" s="1"/>
  <c r="O38" i="45"/>
  <c r="O40" i="45" s="1"/>
  <c r="O42" i="45" s="1"/>
  <c r="L29" i="67"/>
  <c r="L35" i="67"/>
  <c r="D104" i="45" l="1"/>
  <c r="E104" i="45" s="1"/>
  <c r="G104" i="45" s="1"/>
  <c r="C105" i="45" s="1"/>
  <c r="L36" i="67"/>
  <c r="M29" i="67"/>
  <c r="N30" i="45"/>
  <c r="N31" i="45" s="1"/>
  <c r="N27" i="45"/>
  <c r="N28" i="45" s="1"/>
  <c r="O26" i="45" s="1"/>
  <c r="D39" i="11"/>
  <c r="D40" i="11" s="1"/>
  <c r="B40" i="11"/>
  <c r="O30" i="45" l="1"/>
  <c r="O31" i="45" s="1"/>
  <c r="O27" i="45"/>
  <c r="O28" i="45" s="1"/>
  <c r="P26" i="45"/>
  <c r="D105" i="45"/>
  <c r="E105" i="45" s="1"/>
  <c r="G105" i="45"/>
  <c r="M16" i="67"/>
  <c r="M17" i="67"/>
  <c r="M36" i="67"/>
  <c r="M18" i="67"/>
  <c r="M19" i="67"/>
  <c r="M21" i="67"/>
  <c r="M27" i="67"/>
  <c r="M20" i="67"/>
  <c r="M34" i="67"/>
  <c r="M22" i="67"/>
  <c r="M30" i="67"/>
  <c r="M31" i="67"/>
  <c r="M33" i="67"/>
  <c r="M23" i="67"/>
  <c r="M32" i="67"/>
  <c r="M24" i="67"/>
  <c r="M25" i="67"/>
  <c r="M26" i="67"/>
  <c r="M28" i="67"/>
  <c r="M35" i="67"/>
  <c r="P27" i="45" l="1"/>
  <c r="P28" i="45" s="1"/>
  <c r="P30" i="45"/>
  <c r="P31" i="45" s="1"/>
</calcChain>
</file>

<file path=xl/sharedStrings.xml><?xml version="1.0" encoding="utf-8"?>
<sst xmlns="http://schemas.openxmlformats.org/spreadsheetml/2006/main" count="4540" uniqueCount="3257">
  <si>
    <t>Afkastningsgrad - AG</t>
  </si>
  <si>
    <t>Nøgletal - alle nøgletal er angivet i % undtagen hastigheder</t>
  </si>
  <si>
    <t>AG = Resultat før renter/aktiver i alt</t>
  </si>
  <si>
    <t>Formel</t>
  </si>
  <si>
    <t>Intuition</t>
  </si>
  <si>
    <t>Definition</t>
  </si>
  <si>
    <t xml:space="preserve">Hvor meget overskud genererer virksomheden pr. Kr. </t>
  </si>
  <si>
    <t>samlede investeringer pr. Krone</t>
  </si>
  <si>
    <t>Afkastet til virksonhedens</t>
  </si>
  <si>
    <t>Eksempel</t>
  </si>
  <si>
    <t>eller</t>
  </si>
  <si>
    <t>return on assets - ROA</t>
  </si>
  <si>
    <t>finansiering - rente omkostninger er en del af indtjeningsevnen.</t>
  </si>
  <si>
    <t>Afgør hvor god virksomheden er til at generere afkast.</t>
  </si>
  <si>
    <t>kapital investeret.</t>
  </si>
  <si>
    <t>Renter ikke med</t>
  </si>
  <si>
    <t>Renter ikke med.</t>
  </si>
  <si>
    <t>AG - Eks</t>
  </si>
  <si>
    <t>Formler og forklaringer</t>
  </si>
  <si>
    <t>To virksomheder har følgende balance samt resultatopgørelse for et regnskabsår</t>
    <phoneticPr fontId="0" type="noConversion"/>
  </si>
  <si>
    <t>RESULTATOPGØRELSE</t>
    <phoneticPr fontId="0" type="noConversion"/>
  </si>
  <si>
    <t>VIRKSOMHED 1</t>
    <phoneticPr fontId="0" type="noConversion"/>
  </si>
  <si>
    <t>VIRKSOMHED 2</t>
    <phoneticPr fontId="0" type="noConversion"/>
  </si>
  <si>
    <t>Resultat før renter</t>
  </si>
  <si>
    <t>Renteomkostninger</t>
  </si>
  <si>
    <t>Resultat før skat</t>
  </si>
  <si>
    <t>BALANCE</t>
    <phoneticPr fontId="0" type="noConversion"/>
  </si>
  <si>
    <t>Egenkapital</t>
  </si>
  <si>
    <t>Gæld</t>
  </si>
  <si>
    <t>Passiver I alt</t>
  </si>
  <si>
    <t>Hvilken virksomhed har klaret sig bedst?</t>
    <phoneticPr fontId="0" type="noConversion"/>
  </si>
  <si>
    <t>(beregn ROA samt ROE)</t>
    <phoneticPr fontId="0" type="noConversion"/>
  </si>
  <si>
    <t>virk. 1.</t>
  </si>
  <si>
    <t>virk. 2.</t>
  </si>
  <si>
    <t>ROA - Return on assets</t>
  </si>
  <si>
    <t>ROE - Return on equity</t>
  </si>
  <si>
    <t>Renter er her med</t>
  </si>
  <si>
    <t>Virk. 1 og 2 er her lige gode til at generere afkast på deres investering</t>
  </si>
  <si>
    <t>Virk. 2 er her bedre til at forrente deres egenkapital, altså generere afkast på deres egenkapital(dette er grundet finansieringssammensætningen)</t>
  </si>
  <si>
    <t>Da ROA &lt; ROE for begge virksomheder tjener de begge penge på deres fremmedkapital</t>
  </si>
  <si>
    <t>investeret kapital. AG tager ikke højde for virksomhedens</t>
  </si>
  <si>
    <t>Overskudsgrad - OG</t>
  </si>
  <si>
    <t>Return on equty - ROE</t>
  </si>
  <si>
    <t>Excel formel</t>
  </si>
  <si>
    <t>Andelen af virksomhedens</t>
  </si>
  <si>
    <t>til overskudet</t>
  </si>
  <si>
    <t xml:space="preserve">indtægter, før renter, som går </t>
  </si>
  <si>
    <t>profitmargin</t>
  </si>
  <si>
    <t>Angiver hvor stor en del af virksomhedens salg som tilfalder</t>
  </si>
  <si>
    <t>investorerne i sidste ende.</t>
  </si>
  <si>
    <t>AG = OG*AOH</t>
  </si>
  <si>
    <t>En virksomhed har følgende regnskaber for 3 år:</t>
    <phoneticPr fontId="0" type="noConversion"/>
  </si>
  <si>
    <t>Find relevante nøgletal og vurder virksomhedens udvikling, rentabililtet, solvens samt soliditet.</t>
    <phoneticPr fontId="0" type="noConversion"/>
  </si>
  <si>
    <t>Resultatopgørelse i 1000DKK</t>
  </si>
  <si>
    <t>Nettoomsætning</t>
  </si>
  <si>
    <t>Var. Produktionsomk.</t>
  </si>
  <si>
    <t>Salgsprovision</t>
  </si>
  <si>
    <t>Dækningsbidrag</t>
  </si>
  <si>
    <t>Kontante kapacitetsomk.</t>
  </si>
  <si>
    <t>Indtjeningsbidrag</t>
  </si>
  <si>
    <t>Afskrivninger</t>
  </si>
  <si>
    <t>Renteomkostninger netto</t>
  </si>
  <si>
    <t>Skat af årets resultat</t>
  </si>
  <si>
    <t>Årets resultat</t>
  </si>
  <si>
    <t>Udbytte</t>
  </si>
  <si>
    <t>Henlæggelse til reserver</t>
  </si>
  <si>
    <t>Balance i 1000DKK</t>
  </si>
  <si>
    <t>Anlægsaktiver</t>
  </si>
  <si>
    <t>Omsætningsaktiver</t>
  </si>
  <si>
    <t>Aktiver i alt</t>
  </si>
  <si>
    <t>Aktiekapital</t>
  </si>
  <si>
    <t>Egenkapital i alt</t>
  </si>
  <si>
    <t>Passiver i alt</t>
  </si>
  <si>
    <t>Afkastningsgraden - AG</t>
  </si>
  <si>
    <t>Aktivernes omsætningshastighed - AOH</t>
  </si>
  <si>
    <t>Soliditetsgrad - SG</t>
  </si>
  <si>
    <t>Solvensgrad/likviditetsgrad</t>
  </si>
  <si>
    <t>Indeks</t>
  </si>
  <si>
    <t>OG - Eksempel</t>
  </si>
  <si>
    <t>Aktivernes</t>
  </si>
  <si>
    <t>omsætningshastighed - AOH</t>
  </si>
  <si>
    <t>OG = Resultat før renter/omsætning(indtægter)</t>
  </si>
  <si>
    <t>AOH = Omsætning(indtægter)/aktiver</t>
  </si>
  <si>
    <t>Virksomhedens evne til at genererer</t>
  </si>
  <si>
    <t>Mål for virksomhedens kapitalbinding.</t>
  </si>
  <si>
    <t>Et vigtigt profitibilitetsmål - angiver en virksomheds</t>
  </si>
  <si>
    <t>evne til at generere salg og indtægter med en given kapital.</t>
  </si>
  <si>
    <t>Indtægter = omsætning = varesalg</t>
  </si>
  <si>
    <t>AOH - Eksempel</t>
  </si>
  <si>
    <t>indtægter pr. Kr. kapital investeret.</t>
  </si>
  <si>
    <t>Angives ikke i %, da dette er en</t>
  </si>
  <si>
    <t>hastighed.</t>
  </si>
  <si>
    <t>EKF = Resultatet/Egenkapitalen</t>
  </si>
  <si>
    <t>Egenkapitalens forrentning - EKF</t>
  </si>
  <si>
    <t xml:space="preserve">Måler afkastet til egenkapitalen </t>
  </si>
  <si>
    <t>Det regnskabsmæssige mål for forrentning af investorernes</t>
  </si>
  <si>
    <t>Rente er med.</t>
  </si>
  <si>
    <t>Kun resultatet efter skat og rentebetalinger tilfalder ejere</t>
  </si>
  <si>
    <t>EKF - Eksempel</t>
  </si>
  <si>
    <t>af egenkapitalen.</t>
  </si>
  <si>
    <t xml:space="preserve">Tilgodehavenders </t>
  </si>
  <si>
    <t>omsætningshastighed - TOH</t>
  </si>
  <si>
    <t>TOH = Kreditsalg/Tilgodehavender</t>
  </si>
  <si>
    <t>Angiver et gennemsnit for hvor stor</t>
  </si>
  <si>
    <t>en andel af tilgodehavender der</t>
  </si>
  <si>
    <t>indløses i løbet af et år.</t>
  </si>
  <si>
    <t>Varelagerets</t>
  </si>
  <si>
    <t>omsætningshastighed - LOH</t>
  </si>
  <si>
    <t>LOH = Vareforbrug/varelager</t>
  </si>
  <si>
    <t xml:space="preserve">Angiver hvor mange gange </t>
  </si>
  <si>
    <t>varelageret omsættes i løbet af et år</t>
  </si>
  <si>
    <t>Omsætningshastigheder - siger noget om hvor meget kapital der i gennemsnit er</t>
  </si>
  <si>
    <t xml:space="preserve"> bundet i varelagre, driftsaktive, tilgodehavender, osv.</t>
  </si>
  <si>
    <t xml:space="preserve">Afkastningsgraden drives af overskudsgraden og aktivernes </t>
  </si>
  <si>
    <t xml:space="preserve">omsætningshastighed. Profitibiliteten kan øges ved at </t>
  </si>
  <si>
    <t xml:space="preserve">forbedre en af disse. Dekomponering af afkastningsgraden </t>
  </si>
  <si>
    <t xml:space="preserve">kan bruges til at undersøge hvor ændringer i indtjæningen </t>
  </si>
  <si>
    <t>kommer fra. Man laver da en retabilitets analyse.</t>
  </si>
  <si>
    <t>Finansiering</t>
  </si>
  <si>
    <t>Fremskaffelse af kapital</t>
  </si>
  <si>
    <t>Kan være lån eller kapitalindskud</t>
  </si>
  <si>
    <t>(auktionærer)</t>
  </si>
  <si>
    <t>Investering</t>
  </si>
  <si>
    <t>Køb og salg af aktiver</t>
  </si>
  <si>
    <t>Investeringer genererer værdi for</t>
  </si>
  <si>
    <t>virksomheden over tid</t>
  </si>
  <si>
    <t>Drift</t>
  </si>
  <si>
    <t>produktion og salg.</t>
  </si>
  <si>
    <t xml:space="preserve">Generering af indtægter via </t>
  </si>
  <si>
    <t xml:space="preserve">Generering af omkostninger i forbindelse </t>
  </si>
  <si>
    <t>med produktion og salg</t>
  </si>
  <si>
    <t>Kreditoren</t>
  </si>
  <si>
    <t>samt</t>
  </si>
  <si>
    <t>rettigheder</t>
  </si>
  <si>
    <t>Rettigheder:</t>
  </si>
  <si>
    <t>Auktionæren</t>
  </si>
  <si>
    <t>Afkast i form af udbyttebetalinger og kursgevinster.</t>
  </si>
  <si>
    <t>Intet juridisk krav på udbyttebetalinger</t>
  </si>
  <si>
    <t>Udbyttebetalinger er regnskabsmæssigt set ikke</t>
  </si>
  <si>
    <t>en omkostning for virksomheden</t>
  </si>
  <si>
    <t>Har del i overskud - udbytte eller opsparing i virksomheden</t>
  </si>
  <si>
    <t>Har stemmeret</t>
  </si>
  <si>
    <t>Hovedstolen betales tilbage hvis/når virksomheden ønsker det</t>
  </si>
  <si>
    <t>Tilgodeses sidst i forbindelse med konkurs</t>
  </si>
  <si>
    <t>Balancen</t>
  </si>
  <si>
    <t>Aktiver(assets)</t>
  </si>
  <si>
    <t>Virksomhedens investeringer - hvordan kapitalen er anligt</t>
  </si>
  <si>
    <r>
      <rPr>
        <b/>
        <sz val="12"/>
        <color indexed="8"/>
        <rFont val="Calibri"/>
        <family val="2"/>
      </rPr>
      <t>Anlægsaktiver</t>
    </r>
    <r>
      <rPr>
        <sz val="12"/>
        <color theme="1"/>
        <rFont val="Calibri"/>
        <family val="2"/>
        <scheme val="minor"/>
      </rPr>
      <t xml:space="preserve"> - maskiner, bygninger, anlæg, etc</t>
    </r>
  </si>
  <si>
    <r>
      <rPr>
        <b/>
        <sz val="12"/>
        <color indexed="8"/>
        <rFont val="Calibri"/>
        <family val="2"/>
      </rPr>
      <t>Omsætningsaktiver</t>
    </r>
    <r>
      <rPr>
        <sz val="12"/>
        <color theme="1"/>
        <rFont val="Calibri"/>
        <family val="2"/>
        <scheme val="minor"/>
      </rPr>
      <t xml:space="preserve"> - likvider, varelagre, etc.</t>
    </r>
  </si>
  <si>
    <t>Passiver(liabillities &amp; sharers' equity)</t>
  </si>
  <si>
    <r>
      <rPr>
        <b/>
        <sz val="12"/>
        <color indexed="8"/>
        <rFont val="Calibri"/>
        <family val="2"/>
      </rPr>
      <t>Egenkapitalen</t>
    </r>
    <r>
      <rPr>
        <sz val="12"/>
        <color theme="1"/>
        <rFont val="Calibri"/>
        <family val="2"/>
        <scheme val="minor"/>
      </rPr>
      <t xml:space="preserve"> - indskudt kapital og optjente overskud</t>
    </r>
  </si>
  <si>
    <r>
      <rPr>
        <b/>
        <sz val="12"/>
        <color indexed="8"/>
        <rFont val="Calibri"/>
        <family val="2"/>
      </rPr>
      <t>Gæld</t>
    </r>
    <r>
      <rPr>
        <sz val="12"/>
        <color theme="1"/>
        <rFont val="Calibri"/>
        <family val="2"/>
        <scheme val="minor"/>
      </rPr>
      <t xml:space="preserve"> - Kortfristet og langfristet</t>
    </r>
  </si>
  <si>
    <t>Balancen: Aktiver = passiver</t>
  </si>
  <si>
    <t>Alægsaktiver</t>
  </si>
  <si>
    <t>Aktiver som vedvarende er i brug:</t>
  </si>
  <si>
    <r>
      <rPr>
        <b/>
        <sz val="12"/>
        <color indexed="8"/>
        <rFont val="Calibri"/>
        <family val="2"/>
      </rPr>
      <t>Marterielle anlægsaktiver</t>
    </r>
    <r>
      <rPr>
        <sz val="12"/>
        <color theme="1"/>
        <rFont val="Calibri"/>
        <family val="2"/>
        <scheme val="minor"/>
      </rPr>
      <t xml:space="preserve"> - Bygninger, maskiner, mv.</t>
    </r>
  </si>
  <si>
    <r>
      <rPr>
        <b/>
        <sz val="12"/>
        <color indexed="8"/>
        <rFont val="Calibri"/>
        <family val="2"/>
      </rPr>
      <t>Finansielle anlægsaktiver</t>
    </r>
    <r>
      <rPr>
        <sz val="12"/>
        <color theme="1"/>
        <rFont val="Calibri"/>
        <family val="2"/>
        <scheme val="minor"/>
      </rPr>
      <t xml:space="preserve"> - fx aktier i datterselskaber</t>
    </r>
  </si>
  <si>
    <r>
      <rPr>
        <b/>
        <sz val="12"/>
        <color indexed="8"/>
        <rFont val="Calibri"/>
        <family val="2"/>
      </rPr>
      <t>Immaterielle anlægsaktiver</t>
    </r>
    <r>
      <rPr>
        <sz val="12"/>
        <color theme="1"/>
        <rFont val="Calibri"/>
        <family val="2"/>
        <scheme val="minor"/>
      </rPr>
      <t xml:space="preserve"> - godwill, patenter</t>
    </r>
  </si>
  <si>
    <t>Aktiver som genererer løbende omsætning:</t>
  </si>
  <si>
    <t>Værdien af virksomhedens aktiver er et af flere mål for virksomhedens størrelse</t>
  </si>
  <si>
    <t>Andre mål er: omsætning - overskud - ansatte</t>
  </si>
  <si>
    <r>
      <t xml:space="preserve">Består af: </t>
    </r>
    <r>
      <rPr>
        <sz val="12"/>
        <color theme="1"/>
        <rFont val="Calibri"/>
        <family val="2"/>
        <scheme val="minor"/>
      </rPr>
      <t>Indskudt kapital(contributed capital) - Henlagt overskud(retained earnings)</t>
    </r>
  </si>
  <si>
    <t>Er aktiver som forventes realiseret inden for et år</t>
  </si>
  <si>
    <t xml:space="preserve">indskud i virksomheden. </t>
  </si>
  <si>
    <t xml:space="preserve">Egenkapitalen er et regnskabsmæssigt </t>
  </si>
  <si>
    <t>udtryk for virksomhedens værdi.</t>
  </si>
  <si>
    <r>
      <t>Kortfristet gæld</t>
    </r>
    <r>
      <rPr>
        <sz val="12"/>
        <color theme="1"/>
        <rFont val="Calibri"/>
        <family val="2"/>
        <scheme val="minor"/>
      </rPr>
      <t>(current liabilities)</t>
    </r>
  </si>
  <si>
    <r>
      <t>Langfristet gæld</t>
    </r>
    <r>
      <rPr>
        <sz val="12"/>
        <color theme="1"/>
        <rFont val="Calibri"/>
        <family val="2"/>
        <scheme val="minor"/>
      </rPr>
      <t>(long-term liabilities)</t>
    </r>
  </si>
  <si>
    <r>
      <t>Egenkapital</t>
    </r>
    <r>
      <rPr>
        <sz val="12"/>
        <color theme="1"/>
        <rFont val="Calibri"/>
        <family val="2"/>
        <scheme val="minor"/>
      </rPr>
      <t>(sharehs' equity)</t>
    </r>
  </si>
  <si>
    <t>Giver et øjebliksbillede af virksomhedens finansielle situation på et givent tidspunkt - beholdningsopgørelse</t>
  </si>
  <si>
    <t>Angiver hvor mange penge der er investeret i virksomheden og hvad de er investeret i</t>
  </si>
  <si>
    <t>Egenkapital = Aktiver - gæld</t>
  </si>
  <si>
    <t>Egenkapital = Indskudt kapital + Henlagt overskud</t>
  </si>
  <si>
    <r>
      <t>Indtægter</t>
    </r>
    <r>
      <rPr>
        <sz val="12"/>
        <color theme="1"/>
        <rFont val="Calibri"/>
        <family val="2"/>
        <scheme val="minor"/>
      </rPr>
      <t xml:space="preserve"> - generering af nye aktiver</t>
    </r>
  </si>
  <si>
    <r>
      <t xml:space="preserve">Omkostninger </t>
    </r>
    <r>
      <rPr>
        <sz val="12"/>
        <color theme="1"/>
        <rFont val="Calibri"/>
        <family val="2"/>
        <scheme val="minor"/>
      </rPr>
      <t>- Forbrug af aktiver</t>
    </r>
  </si>
  <si>
    <t>Ændringer i egenkapitalen:</t>
  </si>
  <si>
    <t>Overskud (+)</t>
  </si>
  <si>
    <t>Underskud (-)</t>
  </si>
  <si>
    <t>Kapitalindskud (+)</t>
  </si>
  <si>
    <t>Udbyttebetaling (-)</t>
  </si>
  <si>
    <t>Pengestrømsopgørelse</t>
  </si>
  <si>
    <t>Redegør for virksomhedens ind - og udbetalinger over en given periode</t>
  </si>
  <si>
    <t>Viser hvordan virksomhdens likviditet ændrer sig</t>
  </si>
  <si>
    <t>Når en varer leveres påvirkes resultatet - indtægt</t>
  </si>
  <si>
    <t>Når varen betales påvirkes pengestrøm - indbetaling</t>
  </si>
  <si>
    <t>Udbytte påvirker pengestrøm men ikke resultat</t>
  </si>
  <si>
    <t>Afskrivning påvirker resultat men ikke pengestrøm</t>
  </si>
  <si>
    <t>Egenkapitalsopgørelsen:</t>
  </si>
  <si>
    <t>Er en beholdningsstørrelse - dvs. Opgjort til et givent tidspunkt</t>
  </si>
  <si>
    <t>Aktiver = Passiver</t>
  </si>
  <si>
    <t>enhver transaktion påvirker totale aktiver og totale passiver på samme måde</t>
  </si>
  <si>
    <t>Aktiver = passiver</t>
  </si>
  <si>
    <t>Bogføring regler(debet kredit)</t>
  </si>
  <si>
    <t>Bogføring - debet - kredit</t>
  </si>
  <si>
    <t>Se eksempel</t>
  </si>
  <si>
    <t>Afstem nedenstående regnskab med de angivne efterposteringer. Opstil resultatopgørelse samt den nye balance.</t>
    <phoneticPr fontId="0" type="noConversion"/>
  </si>
  <si>
    <t>Efterposteringer:</t>
    <phoneticPr fontId="0" type="noConversion"/>
  </si>
  <si>
    <t>PÅVIRKER</t>
  </si>
  <si>
    <t>1. Varelageret er optalt til 110.000 per 31/12</t>
    <phoneticPr fontId="0" type="noConversion"/>
  </si>
  <si>
    <t>Vareforbrug og Varelager</t>
  </si>
  <si>
    <t>2. Der afskrives 24.500 på inventar</t>
    <phoneticPr fontId="0" type="noConversion"/>
  </si>
  <si>
    <t>Afskrivning og Akk. Afskrinv invt</t>
  </si>
  <si>
    <t>3. Der er forudbetalt 11.500 for husleje i januar kvartal</t>
    <phoneticPr fontId="0" type="noConversion"/>
  </si>
  <si>
    <t>Drift ejendom og period. Aktiv</t>
  </si>
  <si>
    <t>4. Skyldigt revisionshonorar udgør 18.000</t>
    <phoneticPr fontId="0" type="noConversion"/>
  </si>
  <si>
    <t>Øvrig omkost og andre kreditorer</t>
  </si>
  <si>
    <t>5. Momskontiene afsluttes</t>
    <phoneticPr fontId="0" type="noConversion"/>
  </si>
  <si>
    <t>Købsmoms, Salgsmoms og momsafregning</t>
  </si>
  <si>
    <t>6. Privatforbrug føres over egenkapital</t>
    <phoneticPr fontId="0" type="noConversion"/>
  </si>
  <si>
    <t>Privatforbrug og Egenkapital primo</t>
  </si>
  <si>
    <t xml:space="preserve">           SALDOBALANCE 31/12</t>
  </si>
  <si>
    <t xml:space="preserve">              EFTERPOSTERINGER</t>
  </si>
  <si>
    <t xml:space="preserve">            RESULTATOPGØRELSE</t>
  </si>
  <si>
    <t xml:space="preserve">                          BALANCE</t>
  </si>
  <si>
    <t>Kontonavn</t>
  </si>
  <si>
    <t>Debet</t>
  </si>
  <si>
    <t>Kredit</t>
  </si>
  <si>
    <t>OMKOSTNING</t>
  </si>
  <si>
    <t>INDTÆGT/KREDIT</t>
  </si>
  <si>
    <t>AKTIV</t>
  </si>
  <si>
    <t>PASSIV</t>
  </si>
  <si>
    <t>Varesalg</t>
  </si>
  <si>
    <t>Vareforbrug</t>
  </si>
  <si>
    <t>Drift ejendom</t>
  </si>
  <si>
    <t>Tab, tilgodehavender</t>
  </si>
  <si>
    <t>Øvrige omkostninger</t>
  </si>
  <si>
    <t>Løn og gager</t>
  </si>
  <si>
    <t>ATP-bidrag</t>
  </si>
  <si>
    <t>Afskrivning på inventar</t>
  </si>
  <si>
    <t>Inventar</t>
  </si>
  <si>
    <t>Akk. afsk inventar</t>
  </si>
  <si>
    <t>Varelager</t>
  </si>
  <si>
    <t>Varedebitorer</t>
  </si>
  <si>
    <t>Periodeafgr. Aktiv</t>
  </si>
  <si>
    <t>Periodeafgr.  Passiv</t>
  </si>
  <si>
    <t>Kasse</t>
  </si>
  <si>
    <t>Egenkapital primo</t>
  </si>
  <si>
    <t>Egenkapital ULTIMO</t>
  </si>
  <si>
    <t>Privatforbrug</t>
  </si>
  <si>
    <t>Kassekredit</t>
  </si>
  <si>
    <t>Leverandørkredit</t>
  </si>
  <si>
    <t>Købsmoms</t>
  </si>
  <si>
    <t>Salgsmoms</t>
  </si>
  <si>
    <t>Momsafregning</t>
  </si>
  <si>
    <t>Andre kreditorer</t>
  </si>
  <si>
    <t>Sum</t>
  </si>
  <si>
    <t>Resultat</t>
  </si>
  <si>
    <t>Placer nedenstående aktiver i de korrekte kategorier</t>
  </si>
  <si>
    <t>Immaterielle anlægsaktiver</t>
  </si>
  <si>
    <t>Materielle anlægsaktiver</t>
  </si>
  <si>
    <t>Finansielle anlægsaktiver</t>
  </si>
  <si>
    <t>Varebeholdninger</t>
  </si>
  <si>
    <t>Tilgodehavender</t>
  </si>
  <si>
    <t>Likvide beholdninger</t>
  </si>
  <si>
    <t>X</t>
  </si>
  <si>
    <t>Varevogn</t>
  </si>
  <si>
    <t>Bankindestående</t>
  </si>
  <si>
    <t>Goodwill</t>
  </si>
  <si>
    <t>Produktionsanlæg</t>
  </si>
  <si>
    <t>Patentrettighed</t>
  </si>
  <si>
    <t>Ejendom</t>
  </si>
  <si>
    <t>Kassebeholdning</t>
  </si>
  <si>
    <t>Færdigvarelager</t>
  </si>
  <si>
    <t>Forudbetalt husleje</t>
  </si>
  <si>
    <t>Råvarelager</t>
  </si>
  <si>
    <t>Debitorkonto: H. Hansen</t>
  </si>
  <si>
    <t>Aktier i datterselskab</t>
  </si>
  <si>
    <t>Langfristede værdipapirer</t>
  </si>
  <si>
    <t>R2 BALANCE &amp; RESULTATOPGØRELSE</t>
    <phoneticPr fontId="0" type="noConversion"/>
  </si>
  <si>
    <t>Angiv hvor disse poster hører til: Aktiver, passiver, indtægter eller omkostninger:</t>
    <phoneticPr fontId="0" type="noConversion"/>
  </si>
  <si>
    <t>KONTO</t>
    <phoneticPr fontId="0" type="noConversion"/>
  </si>
  <si>
    <t>BELØB</t>
    <phoneticPr fontId="0" type="noConversion"/>
  </si>
  <si>
    <t>BOGFØRING</t>
    <phoneticPr fontId="0" type="noConversion"/>
  </si>
  <si>
    <t>Varelager</t>
    <phoneticPr fontId="0" type="noConversion"/>
  </si>
  <si>
    <t>Varekreditorer</t>
    <phoneticPr fontId="0" type="noConversion"/>
  </si>
  <si>
    <t>Husleje</t>
    <phoneticPr fontId="0" type="noConversion"/>
  </si>
  <si>
    <t>Renteomkostninger</t>
    <phoneticPr fontId="0" type="noConversion"/>
  </si>
  <si>
    <t>Bankgæld</t>
    <phoneticPr fontId="0" type="noConversion"/>
  </si>
  <si>
    <t>Kreditorer</t>
    <phoneticPr fontId="0" type="noConversion"/>
  </si>
  <si>
    <t>Debitorer</t>
    <phoneticPr fontId="0" type="noConversion"/>
  </si>
  <si>
    <t>Varebil (bogført værdi)</t>
    <phoneticPr fontId="0" type="noConversion"/>
  </si>
  <si>
    <t>Kassebeholdning</t>
    <phoneticPr fontId="0" type="noConversion"/>
  </si>
  <si>
    <t>Medhjælp</t>
    <phoneticPr fontId="0" type="noConversion"/>
  </si>
  <si>
    <t>(LØN)</t>
  </si>
  <si>
    <t>Indkøb af PC</t>
    <phoneticPr fontId="0" type="noConversion"/>
  </si>
  <si>
    <t>OMKOSTNING / (AKTIV)</t>
  </si>
  <si>
    <t>(BAGATELGRÆNSE)</t>
  </si>
  <si>
    <t>Omsætning</t>
    <phoneticPr fontId="0" type="noConversion"/>
  </si>
  <si>
    <t>INDTÆGT</t>
  </si>
  <si>
    <t>Kontorartikler</t>
    <phoneticPr fontId="0" type="noConversion"/>
  </si>
  <si>
    <t>OMKOSTNIG / ((AKTIV))</t>
  </si>
  <si>
    <t>Skyldig Moms</t>
    <phoneticPr fontId="0" type="noConversion"/>
  </si>
  <si>
    <t>Banksaldo</t>
    <phoneticPr fontId="0" type="noConversion"/>
  </si>
  <si>
    <t>Produktionsanlæg</t>
    <phoneticPr fontId="0" type="noConversion"/>
  </si>
  <si>
    <t>AKTIV (MATERIELT)</t>
  </si>
  <si>
    <t>Elektricitet</t>
    <phoneticPr fontId="0" type="noConversion"/>
  </si>
  <si>
    <t>Forsikringer</t>
    <phoneticPr fontId="0" type="noConversion"/>
  </si>
  <si>
    <t>R3 BOGFØRING: SUPERMARKED</t>
    <phoneticPr fontId="0" type="noConversion"/>
  </si>
  <si>
    <t>Bogfør disse bilag korrekt på de angivne konti</t>
    <phoneticPr fontId="0" type="noConversion"/>
  </si>
  <si>
    <t>BILAG</t>
    <phoneticPr fontId="0" type="noConversion"/>
  </si>
  <si>
    <t>TEKST</t>
    <phoneticPr fontId="0" type="noConversion"/>
  </si>
  <si>
    <t>DEBET</t>
    <phoneticPr fontId="0" type="noConversion"/>
  </si>
  <si>
    <t>KREDIT</t>
    <phoneticPr fontId="0" type="noConversion"/>
  </si>
  <si>
    <t>Varesalg</t>
    <phoneticPr fontId="0" type="noConversion"/>
  </si>
  <si>
    <t>Kasse</t>
    <phoneticPr fontId="0" type="noConversion"/>
  </si>
  <si>
    <t>Kontantsalg af varer til kunder</t>
    <phoneticPr fontId="0" type="noConversion"/>
  </si>
  <si>
    <t>Tulip A/S (kreditorer)</t>
    <phoneticPr fontId="0" type="noConversion"/>
  </si>
  <si>
    <t>GÆLD</t>
  </si>
  <si>
    <t>Faktura fra Tulip for køb af varer</t>
    <phoneticPr fontId="0" type="noConversion"/>
  </si>
  <si>
    <t>L. Rasmussen</t>
    <phoneticPr fontId="0" type="noConversion"/>
  </si>
  <si>
    <t>TILGODEHAVNDE</t>
  </si>
  <si>
    <t>Salg på kredit til Lars Rasmussen</t>
    <phoneticPr fontId="0" type="noConversion"/>
  </si>
  <si>
    <t>Markedsføring</t>
    <phoneticPr fontId="0" type="noConversion"/>
  </si>
  <si>
    <t>Annonceudgift betalt kontant</t>
    <phoneticPr fontId="0" type="noConversion"/>
  </si>
  <si>
    <t>Bank</t>
    <phoneticPr fontId="0" type="noConversion"/>
  </si>
  <si>
    <t>Køb af varer til salg. Betalt med check</t>
    <phoneticPr fontId="0" type="noConversion"/>
  </si>
  <si>
    <t>Overført fra kasse til bank</t>
    <phoneticPr fontId="0" type="noConversion"/>
  </si>
  <si>
    <t>Kontant varesalg</t>
    <phoneticPr fontId="0" type="noConversion"/>
  </si>
  <si>
    <t>Øvrige omkostninger</t>
    <phoneticPr fontId="0" type="noConversion"/>
  </si>
  <si>
    <t>Kontant køb af frimærker</t>
    <phoneticPr fontId="0" type="noConversion"/>
  </si>
  <si>
    <t>R10 BALANCE &amp; RESULTATOPGØRELSE</t>
    <phoneticPr fontId="0" type="noConversion"/>
  </si>
  <si>
    <t>En virksomhed har opgjort resultatopgørelse og balance for 20X1. Placér posterne korrekt i nedenstående skema.</t>
    <phoneticPr fontId="0" type="noConversion"/>
  </si>
  <si>
    <t>Hvad blev årets overskud?</t>
    <phoneticPr fontId="0" type="noConversion"/>
  </si>
  <si>
    <t>Årets omsætning</t>
    <phoneticPr fontId="0" type="noConversion"/>
  </si>
  <si>
    <t>Tilgodehavender (varedebitorer)</t>
    <phoneticPr fontId="0" type="noConversion"/>
  </si>
  <si>
    <t>Renteudgifter</t>
    <phoneticPr fontId="0" type="noConversion"/>
  </si>
  <si>
    <t>Kassebeholdning</t>
    <phoneticPr fontId="0" type="noConversion"/>
  </si>
  <si>
    <t>Egenkapital primo 20X1</t>
    <phoneticPr fontId="0" type="noConversion"/>
  </si>
  <si>
    <t>Skyldig A-skat</t>
    <phoneticPr fontId="0" type="noConversion"/>
  </si>
  <si>
    <t>Driftsomkostninger</t>
    <phoneticPr fontId="0" type="noConversion"/>
  </si>
  <si>
    <t>Afskrivninger</t>
    <phoneticPr fontId="0" type="noConversion"/>
  </si>
  <si>
    <t>Inventar</t>
    <phoneticPr fontId="0" type="noConversion"/>
  </si>
  <si>
    <t>Lønninger</t>
    <phoneticPr fontId="0" type="noConversion"/>
  </si>
  <si>
    <t>Vareforbrug</t>
    <phoneticPr fontId="0" type="noConversion"/>
  </si>
  <si>
    <t>Aktier i andre selskaber</t>
    <phoneticPr fontId="0" type="noConversion"/>
  </si>
  <si>
    <t>Biler</t>
    <phoneticPr fontId="0" type="noConversion"/>
  </si>
  <si>
    <t>Produktrettigheder til BlaBla®</t>
    <phoneticPr fontId="0" type="noConversion"/>
  </si>
  <si>
    <t>Bankindestående</t>
    <phoneticPr fontId="0" type="noConversion"/>
  </si>
  <si>
    <t>Realkreditlån</t>
    <phoneticPr fontId="0" type="noConversion"/>
  </si>
  <si>
    <t>BALANCE ULTIMO 20X1</t>
    <phoneticPr fontId="0" type="noConversion"/>
  </si>
  <si>
    <t>RESULTATOPGØRELSE ULTIMO 20X1</t>
    <phoneticPr fontId="0" type="noConversion"/>
  </si>
  <si>
    <t>AKTIVER</t>
    <phoneticPr fontId="0" type="noConversion"/>
  </si>
  <si>
    <t>1.000DKK</t>
    <phoneticPr fontId="0" type="noConversion"/>
  </si>
  <si>
    <t>PASSIVER</t>
    <phoneticPr fontId="0" type="noConversion"/>
  </si>
  <si>
    <t>OMSÆTNINGSAKTIVER</t>
    <phoneticPr fontId="0" type="noConversion"/>
  </si>
  <si>
    <t>EGENKAPITAL</t>
    <phoneticPr fontId="0" type="noConversion"/>
  </si>
  <si>
    <t>INDTÆGTER</t>
    <phoneticPr fontId="0" type="noConversion"/>
  </si>
  <si>
    <t>ÅRETS RESULTAT</t>
  </si>
  <si>
    <t>Bankindestående</t>
    <phoneticPr fontId="0" type="noConversion"/>
  </si>
  <si>
    <t>GÆLD</t>
    <phoneticPr fontId="0" type="noConversion"/>
  </si>
  <si>
    <t>OMKOSTNINGER</t>
    <phoneticPr fontId="0" type="noConversion"/>
  </si>
  <si>
    <t>KORTFRISTEDE FORPLIGTELSER</t>
    <phoneticPr fontId="0" type="noConversion"/>
  </si>
  <si>
    <t>ANLÆGSAKTIVER</t>
    <phoneticPr fontId="0" type="noConversion"/>
  </si>
  <si>
    <t>MATERIELLE</t>
    <phoneticPr fontId="0" type="noConversion"/>
  </si>
  <si>
    <t>IMMATERIELLE</t>
    <phoneticPr fontId="0" type="noConversion"/>
  </si>
  <si>
    <t>LANGFRISTEDE FORPLIGTELSER</t>
    <phoneticPr fontId="0" type="noConversion"/>
  </si>
  <si>
    <t>FINANSIELLE</t>
    <phoneticPr fontId="0" type="noConversion"/>
  </si>
  <si>
    <t>ÅRETS RESULTAT</t>
    <phoneticPr fontId="0" type="noConversion"/>
  </si>
  <si>
    <t>R15 REGNSKABSAFSLUTNING</t>
    <phoneticPr fontId="0" type="noConversion"/>
  </si>
  <si>
    <t>Resultatopgørelse - eksempel'!A1</t>
  </si>
  <si>
    <t>Rigtigt årsregnskab</t>
  </si>
  <si>
    <t>Matching princippet</t>
  </si>
  <si>
    <t>Matching princippet fordrer at alle indtægter og omkostninger</t>
  </si>
  <si>
    <t>Forudbetalte omkostninger</t>
  </si>
  <si>
    <t>Forudbetalte indtægter</t>
  </si>
  <si>
    <t xml:space="preserve">Afskrivninger </t>
  </si>
  <si>
    <r>
      <rPr>
        <b/>
        <sz val="12"/>
        <color indexed="8"/>
        <rFont val="Calibri"/>
        <family val="2"/>
      </rPr>
      <t>Varelagre</t>
    </r>
    <r>
      <rPr>
        <sz val="12"/>
        <color theme="1"/>
        <rFont val="Calibri"/>
        <family val="2"/>
        <scheme val="minor"/>
      </rPr>
      <t xml:space="preserve"> - Forbruget fra varelageret er en regnskabsmæssig omkostning og skal bogføres som sådan.</t>
    </r>
  </si>
  <si>
    <t>Periodisering anvendes til at korrigere poster i regnskabet for sådanne periodeafgrænsninger</t>
  </si>
  <si>
    <t>Begreber, Formeloversigt samt forklaringer</t>
  </si>
  <si>
    <t>Going concern</t>
  </si>
  <si>
    <t>Forudsætningen:</t>
  </si>
  <si>
    <t>Det antages at virksomheden fortsat vil være aktiv udover regnskabsperioden</t>
  </si>
  <si>
    <t>Virksomhedensaktiver vurderes ud fra at de vil skabe værdi - ikke ud fra hvad de indbringer ved salg</t>
  </si>
  <si>
    <t>Kræver kontinuitet:</t>
  </si>
  <si>
    <t>Er virksomheden truet af konkurs kan antagelsen om "going koncern" være misvisende</t>
  </si>
  <si>
    <t>I tilfælde af konkurs - virksomhedens aktiver sælges til markedspris.</t>
  </si>
  <si>
    <t>Regnskabsprincipper</t>
  </si>
  <si>
    <t>Objektivitet</t>
  </si>
  <si>
    <t>Princippet:</t>
  </si>
  <si>
    <t>Anvendelse:</t>
  </si>
  <si>
    <t>Matching</t>
  </si>
  <si>
    <r>
      <t xml:space="preserve">Anvendelse: </t>
    </r>
    <r>
      <rPr>
        <sz val="12"/>
        <color theme="1"/>
        <rFont val="Calibri"/>
        <family val="2"/>
        <scheme val="minor"/>
      </rPr>
      <t>- betydning for periodiseringer i regnskabet:</t>
    </r>
  </si>
  <si>
    <t>Periodeafgrænsningsposter</t>
  </si>
  <si>
    <t>investering og afskrivninger</t>
  </si>
  <si>
    <t>indregning af indtægter</t>
  </si>
  <si>
    <t>Forsigtighed</t>
  </si>
  <si>
    <t>.- Underdrive værdien af aktiver og indtægter</t>
  </si>
  <si>
    <t>Konsistens</t>
  </si>
  <si>
    <t>Konsistensprincippet kræver at den samme praksis bliver brugt i alle perioder.</t>
  </si>
  <si>
    <t xml:space="preserve">Anvendelse: </t>
  </si>
  <si>
    <t>Det skal fremgå af regnskabet hvis der er ændret praksis</t>
  </si>
  <si>
    <t>Værdiansættelse af balanceposter - kriterier</t>
  </si>
  <si>
    <t>Markedsværdi</t>
  </si>
  <si>
    <t>Hvad kan aktivet sælges for på markedet i dag?</t>
  </si>
  <si>
    <t>Findes der et veldefineret marked for det konkrete aktiv?</t>
  </si>
  <si>
    <t>Genanskaffelsesomkostning</t>
  </si>
  <si>
    <t>Hvad vil det koste at genanskaffe det samme aktiv?</t>
  </si>
  <si>
    <t>Anskaffelsespris</t>
  </si>
  <si>
    <t>Den oprindelige pris som aktivet havde da det blev anskaffet - minus afskrivninger</t>
  </si>
  <si>
    <t>Anvendes når der ikke er et veldefineret marked for aktivet</t>
  </si>
  <si>
    <t>Nutidsværdi</t>
  </si>
  <si>
    <t>(Mere om nutidværdi under investerings teori)</t>
  </si>
  <si>
    <t>Nutidsværdi udtrykker den aktuelle værdi af fremtidige betalinger</t>
  </si>
  <si>
    <t xml:space="preserve">pengestrømme som aktivet giver </t>
  </si>
  <si>
    <t xml:space="preserve">Tilbagediskonteret værdi af fremtidige </t>
  </si>
  <si>
    <t>anledning til.</t>
  </si>
  <si>
    <t xml:space="preserve">Nutidsværdi forudsætter at man </t>
  </si>
  <si>
    <t xml:space="preserve">kender en pengestrøm og den </t>
  </si>
  <si>
    <t>relevante diskonteringsrente</t>
  </si>
  <si>
    <t>det at man henfører omkostninger og indtægter til de perioder hvor de reelt afholdes.</t>
  </si>
  <si>
    <t xml:space="preserve">Periodisering dækker overordnet over </t>
  </si>
  <si>
    <t>Periodisering(matchingprincippet)</t>
  </si>
  <si>
    <t>Periodisering - eksempel</t>
  </si>
  <si>
    <t xml:space="preserve">Investeringer anskaffes for at generere værdi over tid </t>
  </si>
  <si>
    <t>Dermed vil investeringer også blive brugt - og nedslit - over tid</t>
  </si>
  <si>
    <t>Afskrivninger er en regnskabsmæssig tilnærmelse af denne værdiforringelse</t>
  </si>
  <si>
    <t>Anvendelse i praksis:</t>
  </si>
  <si>
    <t>Investeringer bogføres som et aktiv når de anskaffes</t>
  </si>
  <si>
    <t>Der findes forskellige afskrivningsregler - praksis - kriterier og metoder:</t>
  </si>
  <si>
    <t>Indregningskriterier(matching princippet):</t>
  </si>
  <si>
    <t>Begreb</t>
  </si>
  <si>
    <t>Årsregnskabet - Årsregnskabet - Årsregnskabet - Årsregnskabet - Årsregnskabet - Årsregnskabet - Årsregnskabet - Årsregnskabet - Årsregnskabet - Årsregnskabet - Årsregnskabet - Årsregnskabet - Årsregnskabet - Årsregnskabet</t>
  </si>
  <si>
    <t>Virksomhedensværdi</t>
  </si>
  <si>
    <t>Bogført værdi</t>
  </si>
  <si>
    <t>Bogført værdi = Indskudt kapital + henlagt overskud</t>
  </si>
  <si>
    <t>Den regnskabsmæssige værdi af virksomhedens egenkapital</t>
  </si>
  <si>
    <t>Likvidationsværdi</t>
  </si>
  <si>
    <t>Likvidationsværdi = markedsværdi af vhs'ens aktiver - gæld</t>
  </si>
  <si>
    <t>Sand værdi</t>
  </si>
  <si>
    <t>Nutidsværdi af virksomhedens fremtidige indbetalinger som</t>
  </si>
  <si>
    <t>virksomheden vil realisere i sin levetid.</t>
  </si>
  <si>
    <t>Umulig at kende i praksis</t>
  </si>
  <si>
    <t>Markedsværdi = Kurs * aktier</t>
  </si>
  <si>
    <t>Værdien af virksomhederns aktier til markedskurs</t>
  </si>
  <si>
    <t>Ingen informationer om fremtidige pengestrømme</t>
  </si>
  <si>
    <t>anveder kun dokumenterbar information</t>
  </si>
  <si>
    <t>tager ikke højde for forretningsklima og konjunkturer</t>
  </si>
  <si>
    <t>vigtige begivenheder registreres ikke - fx ændirnger i ejendomsværdi, teknologisk fremskdit, lovændringer</t>
  </si>
  <si>
    <t xml:space="preserve">ledelsen kan i mange tilfælde påvirke regnskabet </t>
  </si>
  <si>
    <t>regnskabsmæssig værdi afviger fra den sande</t>
  </si>
  <si>
    <t>Begrænsninger inden for årsregnskabet</t>
  </si>
  <si>
    <t>Nøgletals funktion</t>
  </si>
  <si>
    <t>Nøgletal anvendes til bedre at forstå virksomhedens sande værdi</t>
  </si>
  <si>
    <t>I praksis:</t>
  </si>
  <si>
    <t>Opsummerer fx virksomhedens: profitibilitet - finansielle gearing og likviditet</t>
  </si>
  <si>
    <t>kan sammenlignes på tværs af virksomheder og industrier</t>
  </si>
  <si>
    <t>kan sammenlignes over tid - indikation om virksomhedens udvikling ift. konkurrenter</t>
  </si>
  <si>
    <t>Profitibilitet - siger noget om virksomhedens intjeningsevne/virksomhedens evne til at forvalte auktionærenes kapital</t>
  </si>
  <si>
    <t>endvidere dekomponeret:</t>
  </si>
  <si>
    <t>dekomponeret:</t>
  </si>
  <si>
    <t>Finansiel gearing - Virksomhedens finansiering</t>
  </si>
  <si>
    <t xml:space="preserve">Generelt om gearing </t>
  </si>
  <si>
    <t>R13 AFSKRIVNINGER</t>
    <phoneticPr fontId="0" type="noConversion"/>
  </si>
  <si>
    <t>En virksomhed har indkøbt to identiske maskiner til 215.000DKK per styk.</t>
    <phoneticPr fontId="0" type="noConversion"/>
  </si>
  <si>
    <t>1. Den ene afskrives over 8 år, den anden over 10 (lineær afskrivning). Er det det samme som at afskrive dem begge over 9 år?</t>
    <phoneticPr fontId="0" type="noConversion"/>
  </si>
  <si>
    <t>Lineær afskrivningsmetode</t>
  </si>
  <si>
    <t>2. Den ene afskrives med 20%, den anden med 30% (saldoafskrivning). Er det det samme som at afskrive dem begge med 25%?</t>
    <phoneticPr fontId="0" type="noConversion"/>
  </si>
  <si>
    <t>Man afskriver det samme beløb hvert år indtil værdien af maskinen er 0.</t>
  </si>
  <si>
    <t>LINEÆR</t>
    <phoneticPr fontId="0" type="noConversion"/>
  </si>
  <si>
    <t>Saldoafskrivningsmetode</t>
  </si>
  <si>
    <t>PERIODE</t>
    <phoneticPr fontId="0" type="noConversion"/>
  </si>
  <si>
    <t>AFSKRIVNINGER</t>
    <phoneticPr fontId="0" type="noConversion"/>
  </si>
  <si>
    <t xml:space="preserve">Man afskriver en procentsats af OC hvert år indtil slutår hvor </t>
  </si>
  <si>
    <t>8 ÅR</t>
    <phoneticPr fontId="0" type="noConversion"/>
  </si>
  <si>
    <t>10 ÅR</t>
    <phoneticPr fontId="0" type="noConversion"/>
  </si>
  <si>
    <t>8+10 ÅR</t>
    <phoneticPr fontId="0" type="noConversion"/>
  </si>
  <si>
    <t>2x9 ÅR</t>
    <phoneticPr fontId="0" type="noConversion"/>
  </si>
  <si>
    <t xml:space="preserve">den resterende del af OC bliver straksafskrevet. </t>
  </si>
  <si>
    <t>SALDO</t>
    <phoneticPr fontId="0" type="noConversion"/>
  </si>
  <si>
    <t>20%+30%</t>
    <phoneticPr fontId="0" type="noConversion"/>
  </si>
  <si>
    <t>2x25%</t>
    <phoneticPr fontId="0" type="noConversion"/>
  </si>
  <si>
    <t>Afskrivning - eksempel</t>
  </si>
  <si>
    <t>Listed below are eight transactions. In each case, identify whether the transaction is an example of financing, investing, or operating activities and which of the financial statements it would affect.</t>
  </si>
  <si>
    <t>1. Company borrows $50.000 in cash, signing a 10-year note payable</t>
  </si>
  <si>
    <t>(Gældsbrev)</t>
  </si>
  <si>
    <t>5. Five parcels of real estate are purchased for a total of $55.000 in cash</t>
  </si>
  <si>
    <t>2. Twenty units of inventory are purchased from suppliers on account for $12.000</t>
  </si>
  <si>
    <t xml:space="preserve">  (På kredit)</t>
  </si>
  <si>
    <t>6. A long-term investment in an equity security is sold for $4.500 each</t>
  </si>
  <si>
    <t>(Aktier sælges)</t>
  </si>
  <si>
    <t>3. The utility bill is paid at the end of the month, $5.200</t>
  </si>
  <si>
    <t>(Elektricitet)</t>
  </si>
  <si>
    <t>7. Principal payments are made on outstanding debts</t>
  </si>
  <si>
    <t>(Afbetaling på hovedstol)</t>
  </si>
  <si>
    <t>4. Services are performed, and customers are billed for $13.000</t>
  </si>
  <si>
    <t>(Faktureret)</t>
  </si>
  <si>
    <t>8. Cash is received from customers for services completed in a previous period.</t>
  </si>
  <si>
    <t>Balance</t>
  </si>
  <si>
    <t>Resultatopgørelse</t>
  </si>
  <si>
    <t>Egenkapitalopgørelse</t>
  </si>
  <si>
    <t>Operating, investing or finance</t>
  </si>
  <si>
    <t>Balance Sheet</t>
  </si>
  <si>
    <t>Income Statement</t>
  </si>
  <si>
    <t>Statement of Cash-flows</t>
  </si>
  <si>
    <t>Statement of Shareholder's equity</t>
  </si>
  <si>
    <t>Finance</t>
  </si>
  <si>
    <t>Cannot tell</t>
  </si>
  <si>
    <t>2 Inventory = Varerlager</t>
  </si>
  <si>
    <t>Operating</t>
  </si>
  <si>
    <t>Invest</t>
  </si>
  <si>
    <t>E2-2</t>
  </si>
  <si>
    <t>Virksomheds aktiviteter - eks</t>
  </si>
  <si>
    <t>R9 BALANCEN</t>
    <phoneticPr fontId="0" type="noConversion"/>
  </si>
  <si>
    <t>Indfør nedenstående poster korrekt i balancen</t>
    <phoneticPr fontId="0" type="noConversion"/>
  </si>
  <si>
    <t>POSTERINGER</t>
    <phoneticPr fontId="0" type="noConversion"/>
  </si>
  <si>
    <t>BELØB</t>
    <phoneticPr fontId="0" type="noConversion"/>
  </si>
  <si>
    <t>AKTIVER</t>
    <phoneticPr fontId="0" type="noConversion"/>
  </si>
  <si>
    <t>1.000DKK</t>
    <phoneticPr fontId="0" type="noConversion"/>
  </si>
  <si>
    <t>PASSIVER</t>
    <phoneticPr fontId="0" type="noConversion"/>
  </si>
  <si>
    <t>Lagerejendom</t>
    <phoneticPr fontId="0" type="noConversion"/>
  </si>
  <si>
    <t>IMATERIELLE</t>
    <phoneticPr fontId="0" type="noConversion"/>
  </si>
  <si>
    <t>EGENKAPITAL</t>
    <phoneticPr fontId="0" type="noConversion"/>
  </si>
  <si>
    <t>Inventar</t>
    <phoneticPr fontId="0" type="noConversion"/>
  </si>
  <si>
    <t>Aktiekapital</t>
    <phoneticPr fontId="0" type="noConversion"/>
  </si>
  <si>
    <t>Aktier i datterselskab</t>
    <phoneticPr fontId="0" type="noConversion"/>
  </si>
  <si>
    <t>Overført overskud</t>
    <phoneticPr fontId="0" type="noConversion"/>
  </si>
  <si>
    <t>Råvarer og hjælpematerialer</t>
    <phoneticPr fontId="0" type="noConversion"/>
  </si>
  <si>
    <t>Varer under produktion</t>
    <phoneticPr fontId="0" type="noConversion"/>
  </si>
  <si>
    <t>Færdigvarer</t>
    <phoneticPr fontId="0" type="noConversion"/>
  </si>
  <si>
    <t>MATERIELLE</t>
    <phoneticPr fontId="0" type="noConversion"/>
  </si>
  <si>
    <t>HENSÆTTELSER</t>
    <phoneticPr fontId="0" type="noConversion"/>
  </si>
  <si>
    <t>Varedebitorer</t>
    <phoneticPr fontId="0" type="noConversion"/>
  </si>
  <si>
    <t>Hensættelse til pension</t>
    <phoneticPr fontId="0" type="noConversion"/>
  </si>
  <si>
    <t>Periodeafgrænsningsposter (aktiv)</t>
    <phoneticPr fontId="0" type="noConversion"/>
  </si>
  <si>
    <t>Bankkonto</t>
    <phoneticPr fontId="0" type="noConversion"/>
  </si>
  <si>
    <t>Likvider</t>
    <phoneticPr fontId="0" type="noConversion"/>
  </si>
  <si>
    <t>Aktiekapital</t>
    <phoneticPr fontId="0" type="noConversion"/>
  </si>
  <si>
    <t>FINANSIELLE</t>
    <phoneticPr fontId="0" type="noConversion"/>
  </si>
  <si>
    <t>KORTFRISTET GÆLD</t>
    <phoneticPr fontId="0" type="noConversion"/>
  </si>
  <si>
    <t>Aktier i datterselskab</t>
    <phoneticPr fontId="0" type="noConversion"/>
  </si>
  <si>
    <t>Kassekredit</t>
    <phoneticPr fontId="0" type="noConversion"/>
  </si>
  <si>
    <t>Leverandørgæld</t>
    <phoneticPr fontId="0" type="noConversion"/>
  </si>
  <si>
    <t>Prioritetsgæld</t>
    <phoneticPr fontId="0" type="noConversion"/>
  </si>
  <si>
    <t>Skyldig A-skat, ATP og AM-bidrag</t>
    <phoneticPr fontId="0" type="noConversion"/>
  </si>
  <si>
    <t>Momsgæld</t>
    <phoneticPr fontId="0" type="noConversion"/>
  </si>
  <si>
    <t>OMSÆTNINGSAKTIVER</t>
    <phoneticPr fontId="0" type="noConversion"/>
  </si>
  <si>
    <t>Skyldigt udbytte</t>
    <phoneticPr fontId="0" type="noConversion"/>
  </si>
  <si>
    <t>LANGFRISTET GÆLD</t>
    <phoneticPr fontId="0" type="noConversion"/>
  </si>
  <si>
    <t>Varedebitorer</t>
    <phoneticPr fontId="0" type="noConversion"/>
  </si>
  <si>
    <t>Se eksempel(på højre side af den blå streg)</t>
  </si>
  <si>
    <r>
      <t>Et rigtigt årsregnskab</t>
    </r>
    <r>
      <rPr>
        <sz val="12"/>
        <color theme="1"/>
        <rFont val="Calibri"/>
        <family val="2"/>
        <scheme val="minor"/>
      </rPr>
      <t>(inkl. Efterposteringer)</t>
    </r>
  </si>
  <si>
    <t>(Cash-Flow)</t>
  </si>
  <si>
    <t>E2-10</t>
  </si>
  <si>
    <t>From the following transactions, prepare a statement of cash flows for Lana and Sons in the proper form. The company began the year with a cash balance of $13.000.</t>
  </si>
  <si>
    <t>Describe and evaluate the company's cash management activities during the year.</t>
  </si>
  <si>
    <t>Cash flows from operating activities</t>
  </si>
  <si>
    <t>1. The shareholders contributed $7.000 in cash</t>
  </si>
  <si>
    <t>Services</t>
  </si>
  <si>
    <t>2. Performed serviced for $5.000, receiving $4.000 in cash and a $1.000 receivable</t>
  </si>
  <si>
    <t>Expenses</t>
  </si>
  <si>
    <t>3. Incurred expenses of $4.000; paid $3.000 in cash and $1.000 is still payable</t>
  </si>
  <si>
    <t>Net cash increase from operating activites</t>
  </si>
  <si>
    <t>4. Purchased machinery for $10.000; paid $3.000 in cash and signed a long-term note payable for the remainder</t>
  </si>
  <si>
    <t>Cash flow from investing activities</t>
  </si>
  <si>
    <t>5. Paid the shareholders a $1.500 dividend</t>
  </si>
  <si>
    <t>Machinery</t>
  </si>
  <si>
    <t>Net cash increase from investing activites</t>
  </si>
  <si>
    <t>Cash flow from financing activites</t>
  </si>
  <si>
    <t>Stockholders</t>
  </si>
  <si>
    <t>Dividend</t>
  </si>
  <si>
    <t>Net cash increase from financing activites</t>
  </si>
  <si>
    <t>Net increase (decrease) in cash</t>
  </si>
  <si>
    <t>Beginning cash balance</t>
  </si>
  <si>
    <t>Ending cash balance</t>
  </si>
  <si>
    <t>Pengestrøm - eksempel'!A1</t>
  </si>
  <si>
    <t>E2-12</t>
  </si>
  <si>
    <t>George began a business, and after collecting $6.000 from an equity investor and borrowing $5.000 from a bank, he purchased a piece of land for $8.000. During the year, he leased the land to Sheila and received $3.000 in cash.</t>
  </si>
  <si>
    <t xml:space="preserve">He paid $2.500 cash for expenses during the year and paid an $800 dividend to the equity investor. Prepare an income statement, a statement of shareholder's equity, a balance sheet, and statement of cash flows for the period. </t>
  </si>
  <si>
    <t>What did George do that may have concerned the bank? Explain.</t>
  </si>
  <si>
    <t>Income statement</t>
  </si>
  <si>
    <t>Cash flow statement</t>
  </si>
  <si>
    <t>Balance sheet</t>
  </si>
  <si>
    <t>Omsætning</t>
  </si>
  <si>
    <t>Operating activities</t>
  </si>
  <si>
    <t>Assets</t>
  </si>
  <si>
    <t>Equtiy/Egenkapital</t>
  </si>
  <si>
    <t>Leje indtægt</t>
  </si>
  <si>
    <t>Lejeindtægter</t>
  </si>
  <si>
    <t>Lejeomkostninger</t>
  </si>
  <si>
    <t>Land</t>
  </si>
  <si>
    <t>Omkostninger</t>
  </si>
  <si>
    <t>Investing activities</t>
  </si>
  <si>
    <t>Liabilities</t>
  </si>
  <si>
    <t>Leje omkostninger</t>
  </si>
  <si>
    <t>Financing activities</t>
  </si>
  <si>
    <t>Indskudt kapital</t>
  </si>
  <si>
    <t>Lån</t>
  </si>
  <si>
    <t>Egenkapitalopgørelse: Statement of Shareholders' Equity</t>
  </si>
  <si>
    <t>Dividende</t>
  </si>
  <si>
    <t>Overført overskud</t>
  </si>
  <si>
    <t>Total EK</t>
  </si>
  <si>
    <t>Egenkapitalopgørelse - eks</t>
  </si>
  <si>
    <r>
      <t xml:space="preserve">Er strømstørrelse </t>
    </r>
    <r>
      <rPr>
        <sz val="12"/>
        <color theme="1"/>
        <rFont val="Calibri"/>
        <family val="2"/>
        <scheme val="minor"/>
      </rPr>
      <t>- dvs. Opgjort over tid.</t>
    </r>
  </si>
  <si>
    <t>Virksomhedskategorisering ud fra cash-flow:</t>
  </si>
  <si>
    <r>
      <t>Rising star</t>
    </r>
    <r>
      <rPr>
        <sz val="12"/>
        <color theme="1"/>
        <rFont val="Calibri"/>
        <family val="2"/>
        <scheme val="minor"/>
      </rPr>
      <t xml:space="preserve"> - se eksempel</t>
    </r>
  </si>
  <si>
    <r>
      <t>Cash cow</t>
    </r>
    <r>
      <rPr>
        <sz val="12"/>
        <color theme="1"/>
        <rFont val="Calibri"/>
        <family val="2"/>
        <scheme val="minor"/>
      </rPr>
      <t xml:space="preserve"> - se eksempel</t>
    </r>
  </si>
  <si>
    <r>
      <t>Problem child</t>
    </r>
    <r>
      <rPr>
        <sz val="12"/>
        <color theme="1"/>
        <rFont val="Calibri"/>
        <family val="2"/>
        <scheme val="minor"/>
      </rPr>
      <t xml:space="preserve"> - se eksepmel</t>
    </r>
  </si>
  <si>
    <r>
      <t>Old dog</t>
    </r>
    <r>
      <rPr>
        <sz val="12"/>
        <color theme="1"/>
        <rFont val="Calibri"/>
        <family val="2"/>
        <scheme val="minor"/>
      </rPr>
      <t xml:space="preserve"> - se eksempel</t>
    </r>
  </si>
  <si>
    <t>The following information was taken from the annual reports - statements of cash flows - of EDS, Southwest Airlines, and The Gap Inc (dollars in millions).</t>
  </si>
  <si>
    <t>Company</t>
  </si>
  <si>
    <t>Cash from operations</t>
  </si>
  <si>
    <t>Cash from investing</t>
  </si>
  <si>
    <t>Cash from financing</t>
  </si>
  <si>
    <t>Total</t>
  </si>
  <si>
    <t>EDS</t>
  </si>
  <si>
    <t>TECH</t>
  </si>
  <si>
    <t>Southwest</t>
  </si>
  <si>
    <t>Flyselskab</t>
  </si>
  <si>
    <t>The Gap</t>
  </si>
  <si>
    <t>Tøjvirksomhed</t>
  </si>
  <si>
    <t>Question: Each of these companies shows a different cash flow pattern. Explain what these patterns might indicate about each company.</t>
  </si>
  <si>
    <t>Højt positivt CF fra operations og højt negativt fra finansiering</t>
  </si>
  <si>
    <t>&gt; Rising star</t>
  </si>
  <si>
    <t>&gt; Cash cow/Old dog</t>
  </si>
  <si>
    <t>Relative Market Share</t>
  </si>
  <si>
    <t>High</t>
  </si>
  <si>
    <t>Low</t>
  </si>
  <si>
    <t>Rising Star</t>
  </si>
  <si>
    <t>Problem Child</t>
  </si>
  <si>
    <t>Cash Cow</t>
  </si>
  <si>
    <t>Dog</t>
  </si>
  <si>
    <r>
      <t xml:space="preserve">ID2-4 - </t>
    </r>
    <r>
      <rPr>
        <b/>
        <sz val="12"/>
        <color indexed="8"/>
        <rFont val="Calibri"/>
        <family val="2"/>
      </rPr>
      <t>Virksomhedskategorisering ud fra cash-flow</t>
    </r>
  </si>
  <si>
    <r>
      <rPr>
        <b/>
        <sz val="12"/>
        <color indexed="8"/>
        <rFont val="Calibri"/>
        <family val="2"/>
      </rPr>
      <t>Relative Market Growth</t>
    </r>
    <r>
      <rPr>
        <sz val="12"/>
        <color indexed="8"/>
        <rFont val="Calibri"/>
        <family val="2"/>
      </rPr>
      <t xml:space="preserve">                                   High</t>
    </r>
  </si>
  <si>
    <t xml:space="preserve">.--&gt; Modent selskab --&gt; Udbetaler mange dividender eller afbetaler meget gæld </t>
  </si>
  <si>
    <t>(present value)</t>
  </si>
  <si>
    <t>(Fair market value)</t>
  </si>
  <si>
    <t>(replacement cost)</t>
  </si>
  <si>
    <t>(Original cost)</t>
  </si>
  <si>
    <t>E3-3</t>
  </si>
  <si>
    <t>Valuation bases on the balance sheet</t>
  </si>
  <si>
    <t>Name the valuation base(s) that are used for each of the asset and liability accounts shown here.</t>
  </si>
  <si>
    <t>Some assets and liabilities can use more than one valuation base.</t>
  </si>
  <si>
    <t>HINTS</t>
  </si>
  <si>
    <t>Original cost</t>
  </si>
  <si>
    <t>Fair Market value</t>
  </si>
  <si>
    <t>Present value</t>
  </si>
  <si>
    <t>Replacement cost</t>
  </si>
  <si>
    <t>Cash</t>
  </si>
  <si>
    <t>Short-term investments</t>
  </si>
  <si>
    <t>Kortsigtet investering (Aktier, obligationer) ((Hvordan køber og sælger vi)</t>
  </si>
  <si>
    <t>Inventories / Varerlager</t>
  </si>
  <si>
    <t>Varelager / Tænk forsigtighedsprincip</t>
  </si>
  <si>
    <t>Prepaid expenses</t>
  </si>
  <si>
    <t>Forudbetalt forsikring / hvad så vi i sidste uge?</t>
  </si>
  <si>
    <t>Long-term investments</t>
  </si>
  <si>
    <t>Afhænger af typen</t>
  </si>
  <si>
    <t>Notes recieveable / Tilgodehavende</t>
  </si>
  <si>
    <t>(X)</t>
  </si>
  <si>
    <t>Tilgodehavende / Kortsigtet / en betaling</t>
  </si>
  <si>
    <t>Tænk afskrivninger (Hvad sker der her)</t>
  </si>
  <si>
    <t>Equipment</t>
  </si>
  <si>
    <r>
      <t xml:space="preserve">Intangible assets </t>
    </r>
    <r>
      <rPr>
        <b/>
        <sz val="11"/>
        <color indexed="8"/>
        <rFont val="Calibri"/>
        <family val="2"/>
      </rPr>
      <t>(Imaterielt aktiv)</t>
    </r>
  </si>
  <si>
    <t>Short-term payables</t>
  </si>
  <si>
    <t>Kortfristet gæld (indenfor 1 år) (en betaling altså)</t>
  </si>
  <si>
    <t>Long-term payables</t>
  </si>
  <si>
    <t>Langfristet gæld (&gt;1 år) fremtidig betaling</t>
  </si>
  <si>
    <t>1)Kortsigtede investeringer bliver optaget til fair market value</t>
  </si>
  <si>
    <t>3)Langsigtede investeringer bliver optaget til OC, fair market eller ved afskrevet værdi, afhængig af typen</t>
  </si>
  <si>
    <t>4)Langsigtede aktiver, som maskineri, udstyr, immaterielle aktiver er rapporteret på balancen ved netto bogføringsværdien, som er lig OC - den del af OC som er afskrevet til i dag.</t>
  </si>
  <si>
    <t>1) Aktier, obligationer, kan værdisættes objektivt</t>
  </si>
  <si>
    <t xml:space="preserve">2) OC eller replacementcost (pga. forsigtighedsprincippet) bliver rapporteret til den laveste. </t>
  </si>
  <si>
    <t>Prepaid expense --&gt; Man køber forsikring og bogfører den lige bagefter. (Man har taget den i brug)</t>
  </si>
  <si>
    <t>3) Kræver antagelser om diskonteringsrente (patent, obligation eller maskine)</t>
  </si>
  <si>
    <t>Værdiansættelse - eksempel</t>
  </si>
  <si>
    <t>Cascades Enterprises ordered 4.000 brackets from McKey and Company on december 1, 2008, for a contracted price of $40.000.</t>
  </si>
  <si>
    <t>McKey and Company completed manufacturing the brackets on january 17 of the next year and delivered them to cascades on February 9.</t>
  </si>
  <si>
    <t>Mckey recieved a check for $40.000 from Cascased on March 14.</t>
  </si>
  <si>
    <t>a. Assume that McKey and Company prepared monthly income statements. In which month should McKey recognize the $40.000 revenue from the sale?</t>
  </si>
  <si>
    <t>b. Justify your answer in (a) in terms of the four criteria of revenue recognition</t>
  </si>
  <si>
    <t>c. Are there conditions under which the revenue could be recognized in a different month than the month you chose in (a)</t>
  </si>
  <si>
    <t>d. Provide several reasons why McKey's management might be intrested in the timing of the recognition of the revenue</t>
  </si>
  <si>
    <t>a) i februar ( da de leverer varerne her)</t>
  </si>
  <si>
    <t xml:space="preserve">b) </t>
  </si>
  <si>
    <t>1)</t>
  </si>
  <si>
    <t>Selskabet har færdiggjort en signifikant del af produktionen.</t>
  </si>
  <si>
    <t>(ja)</t>
  </si>
  <si>
    <t>2)</t>
  </si>
  <si>
    <t xml:space="preserve">Størrelsen på omsætningen kan blive objektivt målt. </t>
  </si>
  <si>
    <t>(Ja)</t>
  </si>
  <si>
    <t>3)</t>
  </si>
  <si>
    <t xml:space="preserve">Selskabet har afholdt størstedelen af deres omkostninger og de resterende omkostninger kan rimeligt estimeres. </t>
  </si>
  <si>
    <t>4)</t>
  </si>
  <si>
    <t xml:space="preserve">Betalingen er rimelig sikker. Selskabet er ret sikre på, at Cascades er i stand til at betale beløbet til sidst. </t>
  </si>
  <si>
    <t>((Ja))</t>
  </si>
  <si>
    <t xml:space="preserve">c) </t>
  </si>
  <si>
    <t xml:space="preserve">Under de rette omstændigheder, kan omsætningen blive fastsat på forskellige tidspunkter. </t>
  </si>
  <si>
    <t xml:space="preserve">Omsætningen kan fastsættes ved (1) under produktionen, ved (2) når produktionen er færdig, ved (3) når varen bliver leveret eller ved (4) når betalingen er modtaget. </t>
  </si>
  <si>
    <t>Tilfælde (1)</t>
  </si>
  <si>
    <t>Er normalt ved langsigtede bygningsprojekter. (store ting)</t>
  </si>
  <si>
    <t>Tilfælde (2)</t>
  </si>
  <si>
    <t xml:space="preserve">Når produktet tilpasses én forbruger, således, at den ikke kan sælges til andre end den ene forbruger. </t>
  </si>
  <si>
    <t>Tilfælde (3)</t>
  </si>
  <si>
    <t xml:space="preserve">Den mest gængse metode. </t>
  </si>
  <si>
    <t>Tilfæde (4)</t>
  </si>
  <si>
    <t xml:space="preserve">Når betalingen ikke er rimelig sikker. </t>
  </si>
  <si>
    <t xml:space="preserve">d) </t>
  </si>
  <si>
    <t>Skattetænkning</t>
  </si>
  <si>
    <t>Profit udglatning</t>
  </si>
  <si>
    <t>Incitamentsaflønning</t>
  </si>
  <si>
    <t>Revenue recognition</t>
  </si>
  <si>
    <t>.- Hvornår må noget tælles som indtægt</t>
  </si>
  <si>
    <t>E3-4</t>
  </si>
  <si>
    <t>Indtægter(matching) - eks</t>
  </si>
  <si>
    <t>Hydra Aire, inc., sells appliances to Seaons Department Store. A recent order requires Hydra Aire to manufacture and deliver 500 toasters at a price of $100 per unit.</t>
  </si>
  <si>
    <t>Hydra Aire's manufacturing costs are approximately $40 per unit. The following schedule summarizes the production and delivery record of Hydra:</t>
  </si>
  <si>
    <t>year</t>
  </si>
  <si>
    <t>total</t>
  </si>
  <si>
    <t>Toasters produced</t>
  </si>
  <si>
    <t>Costs incurred</t>
  </si>
  <si>
    <t>Toasters delivered</t>
  </si>
  <si>
    <t>Cash recieved</t>
  </si>
  <si>
    <t>a. Assume that Hydra Aire recognizes revenue when the toasters are produced, how much revenue should be recognized in each of the three years?</t>
  </si>
  <si>
    <t>b. Assuming that hydra Aire recognized revenue at delivery, how much revenue should be recognized in each of the three years?</t>
  </si>
  <si>
    <t>c. Calculate net income for the three periods under each of the two assumptions above.</t>
  </si>
  <si>
    <t>d. if Hydra Aire's management is paid an income-based bonus, which of the two assumptions would be preffered?</t>
  </si>
  <si>
    <t>year 1</t>
  </si>
  <si>
    <t>year 2</t>
  </si>
  <si>
    <t>year 3</t>
  </si>
  <si>
    <t>Q.A: Revenue</t>
  </si>
  <si>
    <t>Q.B: Revenue</t>
  </si>
  <si>
    <t>Question C</t>
  </si>
  <si>
    <t>Assumption 1</t>
  </si>
  <si>
    <t>Revenues (from Q.A)</t>
  </si>
  <si>
    <t>Exspenses</t>
  </si>
  <si>
    <t>HUSK MATCHINGPRINCIPPET</t>
  </si>
  <si>
    <t>Net income</t>
  </si>
  <si>
    <t>Assumption 2</t>
  </si>
  <si>
    <t>Revenues (from Q.B)</t>
  </si>
  <si>
    <t>Revenue recognition and net income</t>
  </si>
  <si>
    <t>P3-11</t>
  </si>
  <si>
    <t>E3-8</t>
  </si>
  <si>
    <t>Changing accounting methods and net income</t>
  </si>
  <si>
    <t>The net income amounts for Hauser and Bradley over the four-year period beginning in 2006 follow.</t>
  </si>
  <si>
    <t>(dollars)</t>
  </si>
  <si>
    <t>a)</t>
  </si>
  <si>
    <t>After further examination of the financial report, you note that Hauser and Bradley made accounting methods changes in 2007 and 2009, which affected the net income in those periods</t>
  </si>
  <si>
    <t>in 2009, the ocmpany adopted a new inventory method that increased the book value of the inventory by $9.000</t>
  </si>
  <si>
    <t>a. calculate the effects of each of these changed on net income in the year of the change.</t>
  </si>
  <si>
    <t>b. Prepare a chat that compares net income across the four-year period, assuming that Hauser and Bradley made no accounting changes-</t>
  </si>
  <si>
    <t>How would your assesment of the company's performance change after you learned of the accounting method changes?</t>
  </si>
  <si>
    <t>c. What principle of financial accounting makes it difficult to make such changes? Descibe the conditions under which Hauser and Bradley would be allowed to make changes in their accounting methods.</t>
  </si>
  <si>
    <t>Net income as reported</t>
  </si>
  <si>
    <t>Effect of depreciation change</t>
  </si>
  <si>
    <t>Effect of inventory change</t>
  </si>
  <si>
    <t>Adjusted net income</t>
  </si>
  <si>
    <t xml:space="preserve">(2) Man ændrede hvordan varerlageret blev bogført. --&gt; Det fik den bogførte værdi af varerlageret til at stige med 9000$ . Da vareromkostningerne enten skal på omkostningssiden eller på aktiv siden, må det betyde, </t>
  </si>
  <si>
    <t xml:space="preserve">at omkostningerne er faldet med 9000$ (da aktivet er steget med 9000$) hvilket også vil få nettoindkomsten til at stige 9000$. </t>
  </si>
  <si>
    <t xml:space="preserve">Hvis ikke de havde ændret regnskabsmetode, ville selskabet have faldende profit. </t>
  </si>
  <si>
    <t xml:space="preserve">Med ændret regnskabsførelse har man stigende profit. </t>
  </si>
  <si>
    <t>c)</t>
  </si>
  <si>
    <t xml:space="preserve">Konsistens princippet (principle of consistency) </t>
  </si>
  <si>
    <t xml:space="preserve">Siger, at selskabet skal bruge samme regnskabsmetode fra år til år. Dette sikrer, at man kan sammenligne forskellige års regnskaber. </t>
  </si>
  <si>
    <t xml:space="preserve">hvis man overtaler ens revisorer, kan man godt få lov at skifte. </t>
  </si>
  <si>
    <t>Hvis de kan retfærdiggøre over for revisoren at det giver et mere retvisende billede</t>
  </si>
  <si>
    <t>Konsistens - eksempel</t>
  </si>
  <si>
    <t>E4-19</t>
  </si>
  <si>
    <t>Peters Company was in business for two years, during which it entered into the following transactions:</t>
  </si>
  <si>
    <t>Year 1:</t>
  </si>
  <si>
    <t>1. The owners contributed $24000 cash.</t>
  </si>
  <si>
    <t>2. At the beginning of the year, rented a warehouse for two years with a prepaid rent payment of $12000.</t>
  </si>
  <si>
    <t>3. Purchased $10000 inventory on account.</t>
  </si>
  <si>
    <t>4. Sold half the inventory for $24000, receiving $20000 in cash and an account receivable of $4000.</t>
  </si>
  <si>
    <t>5. Paid wages of $6000 and also accrued wages payable of $4000.</t>
  </si>
  <si>
    <r>
      <t xml:space="preserve">Betaler løn og </t>
    </r>
    <r>
      <rPr>
        <b/>
        <i/>
        <sz val="12"/>
        <color indexed="8"/>
        <rFont val="Calibri"/>
        <family val="2"/>
      </rPr>
      <t xml:space="preserve">afholder </t>
    </r>
    <r>
      <rPr>
        <b/>
        <sz val="12"/>
        <color indexed="8"/>
        <rFont val="Calibri"/>
        <family val="2"/>
      </rPr>
      <t>løn men betaler ikke</t>
    </r>
  </si>
  <si>
    <t>Year 2:</t>
  </si>
  <si>
    <t>1. Paid the outstanding balance for the inventory purchased in Year 1.</t>
  </si>
  <si>
    <t>2. Paid the outstanding wages payable balance.</t>
  </si>
  <si>
    <t>3. Sold the remaining inventory for $30000 cash.</t>
  </si>
  <si>
    <t>4. Received full payment on the outstanding accounts receivable.</t>
  </si>
  <si>
    <t>5. Incurred and paid wages of $12000.</t>
  </si>
  <si>
    <t>6. Returned the cash balance to the owners and shut down operations.</t>
  </si>
  <si>
    <t>a. Prepare an income statement and a statement of cash flows for both Year 1 and Year 2.</t>
  </si>
  <si>
    <t>År 1</t>
  </si>
  <si>
    <t>note</t>
  </si>
  <si>
    <t>Statement of cash flows</t>
  </si>
  <si>
    <t>Indtægt</t>
  </si>
  <si>
    <t>Driftaktivitet</t>
  </si>
  <si>
    <t>Leje</t>
  </si>
  <si>
    <t>Omkostning</t>
  </si>
  <si>
    <t>Løn</t>
  </si>
  <si>
    <t>Vareomkostninger</t>
  </si>
  <si>
    <t>Profit</t>
  </si>
  <si>
    <t>Finans</t>
  </si>
  <si>
    <t>Ending Cash Balance</t>
  </si>
  <si>
    <t>År 2</t>
  </si>
  <si>
    <t>Start Cash Balance</t>
  </si>
  <si>
    <t>Vareomkostning</t>
  </si>
  <si>
    <t>Løn udestående</t>
  </si>
  <si>
    <t>Tilgodehavende</t>
  </si>
  <si>
    <t>Løn for indeværende</t>
  </si>
  <si>
    <t>b. Complete a chart like the following.</t>
  </si>
  <si>
    <t>Year 1</t>
  </si>
  <si>
    <t>Year 2</t>
  </si>
  <si>
    <t>Net cash flow from operating activities</t>
  </si>
  <si>
    <t>Ved gearing forstås at øge gælden i virksomheden</t>
  </si>
  <si>
    <t>Gearing af kapitalstruktur - GKS</t>
  </si>
  <si>
    <t>GKS = Aktiver/egenkapital</t>
  </si>
  <si>
    <t>Hvor meget kapital en virksomhed</t>
  </si>
  <si>
    <t xml:space="preserve">har til rådighed pr. Krone investeret </t>
  </si>
  <si>
    <t>fra auktionærerne</t>
  </si>
  <si>
    <t>Giver et overblik over virksomhedens gearingsgrad</t>
  </si>
  <si>
    <t>Hvis GKS &gt; 1: Er virksomheden gearet med gæld(x antal gange)</t>
  </si>
  <si>
    <t>GKS er et mål for virksomhedens kapitalstruktur</t>
  </si>
  <si>
    <t>Gearing øger EKF hvis renten er lavere end AG</t>
  </si>
  <si>
    <t>(capital structure leverage - CSL)</t>
  </si>
  <si>
    <t>(Common equity leverage - CEL)</t>
  </si>
  <si>
    <t>GIS = Resultat/resultat før renter</t>
  </si>
  <si>
    <t>Hvor stor en del af virksomhedens</t>
  </si>
  <si>
    <t>indtjening tilfalder auktionærerne</t>
  </si>
  <si>
    <t>Proportional med GKS - De avendes altid sammen.</t>
  </si>
  <si>
    <t>Jo større gæld virksomheden har jo større andel af indtjeningen</t>
  </si>
  <si>
    <t>tilfalder kreditorerne.</t>
  </si>
  <si>
    <t xml:space="preserve">Jo højere rentefod virksomheden betaler jo større andel af </t>
  </si>
  <si>
    <t>indtjeningen tilfalder kreditorerne</t>
  </si>
  <si>
    <t>RM = Renter/gæld</t>
  </si>
  <si>
    <t>Gennemsnitlige renteomkostninger</t>
  </si>
  <si>
    <t>for virksomhedens gæld.</t>
  </si>
  <si>
    <t>OBS! - ikke al gæld er rentebærende</t>
  </si>
  <si>
    <t>Lidt misvisende navn for dette nøgletal - RM er ofte højere end</t>
  </si>
  <si>
    <t>gennemsnitsrenten.</t>
  </si>
  <si>
    <t xml:space="preserve">Er AG større en RM kan der principielt tjenes flere penge ved </t>
  </si>
  <si>
    <t>at geare egenkapitalen.</t>
  </si>
  <si>
    <t>Gering af indkomststrukturen - GIS</t>
  </si>
  <si>
    <t>Finansiel gearing - FG</t>
  </si>
  <si>
    <t>FG = GKS * GIS</t>
  </si>
  <si>
    <t>FG = (Aktiver/egenkapital)*(Resultat/resultat før renter)</t>
  </si>
  <si>
    <t xml:space="preserve">GKS og GIS koblet sammen kaldes </t>
  </si>
  <si>
    <t>finansiel gearing</t>
  </si>
  <si>
    <t xml:space="preserve">Dupont dekomponering bruges ofte til at finde ud af hvad </t>
  </si>
  <si>
    <t>der er grunden til ændringer i en virksomhed</t>
  </si>
  <si>
    <t>P5-2</t>
  </si>
  <si>
    <t>Borrow or issue equity: Effects on the financial ratios</t>
  </si>
  <si>
    <t>Edgemont Repairs began operations on january 1, 2007. The 2007, 2008 and 2009 financial statements follows:</t>
  </si>
  <si>
    <t>Current assets</t>
  </si>
  <si>
    <t>Noncurrent assets</t>
  </si>
  <si>
    <t>Total assets</t>
  </si>
  <si>
    <t>Liabilities and Shareholders' Equity</t>
  </si>
  <si>
    <t>Current liabilites</t>
  </si>
  <si>
    <t>Long-term liabilities</t>
  </si>
  <si>
    <t>Shareholders' equity</t>
  </si>
  <si>
    <t>Total libailities and shareholders' equity</t>
  </si>
  <si>
    <t>Revenues</t>
  </si>
  <si>
    <t>Operating expenses</t>
  </si>
  <si>
    <t>Interest expense</t>
  </si>
  <si>
    <t>Income taxes</t>
  </si>
  <si>
    <t>Dividends</t>
  </si>
  <si>
    <t>Numbers of shares outstanding</t>
  </si>
  <si>
    <t>On january 1, 2009, the company expanded operations by taking out a $40.000 long-term loan at a 10 percent annual interest rate.</t>
  </si>
  <si>
    <t>Required:</t>
  </si>
  <si>
    <t>a.</t>
  </si>
  <si>
    <t>Compute return on equity, return on assets, common equity leverage, capital structure leverage, profit margin and asset turnover.</t>
  </si>
  <si>
    <t>ROE</t>
  </si>
  <si>
    <t>Egenkapitalens forrentning</t>
  </si>
  <si>
    <t>Hvor godt forrenter VSH den indskudte kapital</t>
  </si>
  <si>
    <t>ROA</t>
  </si>
  <si>
    <t>Afkastgraden</t>
  </si>
  <si>
    <t>Hvor godt forrenter VSH den samlede kapital</t>
  </si>
  <si>
    <t>CEL</t>
  </si>
  <si>
    <t>Gearing i indkomststrukturen</t>
  </si>
  <si>
    <t>Gearing målt ved indkomst og renter</t>
  </si>
  <si>
    <t>CSL</t>
  </si>
  <si>
    <t>Gearing i kapitalstrukturen</t>
  </si>
  <si>
    <t>Gearing målt ved indskudt kapital og lån</t>
  </si>
  <si>
    <t>PM</t>
  </si>
  <si>
    <t>Profit Margin</t>
  </si>
  <si>
    <t>Hvor meget kan VSH 'beholde' selv fra oms?</t>
  </si>
  <si>
    <t>AT</t>
  </si>
  <si>
    <t>Omsætningshastighed</t>
  </si>
  <si>
    <t>Hvor dygtig er virksomheden til at genere omsætning ud fra sine aktiver?</t>
  </si>
  <si>
    <t>b.</t>
  </si>
  <si>
    <t>On january 1, 2009, the company's common stock was selling for $20 per share. Assume the Edgemont issued 2.000 shares of stock</t>
  </si>
  <si>
    <t>instead of borrowing the ¤40.000, to raise the cash needed to pay for the january 1 expansion. Recompute the ratios in (a) for 2009.</t>
  </si>
  <si>
    <t>Ignore any tax effects.</t>
  </si>
  <si>
    <t>c.</t>
  </si>
  <si>
    <t>Should the company have issued the equity instead of borrowing the funds? Explain.</t>
  </si>
  <si>
    <t>Dupont dekomponering - eks</t>
  </si>
  <si>
    <t>Solvens og soliditetsgrad</t>
  </si>
  <si>
    <t>Giver et overblik over virksomhedens</t>
  </si>
  <si>
    <t>kortsigtede likviditetsbehov</t>
  </si>
  <si>
    <t>(current ratio)</t>
  </si>
  <si>
    <t>Likviditetsgrad - LG-1</t>
  </si>
  <si>
    <t>Likviditetsgrad - LG-2</t>
  </si>
  <si>
    <t>(Quick ratio)</t>
  </si>
  <si>
    <t>LG-1 = Omsætningsaktiver/kortfristet gæld</t>
  </si>
  <si>
    <t>kortsigtede likviditetsbehov.</t>
  </si>
  <si>
    <t>Samme tankegang som ved LG-1, dog fraregner man her</t>
  </si>
  <si>
    <t>varelagre. Dermed er dette et strengere mål.</t>
  </si>
  <si>
    <t>P5-4</t>
  </si>
  <si>
    <t>Comprehensive ratio analysis</t>
  </si>
  <si>
    <t>You have just been hired as a stock analyst for a large stock brokerage company. Yourfirst assignment is to analyze the performance of Gidley Electronics.</t>
  </si>
  <si>
    <t>The company's balance sheet for 2008 and 2009 is presented below and on the next page.</t>
  </si>
  <si>
    <t>Current assets:</t>
  </si>
  <si>
    <t xml:space="preserve">  Cash</t>
  </si>
  <si>
    <t xml:space="preserve">  Short-term marketable securities</t>
  </si>
  <si>
    <t xml:space="preserve">  Accounts receivable</t>
  </si>
  <si>
    <t xml:space="preserve">  Inventory</t>
  </si>
  <si>
    <t xml:space="preserve">  Prepaid expenses</t>
  </si>
  <si>
    <t>Total current</t>
  </si>
  <si>
    <t>Property, plant and equipment</t>
  </si>
  <si>
    <t>Less: Accumulated depreciation</t>
  </si>
  <si>
    <t>Liabilities and shareholders' equity</t>
  </si>
  <si>
    <t>Current liabilities:</t>
  </si>
  <si>
    <t xml:space="preserve">  Accounts payable</t>
  </si>
  <si>
    <t xml:space="preserve">  Wages payable</t>
  </si>
  <si>
    <t xml:space="preserve">  Unearned revenue</t>
  </si>
  <si>
    <t xml:space="preserve">  Income taxes payable</t>
  </si>
  <si>
    <t xml:space="preserve">  Current portion of long-term debt</t>
  </si>
  <si>
    <t>Total current liabilities</t>
  </si>
  <si>
    <t>Bonds payable</t>
  </si>
  <si>
    <t>Common stock ($10 par value)</t>
  </si>
  <si>
    <t>Additional paid-in capital</t>
  </si>
  <si>
    <t>Retained earnings</t>
  </si>
  <si>
    <t>Total liabilities and shareholders' equity</t>
  </si>
  <si>
    <t>The company's income statement statement and reconciliation of retained earnings for the years ended december 31, 2008 and 2009 are presented below.</t>
  </si>
  <si>
    <t>Revenue:</t>
  </si>
  <si>
    <t xml:space="preserve">  Net cash sales</t>
  </si>
  <si>
    <t xml:space="preserve">  Net credit sales</t>
  </si>
  <si>
    <t>Total revenue</t>
  </si>
  <si>
    <t>Cost of goods sold:</t>
  </si>
  <si>
    <t xml:space="preserve">  Beginning inventory</t>
  </si>
  <si>
    <t xml:space="preserve">  Net purchases</t>
  </si>
  <si>
    <t xml:space="preserve">  Cost of golds available for sale</t>
  </si>
  <si>
    <t xml:space="preserve">  Less. Ending inventory</t>
  </si>
  <si>
    <t>Cost of goods sold total</t>
  </si>
  <si>
    <t>Gross profit</t>
  </si>
  <si>
    <t>Selling and administrative expenses:</t>
  </si>
  <si>
    <t xml:space="preserve">  Depreciation expense</t>
  </si>
  <si>
    <t xml:space="preserve">  General selling expense</t>
  </si>
  <si>
    <t xml:space="preserve">  General administrative expenses</t>
  </si>
  <si>
    <t>Net operating income</t>
  </si>
  <si>
    <t>Net income from continuing operations before taxes</t>
  </si>
  <si>
    <t>Reconciliation of retained earnings</t>
  </si>
  <si>
    <t>Beginning retained earnings balance</t>
  </si>
  <si>
    <t>Plus: Net income</t>
  </si>
  <si>
    <t>Less: Dividends</t>
  </si>
  <si>
    <t>Ending retained earnings balance</t>
  </si>
  <si>
    <t>The market prices of the company's stock as of january 1, 2008, december 31, 2008, and december 31, 2009 were $65, $69 and $54 per share, respectively.</t>
  </si>
  <si>
    <t>The january 1, 2008 balance in shareholders' equity was $450.000, there were no changes in the number of common shares outstanding or in accounts</t>
  </si>
  <si>
    <t>receivable during 2008, and the income tax rate was 40 percent for 2008 and 2009. Total assets as of january 1, 2008, were $1.450.000</t>
  </si>
  <si>
    <t>Answer the following question (including and relevant ratios in your answers) for both 2008 and 2009.</t>
  </si>
  <si>
    <t>Unless the december 31, 2007 balance is provided, assume that the december 31, 2008 balance reflects the average balance during 2008.</t>
  </si>
  <si>
    <t>1. How effective is the company at managing investments made by the equity owners?</t>
  </si>
  <si>
    <t>EK</t>
  </si>
  <si>
    <t>2. Is the company using debt to the best interests of the equity owners?</t>
  </si>
  <si>
    <t>Financial Lev = ROE - ROA</t>
  </si>
  <si>
    <t>3. Can the company meet its current obligations using current assets? Using cash-like assets?</t>
  </si>
  <si>
    <t>Current Ratio</t>
  </si>
  <si>
    <t>Quick ratio</t>
  </si>
  <si>
    <t>4. How sensitive are stock prices to changes in earnings?</t>
  </si>
  <si>
    <t>Market price</t>
  </si>
  <si>
    <t>EPS</t>
  </si>
  <si>
    <t>P/E</t>
  </si>
  <si>
    <t>5. How many days is the average account receivable outstanding? Are the days outstanding increasing or decreasing?</t>
  </si>
  <si>
    <t>RT</t>
  </si>
  <si>
    <t># days</t>
  </si>
  <si>
    <t>Rentemarginalen - RM</t>
  </si>
  <si>
    <t>SG = Egenkapital/aktiver</t>
  </si>
  <si>
    <t>aktiver udgøres af egenkapital</t>
  </si>
  <si>
    <t>Det er den omvendte brøk af GKS</t>
  </si>
  <si>
    <t>Måler virksomhedens robusthed over for negative stød</t>
  </si>
  <si>
    <t>til indtjenningsevnen - fx en årrække med underskud</t>
  </si>
  <si>
    <t>Værdiskabelse</t>
  </si>
  <si>
    <t>(Oppertunity cost)</t>
  </si>
  <si>
    <t>risikofrit afkast = bankens indlånsrente</t>
  </si>
  <si>
    <t>risikopræmie = markedsprisen på den risiko som investeringen indebærer</t>
  </si>
  <si>
    <t>Ejerne har en alternativomkostning</t>
  </si>
  <si>
    <t>ved at investere i en virksomhed</t>
  </si>
  <si>
    <t>Konceptuel værdiskabelse</t>
  </si>
  <si>
    <t>Egenkapitalomkostning = risikofrit afkast + risikopræmie</t>
  </si>
  <si>
    <t>Værdi = EKF - Egenkapitalomkostning</t>
  </si>
  <si>
    <t>Risikopræmien er dog utrolig svær at måle i praksis</t>
  </si>
  <si>
    <t>Dekomponeret:</t>
  </si>
  <si>
    <t>Virksomhedens evne til at tjene på salg</t>
  </si>
  <si>
    <t xml:space="preserve">Virksomhedens evne til at øge overskuddet ved hjælp af </t>
  </si>
  <si>
    <t>fremmedkapital.</t>
  </si>
  <si>
    <t>EKF = OG * AOH * FG</t>
  </si>
  <si>
    <t>EKF = OG * AOH * GKS * GIS</t>
  </si>
  <si>
    <t xml:space="preserve">De 3 underinddelinger, OG, AOH, FG som EKF består af, svarer </t>
  </si>
  <si>
    <t>Groft til de 3 typer af aktiviteter som en virksomhed beskæftiger</t>
  </si>
  <si>
    <t>sig med:</t>
  </si>
  <si>
    <r>
      <t xml:space="preserve">.- </t>
    </r>
    <r>
      <rPr>
        <b/>
        <sz val="12"/>
        <color indexed="8"/>
        <rFont val="Calibri"/>
        <family val="2"/>
      </rPr>
      <t>Investering</t>
    </r>
    <r>
      <rPr>
        <sz val="12"/>
        <color theme="1"/>
        <rFont val="Calibri"/>
        <family val="2"/>
        <scheme val="minor"/>
      </rPr>
      <t>: AOH - investering, optimal kapitalbinding i forhold</t>
    </r>
  </si>
  <si>
    <t>til generering af indtægter(investment management)</t>
  </si>
  <si>
    <t>(finance management)</t>
  </si>
  <si>
    <t>Hvornår øger gæld egenkapitalensforrentning?:</t>
  </si>
  <si>
    <t>Resultat før renter/aktiver &gt; renter/gæld --&gt; gæld øger EKF</t>
  </si>
  <si>
    <t>Resultat før renter/aktiver &lt; renter/gæld --&gt; gæld reducerer EKF</t>
  </si>
  <si>
    <t>Dette tager dog ikke højde for den øgede risiko ved at stifte gæld</t>
  </si>
  <si>
    <t>EKF = AG * FG</t>
  </si>
  <si>
    <t>Yderligere dekomponeret:</t>
  </si>
  <si>
    <t>Price-earnings ratio - P/E</t>
  </si>
  <si>
    <t>P/E = Markedspris pr. Aktie/Resultat pr. Aktie</t>
  </si>
  <si>
    <t>Resultat pr. Aktie</t>
  </si>
  <si>
    <t>(Earnings per share)</t>
  </si>
  <si>
    <t>Resultat pr. Aktie = Resultat/antal aktier udstedt</t>
  </si>
  <si>
    <t>Regnskabsmæssigt udtryk for det</t>
  </si>
  <si>
    <t xml:space="preserve">overskud som tilfalder den enkelte </t>
  </si>
  <si>
    <t xml:space="preserve">aktie </t>
  </si>
  <si>
    <t xml:space="preserve">Det absolutte tal er ikke særlig informativt fx er 5 kroner per </t>
  </si>
  <si>
    <t>aktie meget eller lidt?</t>
  </si>
  <si>
    <t>Svaret afhænger i særdeleshed af aktiens markedspris</t>
  </si>
  <si>
    <t>Repræsenterer aktien fx en investering på 100 eller 1000 kr.</t>
  </si>
  <si>
    <t>Hvis det antages at resultatet er</t>
  </si>
  <si>
    <t>konstant over tid:</t>
  </si>
  <si>
    <t>P/E udtrykker hvor meget en investor</t>
  </si>
  <si>
    <t xml:space="preserve">betaler pr. Kr overskud i alle fremtidige </t>
  </si>
  <si>
    <t>perioder.</t>
  </si>
  <si>
    <t>En lav P/E betyder at man ved at købe aktien får en given</t>
  </si>
  <si>
    <t>indkomststrøm relativt billigt</t>
  </si>
  <si>
    <t>Dog er resultatet ikke konstant over tid.</t>
  </si>
  <si>
    <t>Det vigtigste element i prisfastsættelsen af en aktie</t>
  </si>
  <si>
    <t>er forventningerne til fremtidig indtjening.</t>
  </si>
  <si>
    <t>En lav P/E betyder ikke at aktien er prissat for lavt - men derimod</t>
  </si>
  <si>
    <t>at markedet forventer stagnerende eller faldende overskud.</t>
  </si>
  <si>
    <t>Aktieafkast</t>
  </si>
  <si>
    <t>Aktieafkast = (Kurs1 - Kurs0 + Udbytte)/Kurs0</t>
  </si>
  <si>
    <t xml:space="preserve">Aktieafkastet udtrykker det </t>
  </si>
  <si>
    <t>markedsmæssige afkast til auktionærerne</t>
  </si>
  <si>
    <t>Aktieafkastet består af 2 komponenter:</t>
  </si>
  <si>
    <t xml:space="preserve">.- Kursgevinst </t>
  </si>
  <si>
    <t>.- Udbytte</t>
  </si>
  <si>
    <t xml:space="preserve">Hvis aktien sælges efter periode 1 er det samlede afkast netop </t>
  </si>
  <si>
    <t>summen af de to komponenter.</t>
  </si>
  <si>
    <t>Aktieafkast - eksempel</t>
  </si>
  <si>
    <t>Incitamenter fra ledelsen for udskydning/fremskyndning af visse ting</t>
  </si>
  <si>
    <t xml:space="preserve">Nøgletal og Regnskabsanalyse - Nøgletal og Regnskabsanalyse - Nøgletal og Regnskabsanalyse - Nøgletal og Regnskabsanalyse - Nøgletal og Regnskabsanalyse - Nøgletal og Regnskabsanalyse - Nøgletal og Regnskabsanalyse </t>
  </si>
  <si>
    <t>Investeringsteori</t>
  </si>
  <si>
    <t>Regnskaber</t>
  </si>
  <si>
    <t>Investeringer - Investeringer - Investeringer - Investeringer - Investeringer - Investeringer - Investeringer - Investeringer - Investeringer - Investeringer - Investeringer - Investeringer - Investeringer - Investeringer - Investeringer - Investeringer</t>
  </si>
  <si>
    <t>En investering er en binding(aktivering) af kapital med henblik på at generere fremtidige indtægter</t>
  </si>
  <si>
    <t>Der findes 2 typer af investeringer: anlægsinvesteringer og portefølgeinvesteringer</t>
  </si>
  <si>
    <t>Investeringsteorien beskæftiger sig mest med anlægsinvesteringer</t>
  </si>
  <si>
    <t>Anlægsinvesteringer</t>
  </si>
  <si>
    <t>Set fra virksomhedens synspunkt - investering i nye aktiver,</t>
  </si>
  <si>
    <t>produktionsapparat, produktudvikling, mv.</t>
  </si>
  <si>
    <t>Karakteriseret ved en række ind- og</t>
  </si>
  <si>
    <t xml:space="preserve">udbetalinger som er tidsmæssigt </t>
  </si>
  <si>
    <t>Betalingerne er skønsbaserede -</t>
  </si>
  <si>
    <t xml:space="preserve">usikkerheden omkring deres faktiske </t>
  </si>
  <si>
    <t>sørrelse ignoreres i de teoretiske rammer</t>
  </si>
  <si>
    <t>adskilte.</t>
  </si>
  <si>
    <t>Indbetalinger</t>
  </si>
  <si>
    <t>investeringen.</t>
  </si>
  <si>
    <t>Består af:</t>
  </si>
  <si>
    <t>.- Indtægter fra salg - løbende afkast til</t>
  </si>
  <si>
    <t xml:space="preserve">.- Salgsværdi af anlægsaktivet(scrapværdi) </t>
  </si>
  <si>
    <t>når investeringen nedlægges</t>
  </si>
  <si>
    <t>Udbetalinger</t>
  </si>
  <si>
    <t>.- investering i produktionsanlæg,</t>
  </si>
  <si>
    <t>udvikling af ny produkt, mv., som</t>
  </si>
  <si>
    <t>regel til tidspunkt t=0</t>
  </si>
  <si>
    <t>.- løbende omkostninger til produktion</t>
  </si>
  <si>
    <t xml:space="preserve"> og vedligeholdelse</t>
  </si>
  <si>
    <t>Generelt om investeringer og</t>
  </si>
  <si>
    <t>investeringsteori</t>
  </si>
  <si>
    <t>Undet antagelser om betalingernes størrelse samt deres tidsmæssige placering, er investeringsteorien</t>
  </si>
  <si>
    <t xml:space="preserve">et redskab til at besvare spørgsmål såsom; </t>
  </si>
  <si>
    <t>.- "Er en given investering rentabel for virksomheden?"</t>
  </si>
  <si>
    <t>.- "Er investering A mere fordelagtig for virksomheden fremfor investering B?"</t>
  </si>
  <si>
    <t>Rentesregning</t>
  </si>
  <si>
    <t>Nutidsværdi - NV</t>
  </si>
  <si>
    <t>(Net Present Value - NPV)</t>
  </si>
  <si>
    <t>(Present Value - PV)</t>
  </si>
  <si>
    <t>.=NUTIDSVÆRDI(RENTE;VÆRDI1;VÆRDI2)</t>
  </si>
  <si>
    <t>NV</t>
  </si>
  <si>
    <t>NV0 = FVn*(1 + r)^-n</t>
  </si>
  <si>
    <t>Nutidsværdi udtrykker den aktuelle værdi af fremtidige betalinger.</t>
  </si>
  <si>
    <t>Investeringer involverer typisk en række ind- og udbetalinger som</t>
  </si>
  <si>
    <t xml:space="preserve"> falder over en længere tidsperiode. </t>
  </si>
  <si>
    <t>Betalinger spredt over forskellige tidspunkter kan ikke umiddelbart</t>
  </si>
  <si>
    <t xml:space="preserve">sammenlignes. </t>
  </si>
  <si>
    <t xml:space="preserve">Rentemæssig frem- og tilbageskrivning giver et teoretisk grundlag </t>
  </si>
  <si>
    <t>for sammenlignning af betalingerne</t>
  </si>
  <si>
    <t>(Kalkulations)Renten</t>
  </si>
  <si>
    <t>Kalkulationsrenten for en given investering</t>
  </si>
  <si>
    <t>er investeringens alternativrente</t>
  </si>
  <si>
    <t xml:space="preserve">Renten bør afspejle investeringens overordnede risiko, og øvrige </t>
  </si>
  <si>
    <t>forhold som påvirker værdien af fremtidige betalinger - fx inflation.</t>
  </si>
  <si>
    <t>Teoretisk antages denne rente at være kendt eksakt</t>
  </si>
  <si>
    <t>n: antal perioder</t>
  </si>
  <si>
    <t>r: renten</t>
  </si>
  <si>
    <t>FV: fremtidsværdien</t>
  </si>
  <si>
    <t>Fremtidsværdien</t>
  </si>
  <si>
    <t>Den fremtidige værdi af et beløb valgt i dag</t>
  </si>
  <si>
    <t>hvor der tages hensyn til renten.</t>
  </si>
  <si>
    <t>FVn = NV0*(1 + r)^-n</t>
  </si>
  <si>
    <t>.=-NV(RENTE;PERIODER;YDELSE;FREMTIDSVÆRDI)</t>
  </si>
  <si>
    <t>.=-FV(RENTE;PERIODER;YDELSE;NUTIDSVÆRDI)</t>
  </si>
  <si>
    <t xml:space="preserve">Angiver altså hvor meget man har til rådighed hvis man lægger NV </t>
  </si>
  <si>
    <t>til side i dag.</t>
  </si>
  <si>
    <t>Angiver altså hvor meget man skal lægge til side i dag for at have FV</t>
  </si>
  <si>
    <t>til rådighed om n perioder.</t>
  </si>
  <si>
    <t>FV: Fremtidsværdi af beløbet NV</t>
  </si>
  <si>
    <t>NV: Nutidsværdi af beløbet NV</t>
  </si>
  <si>
    <t>Fremtidsværdi - eksempel</t>
  </si>
  <si>
    <t>Nutidsværdi - eksempel</t>
  </si>
  <si>
    <t>Diskonteringsfaktoren</t>
  </si>
  <si>
    <t>Disk. Fakt. = (1+r)^-n</t>
  </si>
  <si>
    <t>Angiver hvor stor en andel af det fremtidige</t>
  </si>
  <si>
    <t xml:space="preserve"> beløb som tilskrives nutidsværdien</t>
  </si>
  <si>
    <t>Betalingsrækker</t>
  </si>
  <si>
    <t>Nutidværdi for betalingsrækker</t>
  </si>
  <si>
    <t>(Nettonutidsværdi - NNV)</t>
  </si>
  <si>
    <t>NNV = -NV0+NV1(1+r)^-n+…+NVn(1+r)^-n</t>
  </si>
  <si>
    <t>Med Excel formel:</t>
  </si>
  <si>
    <t>n</t>
  </si>
  <si>
    <t>Værdier</t>
  </si>
  <si>
    <t>r</t>
  </si>
  <si>
    <t>NNV</t>
  </si>
  <si>
    <t>Nettonutidsværdi - eks'!A1</t>
  </si>
  <si>
    <t>A: fast periodevis indbetaling/ydelse</t>
  </si>
  <si>
    <t>Korrespenderer en fast periodevis betlaing/ydelse til et tilsvarende</t>
  </si>
  <si>
    <t>beløb i nutidsværdi</t>
  </si>
  <si>
    <t>og omvendt - et beløb stående i nutidsværdi kan skrives som en</t>
  </si>
  <si>
    <t xml:space="preserve"> annuitet givet ved en rente og et antal perioder</t>
  </si>
  <si>
    <t>Annuitetsformlen - NV(A,r,n)</t>
  </si>
  <si>
    <t>Annitetsfaktoren - a("aplha")(n,r)</t>
  </si>
  <si>
    <t>a(n,r) = (1-(1+r)^-n)/r</t>
  </si>
  <si>
    <t>Beskriver forholdet mellem et beløb i</t>
  </si>
  <si>
    <t xml:space="preserve"> nutidsværdi og den tilsvarende annuitetsværdi.</t>
  </si>
  <si>
    <t>Excel formel:</t>
  </si>
  <si>
    <t>A</t>
  </si>
  <si>
    <t>Annuitets - eks</t>
  </si>
  <si>
    <t>Beregner annuiteten A</t>
  </si>
  <si>
    <t>.=-NV(RENTE;PERIODER;YDELSE)</t>
  </si>
  <si>
    <t>Berenger NV af en annuitetsrække</t>
  </si>
  <si>
    <t>.=RENTE(PERIODER;YDELSE;NUTIDSVÆRDI;FREMTIDSVÆRDI)</t>
  </si>
  <si>
    <t>Beregner renten når de øvrige variable kendes</t>
  </si>
  <si>
    <t>Perioder</t>
  </si>
  <si>
    <t>.=nper(RENTE;YDELSE;NV;FV)</t>
  </si>
  <si>
    <t>Beregner antallet af perioder når de øvrige</t>
  </si>
  <si>
    <t xml:space="preserve"> variable kendes</t>
  </si>
  <si>
    <t xml:space="preserve">En betalingsrække forløber over nogle </t>
  </si>
  <si>
    <t>perioder</t>
  </si>
  <si>
    <t xml:space="preserve">Annuitetsformlen korrigeret for </t>
  </si>
  <si>
    <t>Undetiden er det nødvendigt at antage</t>
  </si>
  <si>
    <t>at der vil ske vækst eller inflation i en</t>
  </si>
  <si>
    <t>annuitet</t>
  </si>
  <si>
    <t>vækst/inflation</t>
  </si>
  <si>
    <t xml:space="preserve">Betalingsrækken vil dermed ikke længere være en annuitet, men </t>
  </si>
  <si>
    <t>kan dog stadig beregnines med annuitetsformlen.</t>
  </si>
  <si>
    <t>Dette gøres i praksis ved at korrigere for væksten direkte i kalk. Renten</t>
  </si>
  <si>
    <t>Den vækstkorrigerede kalk. Rente:</t>
  </si>
  <si>
    <t>q = (1+r)/(1+g)-1</t>
  </si>
  <si>
    <t>Formlen bliver da:</t>
  </si>
  <si>
    <t>NV(A,q,n) = A((1-(1+q)^-n)/q)</t>
  </si>
  <si>
    <t>A: angiver "annuitetens" størrelse i n=0</t>
  </si>
  <si>
    <t>altså det hypotetisk modtagede beløb</t>
  </si>
  <si>
    <t>Beregner den fremtidige opsparing af et</t>
  </si>
  <si>
    <t>fast annuitetsbeløb</t>
  </si>
  <si>
    <t>Det antages at første indbetaling sker ved udgangen af periode 1</t>
  </si>
  <si>
    <t>og at sidste indbetaling sker lige inden opgørelsestidspunktet.</t>
  </si>
  <si>
    <t>FVn(A,r,n) = A(((1+r)^n-1)/r)</t>
  </si>
  <si>
    <t>NV(A,r,n) = A(((1-(1+r)^-n)/r)</t>
  </si>
  <si>
    <t>.=-Ydelse(RENTE;PERIODER;NV)</t>
  </si>
  <si>
    <t>.=-Ydelse(RENTE;PERIODER;FV)</t>
  </si>
  <si>
    <t>.=-FV(RENTE;PERIODER;YDELSE)</t>
  </si>
  <si>
    <t>Opsparingsfaktoren - s(n,r)</t>
  </si>
  <si>
    <t>Opsparingsformlen - FV(A,r,n)</t>
  </si>
  <si>
    <t>s(m,r) = ((1+r)^n-1)/r)</t>
  </si>
  <si>
    <t>FVn(A,r,n)</t>
  </si>
  <si>
    <t>Opsparingsformlen - eks</t>
  </si>
  <si>
    <t>Kan korrigeres for vækst på samme vis som annuitetsformlen</t>
  </si>
  <si>
    <t>Dette betyder at man skal gange A med r, for at få den rigtige ydelse.</t>
  </si>
  <si>
    <t>Gordons formel</t>
  </si>
  <si>
    <t>NV = (A(1+g))/(r-g)</t>
  </si>
  <si>
    <t>Gordons formel uden vækst:</t>
  </si>
  <si>
    <t>Gordons formel med vækst:</t>
  </si>
  <si>
    <t>NV = A/r</t>
  </si>
  <si>
    <t>Beregner nutidsværdien af en</t>
  </si>
  <si>
    <t xml:space="preserve"> uendeligbetalingsrække med vækstraten g</t>
  </si>
  <si>
    <t>og renten r.</t>
  </si>
  <si>
    <t xml:space="preserve"> A er annuitetensstørrelse til tidspunkt 0</t>
  </si>
  <si>
    <t>Gordons formel er kun defineret når renten er højere end væksraten,</t>
  </si>
  <si>
    <t>dvs. r &gt; g - i modsat fald vil nutidsværdien gå mod uændelig</t>
  </si>
  <si>
    <t>Gordons formel - eksempel'</t>
  </si>
  <si>
    <t>Alternativomkostning/</t>
  </si>
  <si>
    <t>Egenkapitalomkostning</t>
  </si>
  <si>
    <t>Investeringskalulen</t>
  </si>
  <si>
    <t xml:space="preserve">Investeringskalkulen er det samlede </t>
  </si>
  <si>
    <t>"budget" for en investering</t>
  </si>
  <si>
    <t>Skaber et overblik over investeringens betalinger samt tidsprofilen</t>
  </si>
  <si>
    <t>for disse betalinger.</t>
  </si>
  <si>
    <t xml:space="preserve">Anvendes til at opsummere alle ind- og udbetalinger til en given </t>
  </si>
  <si>
    <t>investering, i én enkelt betalingsrække</t>
  </si>
  <si>
    <t>Fremtidsværdi</t>
  </si>
  <si>
    <t>Intern rente</t>
  </si>
  <si>
    <t>Excel tjek</t>
  </si>
  <si>
    <t>Nutidsværdi/Kapitalværdi</t>
  </si>
  <si>
    <t>Akk. NV(t)</t>
  </si>
  <si>
    <t>NV(t)</t>
  </si>
  <si>
    <t>Nettoindbetalinger</t>
  </si>
  <si>
    <t>Scrapværdi</t>
  </si>
  <si>
    <t>scrapværdi efter 7 år</t>
  </si>
  <si>
    <t>mandetimer pr år</t>
  </si>
  <si>
    <t>Energiudgifter</t>
  </si>
  <si>
    <t>energiforbrug pr måtte(Mwh/år)</t>
  </si>
  <si>
    <t>Produktionsudgifter</t>
  </si>
  <si>
    <t>materialeforbrug pr. Måtte</t>
  </si>
  <si>
    <t>Måtteindtægt</t>
  </si>
  <si>
    <t>årlig kapacitet(måtter pr. år)</t>
  </si>
  <si>
    <t>Initialinvestering</t>
  </si>
  <si>
    <t>pris</t>
  </si>
  <si>
    <t>År</t>
  </si>
  <si>
    <t>Anlæg B - Specifikationer</t>
  </si>
  <si>
    <t>materiale forbrug pr. Måtte</t>
  </si>
  <si>
    <t>pris på anlæg</t>
  </si>
  <si>
    <t>Anlæg A - Specifikationer</t>
  </si>
  <si>
    <t>Investeringen antages kun at være finansieret med det henlagte overskud fra tidligere år</t>
  </si>
  <si>
    <t>Kapitalomkostningen(diskonterings/kalkuations renten)</t>
  </si>
  <si>
    <t>kr</t>
  </si>
  <si>
    <t>lønudgift pr. Mandetime</t>
  </si>
  <si>
    <t>kr/Mwh</t>
  </si>
  <si>
    <t>Pris på energi</t>
  </si>
  <si>
    <t>kr pr måtte</t>
  </si>
  <si>
    <t>aftalt pris</t>
  </si>
  <si>
    <t>om året</t>
  </si>
  <si>
    <t xml:space="preserve">skal kunne lave op til </t>
  </si>
  <si>
    <t>Virksomheden EVØRPNYL A/S skal lave og sælge dørmåtter</t>
  </si>
  <si>
    <t>Investeringskalkule - eks</t>
  </si>
  <si>
    <t>Alternativforrentning</t>
  </si>
  <si>
    <t>Regnskaber!A1</t>
  </si>
  <si>
    <t xml:space="preserve">En investerings alternativforrentning afhænger af, hvordan </t>
  </si>
  <si>
    <t>investeringen er finansieret</t>
  </si>
  <si>
    <t>Gæld og egenkapital har forskellige afkastkrav</t>
  </si>
  <si>
    <t>Kalkulationsrenten tager derfor udgangspunkt i virksomhedens</t>
  </si>
  <si>
    <r>
      <t>vægtede kapitalomkostning</t>
    </r>
    <r>
      <rPr>
        <sz val="12"/>
        <color theme="1"/>
        <rFont val="Calibri"/>
        <family val="2"/>
        <scheme val="minor"/>
      </rPr>
      <t>(WACC)</t>
    </r>
  </si>
  <si>
    <t xml:space="preserve">Hvis en investering er finansieret med 100% egenkapital, er kun </t>
  </si>
  <si>
    <t>egenkapitalomkostningen relevant for vurdering af alternativforrentningen</t>
  </si>
  <si>
    <t>Investeringsteori!A1</t>
  </si>
  <si>
    <t>Egenkapitalomkostningen til vurdering af kalkulationsrenten(investeringen finansieres 100% af egenkapitalen)</t>
  </si>
  <si>
    <t>Kalkulationsrenten - eks'!A1</t>
  </si>
  <si>
    <t>Beslutningskriterier</t>
  </si>
  <si>
    <t>Kapitalværdi</t>
  </si>
  <si>
    <t xml:space="preserve">Beregningen af investeringens </t>
  </si>
  <si>
    <t>Anvendes til at vurdere den forventede værdiskabelse i en given</t>
  </si>
  <si>
    <t>nettooverskud i nutidsværdi.</t>
  </si>
  <si>
    <t xml:space="preserve">Angiver hvor meget kapital der er blevet </t>
  </si>
  <si>
    <t>skabt til investorerne udover forrentnings-</t>
  </si>
  <si>
    <t>værdien</t>
  </si>
  <si>
    <t>Nettonutidsværdien, NNV, af en investering kaldes også kapitalværdien,</t>
  </si>
  <si>
    <t>Kapitalværdi - K/</t>
  </si>
  <si>
    <t>Nettonutidsværdi - NNV</t>
  </si>
  <si>
    <t>Se mere under kapitalværdi</t>
  </si>
  <si>
    <t>K, da denne angiver investeringens samlede værdiskabelse.</t>
  </si>
  <si>
    <t>Kriterier:</t>
  </si>
  <si>
    <t>For K ≥ 0 --&gt; investeringen er rentabel</t>
  </si>
  <si>
    <t>For K ≤ 0 --&gt; investeringen er ikke rentabel</t>
  </si>
  <si>
    <t>For K = 0 --&gt; Investeringen skaber ikke værdi udover den krævede forrentning</t>
  </si>
  <si>
    <t>De 1220 er altså en merværdi udover de 12% de ellers ville ha fået. kaldes kapitalværdien.</t>
  </si>
  <si>
    <t>Kapitalværdi - eks'!A1</t>
  </si>
  <si>
    <t>Kapitalværdi til sammenligning</t>
  </si>
  <si>
    <t>af to investeringer</t>
  </si>
  <si>
    <t>investeringsbeslutning. Altså om investeringen er rentabel.</t>
  </si>
  <si>
    <t>Kapitalværdien kan også anvendes til at vurdere om hvilken en af</t>
  </si>
  <si>
    <t>Hvis både K(A) og K(B) er større end 0 gælder følgende:</t>
  </si>
  <si>
    <t>For K(A) &lt; K(B): Investering B bør vælges</t>
  </si>
  <si>
    <t>For K(A) &gt; K(B): Investering B bør vælges</t>
  </si>
  <si>
    <t>For K(A) = K(B): Begge investeringer er lige rentable</t>
  </si>
  <si>
    <t>OBS! - Kapitalværdikriteriet bruges til at sammenligne enkelt</t>
  </si>
  <si>
    <t>to enkeltinvesteringer der er mest rentabel.</t>
  </si>
  <si>
    <t>investeringer, og ikke gentagne investeringer</t>
  </si>
  <si>
    <t>Investeringskalkule - eks'!A1</t>
  </si>
  <si>
    <t>Kapitalværdi som annuitetsværdi</t>
  </si>
  <si>
    <t>Annuitetsværdien af en investering</t>
  </si>
  <si>
    <t>beregnes som kapitalværdien "lagt ud"</t>
  </si>
  <si>
    <t>over investeringens levetid</t>
  </si>
  <si>
    <r>
      <t xml:space="preserve">Hvad svarer investeringens </t>
    </r>
    <r>
      <rPr>
        <b/>
        <sz val="12"/>
        <color indexed="8"/>
        <rFont val="Calibri"/>
        <family val="2"/>
      </rPr>
      <t>gevinst</t>
    </r>
    <r>
      <rPr>
        <sz val="12"/>
        <color theme="1"/>
        <rFont val="Calibri"/>
        <family val="2"/>
        <scheme val="minor"/>
      </rPr>
      <t xml:space="preserve"> til, pr periode, inden for </t>
    </r>
  </si>
  <si>
    <t>investeringens tidshorisont.</t>
  </si>
  <si>
    <t>En investerings annuitetsværdi er i sig selv et beskrivende mål for</t>
  </si>
  <si>
    <t xml:space="preserve"> investeringens rentabilitet</t>
  </si>
  <si>
    <t>Annuitetsværdien bruges som beslutningskriterium når investeringer kan gentages</t>
  </si>
  <si>
    <t>Hvis K &gt; 0 så er A &gt; 0 (og omvendt)</t>
  </si>
  <si>
    <t>Kapitalværdikriteriet ved</t>
  </si>
  <si>
    <t>en gentagen investering</t>
  </si>
  <si>
    <t>er maksimering af annuitetsværdien det korrekte kriterium for valg</t>
  </si>
  <si>
    <t>Når en investering kan gentages et antal gange(evt. Ud i det uendelige)</t>
  </si>
  <si>
    <t>af investering.</t>
  </si>
  <si>
    <t xml:space="preserve">Når annuitetsværdien maksimeres, maksimeres den gentagne </t>
  </si>
  <si>
    <t>investerings kapitalværdi implicit.</t>
  </si>
  <si>
    <t>Intern rente - IR</t>
  </si>
  <si>
    <t>.=IA(Nettoindbetalinger)</t>
  </si>
  <si>
    <t xml:space="preserve">En teoretisk alternativrente som får </t>
  </si>
  <si>
    <t>kapitalværdiligningen til at gå i 0.</t>
  </si>
  <si>
    <t>Kaldes også investeringens interne afkast</t>
  </si>
  <si>
    <t xml:space="preserve">IR er den hypotetiske alternativrente som gør at investoren indifferent </t>
  </si>
  <si>
    <t>mellem at investere eller ej.</t>
  </si>
  <si>
    <t>IR svarer til den gennemsnitlige forrentning af beløbet investeret</t>
  </si>
  <si>
    <t xml:space="preserve"> i priode 0, over investeringens levetid.</t>
  </si>
  <si>
    <t>IR er den højest mulige alternativrente som gør investeringen rentabel</t>
  </si>
  <si>
    <t>Målsøgning</t>
  </si>
  <si>
    <t>Den IR giver kun et entydigt resultat når den anvendes til at vurdere</t>
  </si>
  <si>
    <t>en enkelt uafhængiginvestering</t>
  </si>
  <si>
    <t>Kriterium:</t>
  </si>
  <si>
    <t>Er IR større end alternativrenten, så er investeringen rentabel- investeringen foretages</t>
  </si>
  <si>
    <t>er dog et inferiørt beslutningskriterium ift kapitalværdikriteriet</t>
  </si>
  <si>
    <t>Modificeret intern rente - MIR</t>
  </si>
  <si>
    <t>man næsten aldrig kan.</t>
  </si>
  <si>
    <t>MIR tager højde for dette.</t>
  </si>
  <si>
    <t xml:space="preserve">IR antager man man kan gentage investeringen, ud i det uendelige, hvilket </t>
  </si>
  <si>
    <t>Den korrekte rente for geninvestering bør i stedet være virksomhedens</t>
  </si>
  <si>
    <t>kapitalomkostning, R.</t>
  </si>
  <si>
    <t>MIR er den diskonteringsrente der gør</t>
  </si>
  <si>
    <t xml:space="preserve">nutidsværdien af terminallværdien af </t>
  </si>
  <si>
    <t xml:space="preserve">negative cash-flow </t>
  </si>
  <si>
    <t>MIR er en investerings gennemsnitlige årlige forrentning, når det</t>
  </si>
  <si>
    <t>antages at alle indbetalinger geninvesteres til kapitalomkostningen, R-</t>
  </si>
  <si>
    <t>Modificeret intern rente - eks'!A1</t>
  </si>
  <si>
    <t>Tilbagebetalingstiden</t>
  </si>
  <si>
    <t xml:space="preserve">Den tidperiode der tilbagelægges før </t>
  </si>
  <si>
    <t>investeringsomkostningen er tjent ind igen</t>
  </si>
  <si>
    <t>Simpel tilbagebetaling</t>
  </si>
  <si>
    <t>Den simple tilbagebetalingstid er den</t>
  </si>
  <si>
    <t>periode hvor de kummulerede indbetalinger</t>
  </si>
  <si>
    <t>overstiger omkostningerne til investeringen</t>
  </si>
  <si>
    <t>Tager kun højde for nominelle betalinger</t>
  </si>
  <si>
    <t>Simpel tilbagebetalingstid - ek'!A1</t>
  </si>
  <si>
    <t>Eksakt tilbagebetalingstid</t>
  </si>
  <si>
    <t xml:space="preserve">Den eksakte tilbagebetalingstid er den </t>
  </si>
  <si>
    <t>periode hvor nutidsværdien af kumulerede</t>
  </si>
  <si>
    <t>indbetalinger overstiger omkostningerne</t>
  </si>
  <si>
    <t>til investeringen</t>
  </si>
  <si>
    <t>tager højde for kapitalomkostningen</t>
  </si>
  <si>
    <t>Tilbagebetalingstidspunktet bestemmes helt eksakt</t>
  </si>
  <si>
    <t>Eksakt tilbagebetalingstid - ek'!A1</t>
  </si>
  <si>
    <t xml:space="preserve">.- typisk investeringsbeløbet i t=0, </t>
  </si>
  <si>
    <t>(INV - investeringsbeløbet)</t>
  </si>
  <si>
    <t>Prifitabilitetsindekset</t>
  </si>
  <si>
    <t>Hvis PI &gt; 1 er investeringen rentabel</t>
  </si>
  <si>
    <t>Nutidsværdien af investeringens indtægter</t>
  </si>
  <si>
    <t>delt med investeringbeløbet</t>
  </si>
  <si>
    <t>Egenkapital = Aktiver - forpligtelser</t>
  </si>
  <si>
    <t>(Bogført værdi)</t>
  </si>
  <si>
    <t>hvad har hun tabt?</t>
  </si>
  <si>
    <t>FV af hendes arv</t>
  </si>
  <si>
    <t>Realvækst</t>
  </si>
  <si>
    <t>Eller</t>
  </si>
  <si>
    <t xml:space="preserve">Hvad har hun tabt? </t>
  </si>
  <si>
    <t>Nutidsværdien af hendes FV</t>
  </si>
  <si>
    <t>FV af hendes værdi</t>
  </si>
  <si>
    <t>Inflation</t>
  </si>
  <si>
    <t>Forrentning</t>
  </si>
  <si>
    <t>Arv</t>
  </si>
  <si>
    <t>går på pension som 67-årig?</t>
  </si>
  <si>
    <t>på 2 pct. p.a. hvor meget vil hendes arv så være formindsket i realværdi, når hun</t>
    <phoneticPr fontId="0" type="noConversion"/>
  </si>
  <si>
    <t>anfordringskonto med en rente på 0,5 pct. p.a. Hvis vi antager en årlig inflationstakt fremover</t>
  </si>
  <si>
    <t>En 50-årig sygeplejerske har arvet 50.000 kr., som hun har sat i banken på en</t>
  </si>
  <si>
    <t>OPG 12</t>
    <phoneticPr fontId="0" type="noConversion"/>
  </si>
  <si>
    <t>Hvad skal han leve for?</t>
  </si>
  <si>
    <t>mill</t>
  </si>
  <si>
    <t>Skylder</t>
  </si>
  <si>
    <t>p.a.</t>
  </si>
  <si>
    <t>Straf</t>
  </si>
  <si>
    <t>Værdi</t>
  </si>
  <si>
    <t>år</t>
  </si>
  <si>
    <t>mil</t>
  </si>
  <si>
    <t>Beløb</t>
  </si>
  <si>
    <t>Levede han videre som en rig eller en fattig mand?</t>
  </si>
  <si>
    <t>amerikanske myndigheder om, at han skulle betale 5 pct. i forrentning af de stjålne penge.</t>
  </si>
  <si>
    <t>p.a., og han havde bestemt ikke betalt skat til nogen. Advokaten fik en aftale med de</t>
  </si>
  <si>
    <t>straffen bortfaldt. Han havde som kyndig forretningsmand fået pengene forrentet med 8 pct.</t>
  </si>
  <si>
    <t>til Sydamerika. 5 år senere bliver han fundet og indvilliger i at betale pengene tilbage, imod at</t>
  </si>
  <si>
    <t>I en af John Grishams romaner (The Partner) stjæler en advokat 60 millioner dollars og flygter</t>
  </si>
  <si>
    <t>OPG 11</t>
    <phoneticPr fontId="0" type="noConversion"/>
  </si>
  <si>
    <t>Renter</t>
  </si>
  <si>
    <t>Tilbagebetalt</t>
  </si>
  <si>
    <t>Ydelse</t>
    <phoneticPr fontId="0" type="noConversion"/>
  </si>
  <si>
    <t>NV</t>
    <phoneticPr fontId="0" type="noConversion"/>
  </si>
  <si>
    <t>r</t>
    <phoneticPr fontId="0" type="noConversion"/>
  </si>
  <si>
    <t>n</t>
    <phoneticPr fontId="0" type="noConversion"/>
  </si>
  <si>
    <t>Hvor stor en andel af den samlede tilbagebetaling er renter?</t>
    <phoneticPr fontId="0" type="noConversion"/>
  </si>
  <si>
    <t>Lånet betales tilbage over 5 år. Hvor stor er den månedlige betaling?</t>
    <phoneticPr fontId="0" type="noConversion"/>
  </si>
  <si>
    <t>Du låner 70.000DKK i banken, og tilbagebetaler som et annuitetslån med en årlig rente på 10%</t>
    <phoneticPr fontId="0" type="noConversion"/>
  </si>
  <si>
    <t>OPG 10</t>
    <phoneticPr fontId="0" type="noConversion"/>
  </si>
  <si>
    <t xml:space="preserve">Hvad skal jeg sætte ind? </t>
  </si>
  <si>
    <t>Renten er 5% p.a.</t>
    <phoneticPr fontId="0" type="noConversion"/>
  </si>
  <si>
    <t>Hvis han i stedet vil sætte et beløb ind i banken i dag, for derefter hvert år at kunne hæve det beløb han skal bruge på cigaretter, hvor stort skal dette beløb så være?</t>
    <phoneticPr fontId="0" type="noConversion"/>
  </si>
  <si>
    <t>I alt</t>
  </si>
  <si>
    <t>Rente</t>
  </si>
  <si>
    <t>FV_50</t>
    <phoneticPr fontId="0" type="noConversion"/>
  </si>
  <si>
    <t>Antal perioder</t>
    <phoneticPr fontId="0" type="noConversion"/>
  </si>
  <si>
    <t>Rente</t>
    <phoneticPr fontId="0" type="noConversion"/>
  </si>
  <si>
    <t>Årligt forbrug</t>
    <phoneticPr fontId="0" type="noConversion"/>
  </si>
  <si>
    <t>Nominelt</t>
  </si>
  <si>
    <t>Hvor meget har han sparet op hvis han i stedet lægger pengene i en investeringsforening som giver et gennemsnitligt årligt afkast på 10%?</t>
    <phoneticPr fontId="0" type="noConversion"/>
  </si>
  <si>
    <t>Når den årlige obligationsrente er 5%, hvor meget har rygeren sparet op om 50 år, hvis han i stedet lægger sine årlige tobaksudgifter i obligationer?</t>
    <phoneticPr fontId="0" type="noConversion"/>
  </si>
  <si>
    <t>I weekenderne pulser han i gennemsnit 3 pakker ekstra, dvs. I alt 10 pakker om ugen.</t>
    <phoneticPr fontId="0" type="noConversion"/>
  </si>
  <si>
    <t>En ryger pulser godt med tobakstykker. Han suger en pakke gule King's om dagen, som koster 37DKK</t>
    <phoneticPr fontId="0" type="noConversion"/>
  </si>
  <si>
    <t>OPG 9</t>
    <phoneticPr fontId="0" type="noConversion"/>
  </si>
  <si>
    <t>Afdrag</t>
  </si>
  <si>
    <t>Total afbetalt</t>
  </si>
  <si>
    <t>Ydelse</t>
  </si>
  <si>
    <t>Formler</t>
  </si>
  <si>
    <t>Excelfunktion</t>
  </si>
  <si>
    <t>Hvor stor bliver den årlige ydelse når første ydelse skal falde ultimo 1999?</t>
    <phoneticPr fontId="0" type="noConversion"/>
  </si>
  <si>
    <t>Ultimo 2000</t>
  </si>
  <si>
    <t>Lånet skal afvikles som et 10-årigt annuitetslån, med første ydelse ultimo 2000. Hvor stor bliver den årlige ydelse?</t>
    <phoneticPr fontId="0" type="noConversion"/>
  </si>
  <si>
    <t>Hvor stor er gælden ultimo 1999?</t>
    <phoneticPr fontId="0" type="noConversion"/>
  </si>
  <si>
    <t>FV1999</t>
    <phoneticPr fontId="0" type="noConversion"/>
  </si>
  <si>
    <t>Lånebeløb</t>
    <phoneticPr fontId="0" type="noConversion"/>
  </si>
  <si>
    <t>År</t>
    <phoneticPr fontId="0" type="noConversion"/>
  </si>
  <si>
    <t>Lånerenten er 6% p.a.</t>
    <phoneticPr fontId="0" type="noConversion"/>
  </si>
  <si>
    <t>Du har i din studietid foretaget følgende lån:</t>
    <phoneticPr fontId="0" type="noConversion"/>
  </si>
  <si>
    <t>OPG 8</t>
    <phoneticPr fontId="0" type="noConversion"/>
  </si>
  <si>
    <t xml:space="preserve">Hvor meget er renter? </t>
  </si>
  <si>
    <t>I alt efter 60</t>
  </si>
  <si>
    <t>Indbetaling</t>
  </si>
  <si>
    <t>Smartere</t>
  </si>
  <si>
    <t>FV</t>
    <phoneticPr fontId="0" type="noConversion"/>
  </si>
  <si>
    <t>Hvor stor en del af det opsparede beløb er renter?</t>
    <phoneticPr fontId="0" type="noConversion"/>
  </si>
  <si>
    <t>Hvad skal hans månedlige indbetaling være, når renten per måned er 0,75%?</t>
    <phoneticPr fontId="0" type="noConversion"/>
  </si>
  <si>
    <t>Hr. Hansen ønsker at spare 50.000 op til udbetaling på et hus om 5 år.</t>
    <phoneticPr fontId="0" type="noConversion"/>
  </si>
  <si>
    <t>OPG 7</t>
    <phoneticPr fontId="0" type="noConversion"/>
  </si>
  <si>
    <t>r_1/12</t>
    <phoneticPr fontId="0" type="noConversion"/>
  </si>
  <si>
    <t>Hvad svarer dette til i årlig rente?</t>
    <phoneticPr fontId="0" type="noConversion"/>
  </si>
  <si>
    <t>En TV-forretning reklamerer med en finansieringsordning med en rente på 0,98% per måned.</t>
    <phoneticPr fontId="0" type="noConversion"/>
  </si>
  <si>
    <t>OPG 6</t>
    <phoneticPr fontId="0" type="noConversion"/>
  </si>
  <si>
    <t>Beregn nutidsværdien</t>
    <phoneticPr fontId="0" type="noConversion"/>
  </si>
  <si>
    <t>Beregn fremtidsværdien</t>
    <phoneticPr fontId="0" type="noConversion"/>
  </si>
  <si>
    <t>FV(t)</t>
  </si>
  <si>
    <t>Betaling</t>
    <phoneticPr fontId="0" type="noConversion"/>
  </si>
  <si>
    <t>Periode</t>
    <phoneticPr fontId="0" type="noConversion"/>
  </si>
  <si>
    <t>Står i periode 5</t>
  </si>
  <si>
    <t>Står i periode 0</t>
  </si>
  <si>
    <t>Der er givet følgende betalingsrække. Renten er 8% p.a.</t>
    <phoneticPr fontId="0" type="noConversion"/>
  </si>
  <si>
    <t>OPG 5</t>
    <phoneticPr fontId="0" type="noConversion"/>
  </si>
  <si>
    <t>NPV</t>
  </si>
  <si>
    <t>Hvad bør billisten vælge når renten er</t>
    <phoneticPr fontId="0" type="noConversion"/>
  </si>
  <si>
    <t>Ekstra præmie</t>
    <phoneticPr fontId="0" type="noConversion"/>
  </si>
  <si>
    <t>Periode</t>
    <phoneticPr fontId="0" type="noConversion"/>
  </si>
  <si>
    <t>Han kan vælge at betale selv, eller lade forsikringen betale og dermed stige i præmie i de efterfølgende 5 år:</t>
    <phoneticPr fontId="0" type="noConversion"/>
  </si>
  <si>
    <t>En billist har været ude for et uheld. Reparation af skaderne løber op i 12.000DKK</t>
    <phoneticPr fontId="0" type="noConversion"/>
  </si>
  <si>
    <t>OPG 4</t>
    <phoneticPr fontId="0" type="noConversion"/>
  </si>
  <si>
    <t>Hvad ville du betale i dag for en kontrakt som sikrer dig netop denne fremtidige betalingsrække?</t>
    <phoneticPr fontId="0" type="noConversion"/>
  </si>
  <si>
    <t>Kapitalværdien</t>
  </si>
  <si>
    <t>NPV</t>
    <phoneticPr fontId="0" type="noConversion"/>
  </si>
  <si>
    <t>AKK. NV</t>
    <phoneticPr fontId="0" type="noConversion"/>
  </si>
  <si>
    <t>NV(t)</t>
    <phoneticPr fontId="0" type="noConversion"/>
  </si>
  <si>
    <t>Disc. Factor</t>
    <phoneticPr fontId="0" type="noConversion"/>
  </si>
  <si>
    <t>Betaling</t>
    <phoneticPr fontId="0" type="noConversion"/>
  </si>
  <si>
    <t>Find nutidsværdien af denne betalingsrække når renten er 8% p.a.</t>
    <phoneticPr fontId="0" type="noConversion"/>
  </si>
  <si>
    <t>OPG 3</t>
    <phoneticPr fontId="0" type="noConversion"/>
  </si>
  <si>
    <t>Hvad er nutidsværdien når renten er 15%?</t>
    <phoneticPr fontId="0" type="noConversion"/>
  </si>
  <si>
    <t>En mand har en gældspost på 125.000 som forfalder om 5 år. Hvad svarer dette til i nutidsværdi når renten er 10% p.a.?</t>
    <phoneticPr fontId="0" type="noConversion"/>
  </si>
  <si>
    <t>OPG 2</t>
    <phoneticPr fontId="0" type="noConversion"/>
  </si>
  <si>
    <t>.-FV(B17,B15,,-FV(B16,B14,,B18))</t>
  </si>
  <si>
    <t>FV_10</t>
  </si>
  <si>
    <t>Alternativ metode</t>
  </si>
  <si>
    <t>.=B19*(1+B17)^B15</t>
  </si>
  <si>
    <t>FV_10</t>
    <phoneticPr fontId="0" type="noConversion"/>
  </si>
  <si>
    <t>.=B18*(1+B16)^B14</t>
  </si>
  <si>
    <t>FV_4</t>
    <phoneticPr fontId="0" type="noConversion"/>
  </si>
  <si>
    <t xml:space="preserve">NV </t>
    <phoneticPr fontId="0" type="noConversion"/>
  </si>
  <si>
    <t>r (5-10)</t>
    <phoneticPr fontId="0" type="noConversion"/>
  </si>
  <si>
    <t>r (1-4)</t>
    <phoneticPr fontId="0" type="noConversion"/>
  </si>
  <si>
    <t>n (5-10)</t>
    <phoneticPr fontId="0" type="noConversion"/>
  </si>
  <si>
    <t>n (1-4)</t>
    <phoneticPr fontId="0" type="noConversion"/>
  </si>
  <si>
    <t>Hvor meget står der på kontoen hvis renten de første 4 år er 8% og derefter 7%?</t>
    <phoneticPr fontId="0" type="noConversion"/>
  </si>
  <si>
    <t>Hvad står der på kontoen efter 10 år?</t>
    <phoneticPr fontId="0" type="noConversion"/>
  </si>
  <si>
    <t>En mand indsætter 10.000DKK på en bankkonto, renten er 8% p.a.</t>
    <phoneticPr fontId="0" type="noConversion"/>
  </si>
  <si>
    <t>OPG 1</t>
    <phoneticPr fontId="0" type="noConversion"/>
  </si>
  <si>
    <t>I1 RENTESREGNING</t>
    <phoneticPr fontId="0" type="noConversion"/>
  </si>
  <si>
    <t>Beslutningskriterier - eks'!A1</t>
  </si>
  <si>
    <t>3 år og 344 dage</t>
  </si>
  <si>
    <t>Tilbagebetalingsperiode</t>
  </si>
  <si>
    <t>Find investeringens tilbagebetalingsperiode</t>
    <phoneticPr fontId="0" type="noConversion"/>
  </si>
  <si>
    <t>IRR</t>
  </si>
  <si>
    <t>Annuitet</t>
  </si>
  <si>
    <t>Akk NV</t>
  </si>
  <si>
    <t>NIB</t>
  </si>
  <si>
    <t>Besparelse</t>
  </si>
  <si>
    <t>Vedligehold</t>
  </si>
  <si>
    <t>Scrap</t>
  </si>
  <si>
    <t>Find den interne rente af investeringen</t>
    <phoneticPr fontId="0" type="noConversion"/>
  </si>
  <si>
    <t>Opstil nu en investeringskalkule og find igen kapital - og annuitetsværdi</t>
    <phoneticPr fontId="0" type="noConversion"/>
  </si>
  <si>
    <t>De må falde til 196617 hvilket svarer til 1,69 %</t>
  </si>
  <si>
    <t>Energibesparelserne på 200.000 er et groft skøn. Hvor lavt må dette tal falde før investeringen bliver ufordelagtig?</t>
    <phoneticPr fontId="0" type="noConversion"/>
  </si>
  <si>
    <t>Kapitalværdi</t>
    <phoneticPr fontId="0" type="noConversion"/>
  </si>
  <si>
    <t>Annuitet</t>
    <phoneticPr fontId="0" type="noConversion"/>
  </si>
  <si>
    <t xml:space="preserve">Eller </t>
  </si>
  <si>
    <t>(find annuitetsværdien ved brug af kun én celle)</t>
    <phoneticPr fontId="0" type="noConversion"/>
  </si>
  <si>
    <t>Kan investeringen betale sig?</t>
    <phoneticPr fontId="0" type="noConversion"/>
  </si>
  <si>
    <t>Kalkulationsrente</t>
    <phoneticPr fontId="0" type="noConversion"/>
  </si>
  <si>
    <t>per år</t>
    <phoneticPr fontId="0" type="noConversion"/>
  </si>
  <si>
    <t>Energibesparelser</t>
    <phoneticPr fontId="0" type="noConversion"/>
  </si>
  <si>
    <t>per år</t>
    <phoneticPr fontId="0" type="noConversion"/>
  </si>
  <si>
    <t>Vedligeholdelse</t>
    <phoneticPr fontId="0" type="noConversion"/>
  </si>
  <si>
    <t>Scrapværdi</t>
    <phoneticPr fontId="0" type="noConversion"/>
  </si>
  <si>
    <t>år</t>
    <phoneticPr fontId="0" type="noConversion"/>
  </si>
  <si>
    <t>Levetid</t>
    <phoneticPr fontId="0" type="noConversion"/>
  </si>
  <si>
    <t>Investeringsbeløb</t>
    <phoneticPr fontId="0" type="noConversion"/>
  </si>
  <si>
    <t>En virksomhed overvejer følgende investering i en energibesparende installation:</t>
    <phoneticPr fontId="0" type="noConversion"/>
  </si>
  <si>
    <t>I6 ANNUITETSMETODEN</t>
    <phoneticPr fontId="0" type="noConversion"/>
  </si>
  <si>
    <t>Tilbagebetaling!A1</t>
  </si>
  <si>
    <t>Investeringsalternativer - eksempel</t>
  </si>
  <si>
    <t>I11 INVESTERINGSALTERNATIVER</t>
  </si>
  <si>
    <t>Et flyselskab står over for at skulle udskifte sin flypark, der er nedslidt.</t>
  </si>
  <si>
    <t>Ved anskaffelsen af de nye fly står valget i mellem en traditionel flytype (T1), og en ny type T2, som er mere energieffektiv.</t>
  </si>
  <si>
    <t>(alle beløb i mio. DKK)</t>
  </si>
  <si>
    <t>T1</t>
  </si>
  <si>
    <t>T2</t>
  </si>
  <si>
    <t>Energiforbrug per år</t>
  </si>
  <si>
    <t>Øvrige driftsomkostninger per år</t>
  </si>
  <si>
    <t>Forventet scrapværdi</t>
  </si>
  <si>
    <t>Kalkulationsrente</t>
  </si>
  <si>
    <t>1. Hvilken flytype bør vælges hvis den forventede levetid er 15 år for begge fly?</t>
  </si>
  <si>
    <t>2. Hvorledes bliver svaret hvis flytype T2 har en levetid på 20 år?</t>
  </si>
  <si>
    <t>Forventet levetid (år)</t>
  </si>
  <si>
    <t>NV(anskaffelsespris)</t>
  </si>
  <si>
    <t>NV(energiforbrug)</t>
  </si>
  <si>
    <t>NV(øvrige omkostninger)</t>
  </si>
  <si>
    <t>NV(scrapværdi)</t>
  </si>
  <si>
    <t>NV i alt</t>
  </si>
  <si>
    <t>Gennemsnitlige årlige omk.</t>
  </si>
  <si>
    <t>3. Hvor meget skal brændstofprisen ændre sig for at de to flytyper anses for lige gode investeringer?</t>
  </si>
  <si>
    <t>Prisstigning energi:</t>
  </si>
  <si>
    <t>Ændret kalkrente til energiforbrug</t>
  </si>
  <si>
    <t>Målsøgningscelle</t>
  </si>
  <si>
    <t>Investeringsalternativer - eks'!A1</t>
  </si>
  <si>
    <t>Optimal levetid</t>
  </si>
  <si>
    <t>Nogle investeringer er karaktiriseret ved stigende driftsomkostninger, over tid</t>
  </si>
  <si>
    <t>samtidig kan scrapværdien blive mindre og mindre des senere den realiseres</t>
  </si>
  <si>
    <t>investeringens mulige levetid er derfor ikke nødvendigvis den optimale</t>
  </si>
  <si>
    <t>Engangsinvestering - optimalt nedlukningstidspunkt findes når kapitalværdien er maksimeret</t>
  </si>
  <si>
    <t>Gentageninvestering - Optimalt nedluknings tidspunkt findes når annuitetsværdien er maksimeret</t>
  </si>
  <si>
    <t>Samlet NV</t>
    <phoneticPr fontId="0" type="noConversion"/>
  </si>
  <si>
    <t>NV(Scrap)</t>
    <phoneticPr fontId="0" type="noConversion"/>
  </si>
  <si>
    <t>Akkumuleret</t>
    <phoneticPr fontId="0" type="noConversion"/>
  </si>
  <si>
    <t>NV(DB)</t>
    <phoneticPr fontId="0" type="noConversion"/>
  </si>
  <si>
    <t>DB</t>
    <phoneticPr fontId="0" type="noConversion"/>
  </si>
  <si>
    <t>t</t>
    <phoneticPr fontId="0" type="noConversion"/>
  </si>
  <si>
    <t>Kalkulationsrente</t>
    <phoneticPr fontId="0" type="noConversion"/>
  </si>
  <si>
    <t>Denne investering koster 100.000DKK og har ingen scrapværdi. Er den fordelagtig?</t>
    <phoneticPr fontId="0" type="noConversion"/>
  </si>
  <si>
    <t>2. Man overvejer nu i tidspunkt 0 at foretage en rationaliseringsinvestering, der vil medføre så store besparelser i de variable omkostninger at de årlige DB vil stige med 50%</t>
    <phoneticPr fontId="0" type="noConversion"/>
  </si>
  <si>
    <t>Samlet</t>
    <phoneticPr fontId="0" type="noConversion"/>
  </si>
  <si>
    <t>NV Scrap</t>
    <phoneticPr fontId="0" type="noConversion"/>
  </si>
  <si>
    <t>Kalkulationsrente</t>
    <phoneticPr fontId="0" type="noConversion"/>
  </si>
  <si>
    <t>1. Beregn produkets optimale levetid når der er tale om en engangsinvestering</t>
  </si>
  <si>
    <r>
      <t>S</t>
    </r>
    <r>
      <rPr>
        <vertAlign val="subscript"/>
        <sz val="12"/>
        <rFont val="Calibri"/>
        <family val="2"/>
      </rPr>
      <t>t</t>
    </r>
  </si>
  <si>
    <r>
      <t>DB</t>
    </r>
    <r>
      <rPr>
        <vertAlign val="subscript"/>
        <sz val="12"/>
        <rFont val="Calibri"/>
        <family val="2"/>
      </rPr>
      <t>t</t>
    </r>
  </si>
  <si>
    <t>Den forventede udvikling i dækningsbidrag og i scrapværdi fremgår af følgende oversigt, hvor DBt er dækningsbidraget i år t, og St er scrapværdien i tidspunkt t.</t>
    <phoneticPr fontId="0" type="noConversion"/>
  </si>
  <si>
    <t>En virksomhed producerer en vare med en begrænset markedsmæssig levetid. Produktionen foregår på et anlæg, der i dag har en værdi på 150.000DKK</t>
    <phoneticPr fontId="0" type="noConversion"/>
  </si>
  <si>
    <t>I15 OPTIMAL LEVETID</t>
    <phoneticPr fontId="0" type="noConversion"/>
  </si>
  <si>
    <t>Optimal levetid - eksempel'!A1</t>
  </si>
  <si>
    <t>FV af Annuitet</t>
  </si>
  <si>
    <t>MIRR</t>
  </si>
  <si>
    <t>Alternativt</t>
  </si>
  <si>
    <t>FV af NPV</t>
  </si>
  <si>
    <t>FV</t>
  </si>
  <si>
    <t xml:space="preserve">What is the MIRR for this project? </t>
  </si>
  <si>
    <t xml:space="preserve">The cost of capital is 14 percent. </t>
  </si>
  <si>
    <t>The firm expects to generate cash flows of 275.000$ in each of the next four years.</t>
  </si>
  <si>
    <t xml:space="preserve">Morningside Bakeries has recently purchased equipment at a cost of 650.000$. </t>
  </si>
  <si>
    <t>Modified internal rate of return (MIRR)</t>
  </si>
  <si>
    <t>MIR - eksempel'!A1</t>
  </si>
  <si>
    <t>.=MIA(.)</t>
  </si>
  <si>
    <t>Modified Internal Rate of Return (MIRR)</t>
  </si>
  <si>
    <t xml:space="preserve">Sycamore Home Furnishings is considering acquiring a new machine that can create customized window treatments. </t>
  </si>
  <si>
    <t>The equipment will cost $263.400 and will generate cash flows of $85.000 over each of the next six years.</t>
  </si>
  <si>
    <t xml:space="preserve">If the cost of capital is 12 percent, what is the MIRR on this project? </t>
  </si>
  <si>
    <t>.- Hvad er IRR</t>
  </si>
  <si>
    <t>.- Hvad er Kapitalværdien?</t>
  </si>
  <si>
    <t xml:space="preserve">.- Hvad er annuitetsværdien? </t>
  </si>
  <si>
    <t>Periode</t>
  </si>
  <si>
    <t>CF</t>
  </si>
  <si>
    <t>Akk</t>
  </si>
  <si>
    <t>.- Hvad er Payback?</t>
  </si>
  <si>
    <t>.- Hvad er Profitabilitetsindeks</t>
  </si>
  <si>
    <t>Engelsk</t>
  </si>
  <si>
    <t>Dansk</t>
  </si>
  <si>
    <t>.IRR</t>
  </si>
  <si>
    <t>IA</t>
  </si>
  <si>
    <t>.NPV + initial</t>
  </si>
  <si>
    <t>nutidsværdi + initial</t>
  </si>
  <si>
    <t xml:space="preserve"> Annuitetsværdi </t>
  </si>
  <si>
    <t>$20.934,35</t>
  </si>
  <si>
    <t>.PMT af NPV</t>
  </si>
  <si>
    <t>ydelse af nv</t>
  </si>
  <si>
    <t>Payback nominelt</t>
  </si>
  <si>
    <t>.Initial/Indtægt</t>
  </si>
  <si>
    <t>Payback NV</t>
  </si>
  <si>
    <t>NV(t) og AKK</t>
  </si>
  <si>
    <t>Profitabilitetsindeks</t>
  </si>
  <si>
    <t>.npv / (-) initial</t>
  </si>
  <si>
    <t>nutidsværdi / (-) initial</t>
  </si>
  <si>
    <t xml:space="preserve"> .mirr </t>
  </si>
  <si>
    <t>mia</t>
  </si>
  <si>
    <t>Flows at t=2</t>
  </si>
  <si>
    <t>Flows at t=6</t>
  </si>
  <si>
    <t>kr. 349.469,62</t>
  </si>
  <si>
    <t>kr. 689.791,07</t>
  </si>
  <si>
    <t>Eksempel 1</t>
  </si>
  <si>
    <t>Eksempel 2</t>
  </si>
  <si>
    <t>Følsomheds analyse</t>
  </si>
  <si>
    <t xml:space="preserve">Bruges til at finde ud af hvor store ændringer </t>
  </si>
  <si>
    <t>der skal ske i fx omkostninger, omsætning mv.</t>
  </si>
  <si>
    <t>før at investeringen bliver urentabel</t>
  </si>
  <si>
    <t>Kapitalværdi for investering B</t>
  </si>
  <si>
    <t>Kapitalværdi for investering A</t>
  </si>
  <si>
    <t>Materialeforbrug pr. Måtte for investering B</t>
  </si>
  <si>
    <t>Materialeforbrug pr. Måtte for investering A</t>
  </si>
  <si>
    <t>20% i negativ retning</t>
  </si>
  <si>
    <t>20% i positiv retning</t>
  </si>
  <si>
    <t>Oprindelige</t>
  </si>
  <si>
    <t>Følsomhedsanalyse - eks'!A1</t>
  </si>
  <si>
    <t>Skat</t>
  </si>
  <si>
    <t>Skat påvirker 3 steder:</t>
  </si>
  <si>
    <t xml:space="preserve">.- Nettoindbetalingerne - skat af overskud </t>
  </si>
  <si>
    <t>.- Afskrivninger - skatteværdi af fradrag</t>
  </si>
  <si>
    <t>.- Alternativrenten - relevant rente skal</t>
  </si>
  <si>
    <t xml:space="preserve"> være efter skat</t>
  </si>
  <si>
    <t>Skat i investeringer - eks'!A1</t>
  </si>
  <si>
    <t>Eksempel på at indregne skat i investeringskalkulen</t>
  </si>
  <si>
    <t>Finansieringsteori!A1</t>
  </si>
  <si>
    <t>Finansielt aktiv</t>
  </si>
  <si>
    <t>Er et immaterielt aktiv, hvis værdi består i en fremtidig kontraktlig rettighed</t>
  </si>
  <si>
    <t>Værdipapirer</t>
  </si>
  <si>
    <t>(Securities)</t>
  </si>
  <si>
    <t>Er finansielle aktiver som kan handles på finasielle</t>
  </si>
  <si>
    <t>markeder, fx aktier og obligationer</t>
  </si>
  <si>
    <t>Banklån</t>
  </si>
  <si>
    <t>Kan enten være:</t>
  </si>
  <si>
    <t>.- kassekredit (kortfristet)</t>
  </si>
  <si>
    <t>.- Erhvervslån (langfristet)</t>
  </si>
  <si>
    <t>Realkredit lån</t>
  </si>
  <si>
    <t>Lån direkte fra investorer, ofte med hjælp fra</t>
  </si>
  <si>
    <t>en investeringsbank (typisk langfristet)</t>
  </si>
  <si>
    <t>(kortfristet)</t>
  </si>
  <si>
    <t>Hovedstol</t>
  </si>
  <si>
    <t>Det samlede beløb der skal betales tilbage ifølge</t>
  </si>
  <si>
    <t>låne aftalen.</t>
  </si>
  <si>
    <t>Kan findes ved målsøgning</t>
  </si>
  <si>
    <t>Hovedstol = (Pris(+initialomkostning)/kurs)*100</t>
  </si>
  <si>
    <t>samlet ydelse/Cashflow</t>
  </si>
  <si>
    <t>bidrag(Er her inkluderet i hovedstol)</t>
  </si>
  <si>
    <t>initiale omkostninger</t>
  </si>
  <si>
    <t>ydelse eksl. Bidrag</t>
  </si>
  <si>
    <t>obligtionskurs</t>
  </si>
  <si>
    <t>afdrag</t>
  </si>
  <si>
    <t>kupon rente</t>
  </si>
  <si>
    <t>renter</t>
  </si>
  <si>
    <t>terminer pr. År</t>
  </si>
  <si>
    <t>restgæld</t>
  </si>
  <si>
    <t>Lån B - 10-årige virksomhedsobligationer(stående)</t>
  </si>
  <si>
    <t xml:space="preserve">Hovedstol </t>
  </si>
  <si>
    <t>samlet ydelse/cash-flow</t>
  </si>
  <si>
    <t>årligt bidrag(0,75% af restgæld)</t>
  </si>
  <si>
    <t>bidrag</t>
  </si>
  <si>
    <t>Lån A - 10 årigt realkreditlån(annuitet)</t>
  </si>
  <si>
    <t>opførelsestid inden produktion starter</t>
  </si>
  <si>
    <t>Kr.</t>
  </si>
  <si>
    <t xml:space="preserve">anlægget koster </t>
  </si>
  <si>
    <t>Lån typer - eks'!A1</t>
  </si>
  <si>
    <t>Kurs</t>
  </si>
  <si>
    <t xml:space="preserve">Er "prisen" på lånet. </t>
  </si>
  <si>
    <t>fx Kurs 88 betyder, at der ved et lån på 100 kr</t>
  </si>
  <si>
    <t>kun udbetales 88.</t>
  </si>
  <si>
    <t>Kurstab</t>
  </si>
  <si>
    <t>Omkostning som følge af at</t>
  </si>
  <si>
    <t>kursen er mindre end lånet</t>
  </si>
  <si>
    <t>I eksemplet ovenfor er kurstabet 12 kr.</t>
  </si>
  <si>
    <t>Provenu</t>
  </si>
  <si>
    <t>Er det beløb man får udbetalt, når alle omkostninger</t>
  </si>
  <si>
    <t>Løbetid</t>
  </si>
  <si>
    <t>Lånets tilbagebetalingstid</t>
  </si>
  <si>
    <t>Terminer</t>
  </si>
  <si>
    <t>Tidspunkter for betaling på lånet</t>
  </si>
  <si>
    <t>Der kunne fx være 4 årlige terminer</t>
  </si>
  <si>
    <t>Det beløb, der betales til terminen. Består af renter</t>
  </si>
  <si>
    <t>og afdrag</t>
  </si>
  <si>
    <t>Løbende tilbagebetaling af lånets hovedstol</t>
  </si>
  <si>
    <t>Afdrag/Amortisering</t>
  </si>
  <si>
    <t>Restgæld</t>
  </si>
  <si>
    <t>Den del af lånets hovedstol, som ved et givent</t>
  </si>
  <si>
    <t>tidspunkt endnu ikke er betalt via de løbende afdrag</t>
  </si>
  <si>
    <t>Gældsfinansiering: Lån og obligationer - Gældsfinansiering: Lån og obligationer - Gældsfinansiering: Lån og obligationer - Gældsfinansiering: Lån og obligationer - Gældsfinansiering: Lån og obligationer - Gældsfinansiering: Lån og obligationer</t>
  </si>
  <si>
    <t>Rentebegreber</t>
  </si>
  <si>
    <t>Den pålydende rente</t>
  </si>
  <si>
    <t>(Kuponrenten, den nominelle rente)</t>
  </si>
  <si>
    <t>Denne tager ikke højde for renters rente, kurstab eller</t>
  </si>
  <si>
    <t>Dette er den årlige rente som femgår af låneaftalen.</t>
  </si>
  <si>
    <t>andre omkostninger.</t>
  </si>
  <si>
    <t>Afspejler derfor som hovedregel ikke de reelle</t>
  </si>
  <si>
    <t xml:space="preserve"> omkostninger ved lånet</t>
  </si>
  <si>
    <t>Pålydende rente - eks'!A1</t>
  </si>
  <si>
    <t>sikrer, at nutidsværdien af alle betalinger relateret</t>
  </si>
  <si>
    <t>Den effektive rente på et lån er den rentesats, der</t>
  </si>
  <si>
    <t>til lånet er præcis 0.</t>
  </si>
  <si>
    <t>Den effektive rente er dermed det relevante lån</t>
  </si>
  <si>
    <t>for et låns omkostninger.</t>
  </si>
  <si>
    <t>Yt: lånets ydelse i periode t</t>
  </si>
  <si>
    <t>ER: effektiv rente</t>
  </si>
  <si>
    <t xml:space="preserve">Tager højde for alle omkostninger og ikke blot </t>
  </si>
  <si>
    <t>pålydende rente.</t>
  </si>
  <si>
    <t xml:space="preserve">Udtrykker den gennemsnitlige årlige forrentning af det </t>
  </si>
  <si>
    <t>sammenligneligt på tværs af forskellige lån.</t>
  </si>
  <si>
    <t>faktiske låneprovenu.</t>
  </si>
  <si>
    <t>Direkte parallel til den interne rente i investeringsteori</t>
  </si>
  <si>
    <t>ER i alt:</t>
  </si>
  <si>
    <t>ER pr år:</t>
  </si>
  <si>
    <t xml:space="preserve">(finansieringsteoriens ækvivalent </t>
  </si>
  <si>
    <t>til den interne rente)</t>
  </si>
  <si>
    <t>til opsigelse af lånet er afholdt</t>
  </si>
  <si>
    <t>Effektiv rente - eks'!A1</t>
  </si>
  <si>
    <t>Den effektive rente - ER - IRR</t>
  </si>
  <si>
    <t>.=IA(Ydelses værdier)</t>
  </si>
  <si>
    <t>.=+(1+IA(Ydelses værdier))^2-1</t>
  </si>
  <si>
    <t>IRR P.A.</t>
  </si>
  <si>
    <t>IRR p.a.</t>
  </si>
  <si>
    <t>YDELSE</t>
  </si>
  <si>
    <t>AFDRAG</t>
  </si>
  <si>
    <t>RENTER</t>
  </si>
  <si>
    <t>RESTGÆLD</t>
  </si>
  <si>
    <t>TERMIN</t>
  </si>
  <si>
    <t>ANNUITETSLÅN</t>
  </si>
  <si>
    <t>SERIELÅN</t>
  </si>
  <si>
    <t>STÅENDE LÅN</t>
  </si>
  <si>
    <t>TERMINER PER ÅR</t>
  </si>
  <si>
    <t>ÅR TIL UDLØB</t>
  </si>
  <si>
    <t>KUPONRENTE</t>
  </si>
  <si>
    <t>KURS</t>
  </si>
  <si>
    <t>3. Lav diagrammer over alle 3 lån som viser udviklingen i afdrag, rente og ydelse for de 3 lånetyper</t>
    <phoneticPr fontId="0" type="noConversion"/>
  </si>
  <si>
    <t>2. Find den effektive rente af hvert lån</t>
    <phoneticPr fontId="0" type="noConversion"/>
  </si>
  <si>
    <t>1. Udfyld amortisationsskemaerne for 3 forskellige lånetyper til samme kuponrente:</t>
    <phoneticPr fontId="0" type="noConversion"/>
  </si>
  <si>
    <t>F17 OBLIGATIONER &amp; LÅN</t>
    <phoneticPr fontId="0" type="noConversion"/>
  </si>
  <si>
    <t>Rente per kvartal</t>
  </si>
  <si>
    <t>Eller EXCEL</t>
  </si>
  <si>
    <t>Rente p.a.</t>
  </si>
  <si>
    <t>fiktiv' rente</t>
  </si>
  <si>
    <t>Hvad er NV af den annuitet ved fiktiv rente?</t>
  </si>
  <si>
    <t>Samlet betaling per kvartal</t>
  </si>
  <si>
    <t>rente</t>
  </si>
  <si>
    <t>Termin</t>
  </si>
  <si>
    <t>Metode 4</t>
  </si>
  <si>
    <t>Metode 3</t>
  </si>
  <si>
    <t>4 kvartaler</t>
  </si>
  <si>
    <t>8% p.a.</t>
  </si>
  <si>
    <t>Opstil CF</t>
  </si>
  <si>
    <t>Metode 2</t>
  </si>
  <si>
    <t>Metode 1</t>
  </si>
  <si>
    <t>Hvilken finansiering bør A/S BETA vælge?</t>
  </si>
  <si>
    <t>Bereng den effektive rente af alle 4 finansieringsmuligheder</t>
  </si>
  <si>
    <t>4. Lån: et 6-årigt serielån  på 1,2 mio. DKK, med en årlig kuponrente på 10%. Terminerne er halvårige</t>
  </si>
  <si>
    <t>3. Leasing: 8-årig kontrakt med en ydelse på 5,1% af kontantprisen per kvartal</t>
  </si>
  <si>
    <t>2. Afbetaling: 300.000 i udbetaling, og derefter 250.000 per år i 5 år</t>
  </si>
  <si>
    <t xml:space="preserve">1. Kassekredit, 8% p.a. (rentetilskrivning kvartalsvis) </t>
  </si>
  <si>
    <t>Den har følgende 4 finansieringsmuligheder:</t>
  </si>
  <si>
    <t>Virksomheden A/S BETA står over for en stor investering på 1.200.000 mio. DKK.</t>
  </si>
  <si>
    <t>F18 FINANSIERINGSALTERNATIVER</t>
    <phoneticPr fontId="0" type="noConversion"/>
  </si>
  <si>
    <r>
      <t xml:space="preserve">Samme </t>
    </r>
    <r>
      <rPr>
        <b/>
        <sz val="12"/>
        <color indexed="8"/>
        <rFont val="Calibri"/>
        <family val="2"/>
      </rPr>
      <t>Beslutningskriterier</t>
    </r>
    <r>
      <rPr>
        <sz val="12"/>
        <color theme="1"/>
        <rFont val="Calibri"/>
        <family val="2"/>
        <scheme val="minor"/>
      </rPr>
      <t xml:space="preserve"> som for den interne rente</t>
    </r>
  </si>
  <si>
    <t>(se investerings teori).</t>
  </si>
  <si>
    <t>Begrænsninger:</t>
  </si>
  <si>
    <t>Effektiv rente begrænsninger'!A1</t>
  </si>
  <si>
    <t>Hvis ER &lt; end afkastet --&gt; indgå lånet, og placér provenu i aktiv</t>
  </si>
  <si>
    <t xml:space="preserve">.- Aftale om lån op til en øvre grænse, fleksibel afdragsprofil </t>
  </si>
  <si>
    <t>.- Der betales kun rente af det faktiske lån</t>
  </si>
  <si>
    <t>.- Der betales derudover ofte provision af det maksimale lån</t>
  </si>
  <si>
    <t>Stående lån</t>
  </si>
  <si>
    <t>.- Der betales løbende renter til hver termin, men ingen afdrag</t>
  </si>
  <si>
    <t>.-Hele hovedstolen betales tilbage ved lånets udløb</t>
  </si>
  <si>
    <t>Annuitetslån</t>
  </si>
  <si>
    <t>.- Samme konstante ydelse(rente + afdrag) hver termin</t>
  </si>
  <si>
    <t>indtil årets udløb.</t>
  </si>
  <si>
    <t>.- Rentebetalinger falder i løbet af lånets løbetid, afdrag stiger</t>
  </si>
  <si>
    <t>Serielån</t>
  </si>
  <si>
    <t>.- Konstante afdrag hver termin indtil ånets udløb</t>
  </si>
  <si>
    <t>.- renter og ydelse falder i løbet af lånets løbetid</t>
  </si>
  <si>
    <t>(annuitetslån)</t>
  </si>
  <si>
    <t>Illustration</t>
  </si>
  <si>
    <t>Stående lån - eks'!A1</t>
  </si>
  <si>
    <t>Serielån - eks'!A1</t>
  </si>
  <si>
    <t>Annuitetslån - eks'!A1</t>
  </si>
  <si>
    <t>Renten divideres med to da der er to terminer pr år</t>
  </si>
  <si>
    <t>Afdrag P.A. = beløb/antal terminer</t>
  </si>
  <si>
    <t>Hovedstol - H</t>
  </si>
  <si>
    <t>H: Hovedstolen</t>
  </si>
  <si>
    <t>r: Terminsrenten</t>
  </si>
  <si>
    <t>Terminsrenten - r</t>
  </si>
  <si>
    <t>r = kuponrente/antal terminer pr. År</t>
  </si>
  <si>
    <t>n: samlet antal terminer</t>
  </si>
  <si>
    <t>Y: Ydelsen</t>
  </si>
  <si>
    <t>OBS! - Ydelsen er konstant, men:</t>
  </si>
  <si>
    <t>.- Renternes andel af ydelsen falder over tid.</t>
  </si>
  <si>
    <t>.- Afdragenes andel af ydelsen stiger over tid.</t>
  </si>
  <si>
    <t>.--&gt; Ydelsen efter skat stiger over tid, da kun renter er</t>
  </si>
  <si>
    <t xml:space="preserve"> fradragsberettigede.</t>
  </si>
  <si>
    <t>Kriterier for valg af lån</t>
  </si>
  <si>
    <t>.- Størrelsen af provenuet(bør matche finansieringsbehovet)</t>
  </si>
  <si>
    <t>.- Effektiv rente(holde omkostningerne nede)</t>
  </si>
  <si>
    <t xml:space="preserve">.- Afdragsprofil: </t>
  </si>
  <si>
    <t>*Alternativomkostning ved afdrag(maksimer samlet resultat af lån + investering)</t>
  </si>
  <si>
    <t xml:space="preserve">*Likviditetshensyn ( timiningen af betalingerne på lånet </t>
  </si>
  <si>
    <t>bør matche timingen af indtægterne fra investeringen</t>
  </si>
  <si>
    <t>.- Fleksibilitet(tage højde for at lånebehovet er usikkert</t>
  </si>
  <si>
    <t>LÅN</t>
  </si>
  <si>
    <t>Obligationer</t>
  </si>
  <si>
    <t>En fast kontrakt på en række fremtidige betalinger,</t>
  </si>
  <si>
    <t>beskrevet ved pålydende rente(kuponrenten), løbetid</t>
  </si>
  <si>
    <t>og afdragsprofil.</t>
  </si>
  <si>
    <t>Virksomhedsobligationer)</t>
  </si>
  <si>
    <t>Udstederen af obligationen sælger den til en køber og</t>
  </si>
  <si>
    <t>forpligter sig herved til de fastsatte betalinger.</t>
  </si>
  <si>
    <t>Obligationer er altså et "lån" fra køberen til udstederen</t>
  </si>
  <si>
    <t>Salgsprisen på obligationen kaldes kursen og fastsættes</t>
  </si>
  <si>
    <t>på markedsvilkår(fx ved auktion)</t>
  </si>
  <si>
    <t>Køberen af obligationen kan senere sælge den videre</t>
  </si>
  <si>
    <t>til andre investorer til gældende markedsværdi</t>
  </si>
  <si>
    <t>Obligationer - eksempel'!A1</t>
  </si>
  <si>
    <t>Renter = Restgæld i året * kuponrente/antal terminer pr. År</t>
  </si>
  <si>
    <t>Effektiv rente og kurstab:</t>
  </si>
  <si>
    <t>Effektiv rente og kurstab'!A1</t>
  </si>
  <si>
    <t>PR: lånets provenu eller Kurs(obligationer)</t>
  </si>
  <si>
    <t>Renten kan blive negativ hvis kursen er over 100</t>
  </si>
  <si>
    <t>En obligations kurs bestemmes af udbud og efterspørgsel</t>
  </si>
  <si>
    <t xml:space="preserve">Obligationens markedsværdi = Kurs = Nutidsværdien </t>
  </si>
  <si>
    <t>af de fremtidige betalinger.</t>
  </si>
  <si>
    <t>Kursen på en obligation er prisen på en obligation</t>
  </si>
  <si>
    <t>Denne falder når markedsrenten stiger og omvendt</t>
  </si>
  <si>
    <t>Denne er over 200, når markedsrenten er lavere end</t>
  </si>
  <si>
    <t>den pålydende og omvendt. Og er 100 når de er lig</t>
  </si>
  <si>
    <t>hinanden.</t>
  </si>
  <si>
    <t>Når markedsrenten stiger, forbedres afkastet på alternative investeringer</t>
  </si>
  <si>
    <t>falder, lavere efterspørgsel.</t>
  </si>
  <si>
    <t xml:space="preserve">.--&gt; investeorernes betalingsvillighed for obligationen </t>
  </si>
  <si>
    <t>Lån 2</t>
  </si>
  <si>
    <t>Lån 1</t>
  </si>
  <si>
    <t>Handlet til kurs</t>
    <phoneticPr fontId="0" type="noConversion"/>
  </si>
  <si>
    <t>Antal år til udløb</t>
    <phoneticPr fontId="0" type="noConversion"/>
  </si>
  <si>
    <t>Terminer per år</t>
    <phoneticPr fontId="0" type="noConversion"/>
  </si>
  <si>
    <t>Kuponrente</t>
    <phoneticPr fontId="0" type="noConversion"/>
  </si>
  <si>
    <t>Stående lån:</t>
    <phoneticPr fontId="0" type="noConversion"/>
  </si>
  <si>
    <t>Beregn den effektive rente på følgende obligationer:</t>
    <phoneticPr fontId="0" type="noConversion"/>
  </si>
  <si>
    <t>Dette hænger sammen med ændringer i renten</t>
    <phoneticPr fontId="0" type="noConversion"/>
  </si>
  <si>
    <t>Obligationer handles oftest til kurser der afviger fra 100.</t>
    <phoneticPr fontId="0" type="noConversion"/>
  </si>
  <si>
    <t>FUN FACT</t>
    <phoneticPr fontId="0" type="noConversion"/>
  </si>
  <si>
    <t>F20 KURS OG RENTE</t>
    <phoneticPr fontId="0" type="noConversion"/>
  </si>
  <si>
    <t>Kurs og rente'!A1</t>
  </si>
  <si>
    <t>F23 KURS OG RENTE</t>
  </si>
  <si>
    <t>Du har brug for et kontant låneprovenu på 800.000DKK til finansiering i din virksomhed:</t>
  </si>
  <si>
    <t>Du finder følgende 3 annuitetsobligationer:</t>
  </si>
  <si>
    <t>Nominel rente p.a.</t>
  </si>
  <si>
    <t>Løbetid, år</t>
  </si>
  <si>
    <t>Terminer/år</t>
  </si>
  <si>
    <t>Oprettelsesomkostninger:</t>
  </si>
  <si>
    <t>Vurdering</t>
  </si>
  <si>
    <t>DKK</t>
  </si>
  <si>
    <t>Papirarbejde</t>
  </si>
  <si>
    <t>Kurtage</t>
  </si>
  <si>
    <t>af kursværdi</t>
  </si>
  <si>
    <t>Stempelafgift</t>
  </si>
  <si>
    <t>af hovedstol</t>
  </si>
  <si>
    <t>Tinglysningsafgift</t>
  </si>
  <si>
    <t>Derudover:</t>
  </si>
  <si>
    <t>Administrationsbidrag - løbende</t>
  </si>
  <si>
    <t>af restgælden</t>
  </si>
  <si>
    <t>1. Beregn nettoprovenu og nettokurs for de 3 lån</t>
  </si>
  <si>
    <t>2. Beregn den effektive rente på de 3 lån</t>
  </si>
  <si>
    <t>3. Konkluder</t>
  </si>
  <si>
    <t>Nettoprovenu</t>
  </si>
  <si>
    <t>Nettokurs</t>
  </si>
  <si>
    <t>Ydelse per termin, ekskl. bidrag</t>
  </si>
  <si>
    <t>Kvartalsvis effektiv rente</t>
  </si>
  <si>
    <t>Årlig effektiv rente</t>
  </si>
  <si>
    <t>Lån 3</t>
  </si>
  <si>
    <t>Pålydende rente</t>
  </si>
  <si>
    <t>Beregning af kvartalsvis effektiv rente for lån nr:</t>
  </si>
  <si>
    <t>Effektiv rente pr kvartal:</t>
  </si>
  <si>
    <t>Restgæld primo</t>
  </si>
  <si>
    <t>Ydelse, ekskl  bidrag</t>
  </si>
  <si>
    <t>Bidrag</t>
  </si>
  <si>
    <t>Restgæld ultimo</t>
  </si>
  <si>
    <t>Samlet ydelse</t>
  </si>
  <si>
    <t>(Realkreditobligationer, statsobligationer,</t>
  </si>
  <si>
    <t>Portifølgeteori - Portifølgeteori - Portifølgeteori - Portifølgeteori -  Portifølgeteori - Portifølgeteori - PortifølgeteoriPortifølgeteori - Portifølgeteori - Portifølgeteori - Portifølgeteori - Portifølgeteori - Portifølgeteori</t>
  </si>
  <si>
    <t>En portifølge</t>
  </si>
  <si>
    <t>En portifølge er en samling af værdipapirer</t>
  </si>
  <si>
    <t>(aktier obligationer)</t>
  </si>
  <si>
    <t xml:space="preserve">Portifølgeinvesteringer foretages med henblik på et </t>
  </si>
  <si>
    <t xml:space="preserve">monetært afkast. </t>
  </si>
  <si>
    <t>Afkast</t>
  </si>
  <si>
    <t>Risiko</t>
  </si>
  <si>
    <t xml:space="preserve">Er usikkerheden som en portifølgeinvestering er </t>
  </si>
  <si>
    <t>forbundet med.</t>
  </si>
  <si>
    <t>Usikkerhed om værdipapirets fremtidige afkast</t>
  </si>
  <si>
    <t xml:space="preserve">Er den fortjeneste som en given portifølgeinvestering </t>
  </si>
  <si>
    <t>indebærer.</t>
  </si>
  <si>
    <t>Grundet Usikkerhed kendes det faktiske afkast ikke.</t>
  </si>
  <si>
    <t xml:space="preserve">Dog ved at opnå information om investeringens </t>
  </si>
  <si>
    <t>Den grundlæggende antagelse om at en investore er</t>
  </si>
  <si>
    <t>risikoervers</t>
  </si>
  <si>
    <t xml:space="preserve">Risikoervers betyder at man vil undgå høj risiko i størst </t>
  </si>
  <si>
    <t>mulig omfang.</t>
  </si>
  <si>
    <t xml:space="preserve">Hvis to vædipapirer har samme forventede afkast, </t>
  </si>
  <si>
    <t>foretrækkes det mindst risikofyldte</t>
  </si>
  <si>
    <t>Risokoaversion</t>
  </si>
  <si>
    <t>Risikoaversion - eks'!A1</t>
  </si>
  <si>
    <t>I nogle situationer kan investoren forøge sit afkast ved</t>
  </si>
  <si>
    <t xml:space="preserve">at påtage sig risiko(expected return-risk tradeoff) </t>
  </si>
  <si>
    <t>Investorens valg om at påtage sig risiko afhænger af</t>
  </si>
  <si>
    <t>graden risikoaversion.</t>
  </si>
  <si>
    <t>risikoprofil kan man finde frem til et forventet afkast.</t>
  </si>
  <si>
    <t>Afkastet af et værdipapir har to elementer:</t>
  </si>
  <si>
    <t>En obligation kan generere en løbende kontant betaling:</t>
  </si>
  <si>
    <t>.- rente og afdrag</t>
  </si>
  <si>
    <t>Kursgevinst --&gt; ændring i markedspris</t>
  </si>
  <si>
    <t>(total return)</t>
  </si>
  <si>
    <t>CFt: Er cash-flow i løbet af periode t</t>
  </si>
  <si>
    <t xml:space="preserve">PE og PB: prisen i begyndelsen og i </t>
  </si>
  <si>
    <t>slutningen af periode t</t>
  </si>
  <si>
    <t>Relativt afkast</t>
  </si>
  <si>
    <t>(return relative)</t>
  </si>
  <si>
    <t>Kontant afkast ("cash-flow") - dividende, rente, afdrag</t>
  </si>
  <si>
    <t>Relativt afkast - eks'!A1</t>
  </si>
  <si>
    <t>Nominelt- og realt afkast</t>
  </si>
  <si>
    <t>Nominelt afkast = værdistigning i kroner og ører</t>
  </si>
  <si>
    <t>Realt afkast = Stigning i værdipapirets købekraft</t>
  </si>
  <si>
    <t>(Formlen er for realt afkast)</t>
  </si>
  <si>
    <t>Nominelt og realt afkast - eks'!A1</t>
  </si>
  <si>
    <t>Kumulativt afkast</t>
  </si>
  <si>
    <t>Måler det samlede afkast over flere perioder</t>
  </si>
  <si>
    <t>Kumulativt afkast - eks'!A1</t>
  </si>
  <si>
    <t>Gennemsnitligt afkast</t>
  </si>
  <si>
    <t>Det arimetriske gennemsnit:</t>
  </si>
  <si>
    <t>Angiver det simple gennemsnit af de årlige afkast i %</t>
  </si>
  <si>
    <t>Det geometrikse gennemsnit:</t>
  </si>
  <si>
    <t>Angiver det konstante årlge afkast, som ville have</t>
  </si>
  <si>
    <t xml:space="preserve">som ville have givet samme kumulative afkast som </t>
  </si>
  <si>
    <t>den faktiske række af afkast</t>
  </si>
  <si>
    <t xml:space="preserve"> </t>
  </si>
  <si>
    <t>Gennemsnitligt afkast- eksempel'!A1</t>
  </si>
  <si>
    <t>Hvornår skal hvad bruges?:</t>
  </si>
  <si>
    <t>afkast, man har opnået ved at holde aktivet over</t>
  </si>
  <si>
    <t>en årrække</t>
  </si>
  <si>
    <r>
      <rPr>
        <b/>
        <sz val="12"/>
        <color indexed="8"/>
        <rFont val="Calibri"/>
        <family val="2"/>
      </rPr>
      <t>Geometrisk</t>
    </r>
    <r>
      <rPr>
        <sz val="12"/>
        <color theme="1"/>
        <rFont val="Calibri"/>
        <family val="2"/>
        <scheme val="minor"/>
      </rPr>
      <t>: Bedste mål for det gennemsnitlige årlige</t>
    </r>
  </si>
  <si>
    <r>
      <rPr>
        <b/>
        <sz val="12"/>
        <color indexed="8"/>
        <rFont val="Calibri"/>
        <family val="2"/>
      </rPr>
      <t>Arimetrisk</t>
    </r>
    <r>
      <rPr>
        <sz val="12"/>
        <color theme="1"/>
        <rFont val="Calibri"/>
        <family val="2"/>
        <scheme val="minor"/>
      </rPr>
      <t>: bedste bud på det forventede afkastet i et tilfældigt år</t>
    </r>
  </si>
  <si>
    <t>Sandsynligheden for at noget går dårligt/værre end</t>
  </si>
  <si>
    <t>forventet</t>
  </si>
  <si>
    <t>Mål for risiko:</t>
  </si>
  <si>
    <t xml:space="preserve">De fleste mål for risiko udtrykker omfanget af </t>
  </si>
  <si>
    <t xml:space="preserve">variation("variabilitet"): hvor meget varierer afkastet </t>
  </si>
  <si>
    <t>typisk omkring gennemsnittet. Hvis der er stor variabilitet</t>
  </si>
  <si>
    <t>.--&gt; stor sandsynlighed for markant lavere afkast end forventet</t>
  </si>
  <si>
    <t>Angiver hvor meget afkastet typisk varierer omkring</t>
  </si>
  <si>
    <t>gennemsnittet.</t>
  </si>
  <si>
    <t>Hvis der er stor variabilitet:</t>
  </si>
  <si>
    <t>Et mål for risiko.</t>
  </si>
  <si>
    <t>Variabilitet</t>
  </si>
  <si>
    <t>Emperisk varians</t>
  </si>
  <si>
    <t xml:space="preserve">Et statistisk begrab til måling af "variabilitet" som </t>
  </si>
  <si>
    <t>både tager højde for:</t>
  </si>
  <si>
    <t>.- Størrelsen af afvigelserne fra gennemsnittet</t>
  </si>
  <si>
    <t>.- Hyppigheden af store afvigelser fra gennemsnittet</t>
  </si>
  <si>
    <t xml:space="preserve">Angiver den "gennemsnitlige kvadrerede afvigelse fra </t>
  </si>
  <si>
    <t>gennemsnittet"</t>
  </si>
  <si>
    <t>Standardafvigelse</t>
  </si>
  <si>
    <t xml:space="preserve">Er defineret som kvadrartroden af den </t>
  </si>
  <si>
    <t>emperiske varians</t>
  </si>
  <si>
    <t xml:space="preserve">Grunden til at man ikke bare bruger emperisk varians </t>
  </si>
  <si>
    <t>som risikomål:</t>
  </si>
  <si>
    <r>
      <t xml:space="preserve">.- Den emperiske varians er en sum af </t>
    </r>
    <r>
      <rPr>
        <i/>
        <sz val="12"/>
        <color indexed="8"/>
        <rFont val="Calibri"/>
        <family val="2"/>
      </rPr>
      <t>kvadrerede</t>
    </r>
    <r>
      <rPr>
        <sz val="12"/>
        <color theme="1"/>
        <rFont val="Calibri"/>
        <family val="2"/>
        <scheme val="minor"/>
      </rPr>
      <t xml:space="preserve"> termer</t>
    </r>
  </si>
  <si>
    <t xml:space="preserve">Og har derfor ikke samme enhed som den variabel hvis </t>
  </si>
  <si>
    <t>variabilitet måles.</t>
  </si>
  <si>
    <t xml:space="preserve">.- Standardafvigelsen måles derimod i samme enhed </t>
  </si>
  <si>
    <t>som den pågældende variabel og er dermed lettere at fortolke</t>
  </si>
  <si>
    <t>Risikopræmie</t>
  </si>
  <si>
    <t>afkast, som ligger ud over den risikofri rente</t>
  </si>
  <si>
    <t>Risikoaverse investorer vil kun påtage sig ekstra risiko,</t>
  </si>
  <si>
    <t>hvis de bliver kompenseret i form af et højere forventet</t>
  </si>
  <si>
    <t>afkast(risikopræmie)</t>
  </si>
  <si>
    <t>Kortfristede obligationer kan ses som en(stort set)</t>
  </si>
  <si>
    <t>risikofri investering, hvortil aktier langt fra er risikofri.</t>
  </si>
  <si>
    <t>Grunden til at risikoaverse investorer overhovedt investerer</t>
  </si>
  <si>
    <t>Der er derfor et tradeoff mellem risiko og forventet afkast</t>
  </si>
  <si>
    <t>i akter er at de har større forventet afkast(risikopræmie.)</t>
  </si>
  <si>
    <t>Antagelser under portifølgeteori:</t>
  </si>
  <si>
    <t>Antagelser under portifølgeteor'!A1</t>
  </si>
  <si>
    <t>Diversifikation</t>
  </si>
  <si>
    <t xml:space="preserve">At sammensætte en portifølge af forskellige </t>
  </si>
  <si>
    <t>forventede afkast mindskes</t>
  </si>
  <si>
    <t>Risikoen mindskes kun lidt når portifølgen er bestående</t>
  </si>
  <si>
    <t>Samvariation</t>
  </si>
  <si>
    <t>af værdipapirer med høj samvariation og omvendt</t>
  </si>
  <si>
    <t xml:space="preserve">værdipapirer for at mindske risiko uden at det </t>
  </si>
  <si>
    <t>Når værdipapirer "minder" om hinanden.</t>
  </si>
  <si>
    <t xml:space="preserve">fx hvis man kun har aktier hos bilproducenter vil en </t>
  </si>
  <si>
    <t>lav konjunktur påvirke alle aktierne.</t>
  </si>
  <si>
    <t>Det er smart at købe værdipapirer som er modsætninger</t>
  </si>
  <si>
    <t>Illustration:</t>
  </si>
  <si>
    <t>Diversifikationsprincippet - ek'!A1</t>
  </si>
  <si>
    <t>af usikkerhed på virksomhedsniveau:</t>
  </si>
  <si>
    <t>.- Bliver Novos nye sukkersygemedicin godkendt i USA?</t>
  </si>
  <si>
    <t>.- Finder mærsk nye oliefelter i nordsøen?</t>
  </si>
  <si>
    <t>.- Kan kunderne lide Carlsbergs nye ølvariant?</t>
  </si>
  <si>
    <r>
      <t xml:space="preserve">Ved diversifikation </t>
    </r>
    <r>
      <rPr>
        <sz val="12"/>
        <color theme="1"/>
        <rFont val="Calibri"/>
        <family val="2"/>
        <scheme val="minor"/>
      </rPr>
      <t>kan man fjerne den risiko der kommer</t>
    </r>
  </si>
  <si>
    <r>
      <rPr>
        <b/>
        <sz val="12"/>
        <color indexed="8"/>
        <rFont val="Calibri"/>
        <family val="2"/>
      </rPr>
      <t>Ved diversifikation</t>
    </r>
    <r>
      <rPr>
        <sz val="12"/>
        <color theme="1"/>
        <rFont val="Calibri"/>
        <family val="2"/>
        <scheme val="minor"/>
      </rPr>
      <t xml:space="preserve"> kan man </t>
    </r>
    <r>
      <rPr>
        <b/>
        <sz val="12"/>
        <color indexed="8"/>
        <rFont val="Calibri"/>
        <family val="2"/>
      </rPr>
      <t>IKKE</t>
    </r>
    <r>
      <rPr>
        <sz val="12"/>
        <color theme="1"/>
        <rFont val="Calibri"/>
        <family val="2"/>
        <scheme val="minor"/>
      </rPr>
      <t xml:space="preserve"> fjerne den risiko</t>
    </r>
  </si>
  <si>
    <t>der kommer af usikkerhed på markedsniveau:</t>
  </si>
  <si>
    <t>.- Hvad bliver den økonomiske vækst i EU næste år?</t>
  </si>
  <si>
    <t>.- Rammes Danmark af et jordskælv</t>
  </si>
  <si>
    <r>
      <t>.=-Middel(</t>
    </r>
    <r>
      <rPr>
        <b/>
        <sz val="12"/>
        <color indexed="72"/>
        <rFont val="Calibri"/>
        <family val="2"/>
      </rPr>
      <t>tal2</t>
    </r>
    <r>
      <rPr>
        <b/>
        <sz val="12"/>
        <color indexed="8"/>
        <rFont val="Calibri"/>
        <family val="2"/>
      </rPr>
      <t>;</t>
    </r>
    <r>
      <rPr>
        <b/>
        <sz val="12"/>
        <color indexed="72"/>
        <rFont val="Calibri"/>
        <family val="2"/>
      </rPr>
      <t>tal2</t>
    </r>
    <r>
      <rPr>
        <b/>
        <sz val="12"/>
        <color indexed="8"/>
        <rFont val="Calibri"/>
        <family val="2"/>
      </rPr>
      <t>…)</t>
    </r>
  </si>
  <si>
    <t>En variabel hvis værdi er usikker på forhånd</t>
  </si>
  <si>
    <r>
      <t>En stokastisk variabel - X</t>
    </r>
    <r>
      <rPr>
        <sz val="12"/>
        <color theme="1"/>
        <rFont val="Calibri"/>
        <family val="2"/>
        <scheme val="minor"/>
      </rPr>
      <t>(ofte)</t>
    </r>
  </si>
  <si>
    <t>Eksempel:</t>
  </si>
  <si>
    <t>Realiseret værdi-stokastisk var'!A1</t>
  </si>
  <si>
    <t>Intuition:</t>
  </si>
  <si>
    <t>Ekempel:</t>
  </si>
  <si>
    <t>For intuition og</t>
  </si>
  <si>
    <t>den realiserede værdi af X - se eksempel</t>
  </si>
  <si>
    <t>Den stokastiske variabels relevans for portifølgeteori:</t>
  </si>
  <si>
    <t>.- Afkastet af et værdipapir opfattes som en stokastisk</t>
  </si>
  <si>
    <t>variabel, der realiseres i hver periode.</t>
  </si>
  <si>
    <t xml:space="preserve">.- Vi kan dermed udvikle portifølgeteorien med begreber </t>
  </si>
  <si>
    <t>og regneregler gældende for stokastiske variable</t>
  </si>
  <si>
    <t>FIND UD AF HVAD "A" ER!!!!!!</t>
  </si>
  <si>
    <t>Middelværdi af stokastisk variabel - X</t>
  </si>
  <si>
    <t xml:space="preserve">Udregnes som et vægtet gennemsnit af de mulige </t>
  </si>
  <si>
    <t>værdier, med værdiens sandsynlighed som vægte.</t>
  </si>
  <si>
    <t xml:space="preserve">Fortolkning: Den gennemsnitlige realiserede værdi der </t>
  </si>
  <si>
    <t>opnås, hvis X realiseres mange gange</t>
  </si>
  <si>
    <t>Er defineret som middelværdien af den kvadrerede</t>
  </si>
  <si>
    <t>afvigelse fra den forventede værdi.</t>
  </si>
  <si>
    <t>Fortolking: Den gennemsnitlige kvadrerede afvigelse</t>
  </si>
  <si>
    <t>Variansen for en stokastisk variabel</t>
  </si>
  <si>
    <t>eller værdier langt fra middelværdien er usandsynlige</t>
  </si>
  <si>
    <t>Kovarians</t>
  </si>
  <si>
    <t xml:space="preserve">Kovariansen udtrykker, hvor meget to stokastiske </t>
  </si>
  <si>
    <t>variable samvarierer</t>
  </si>
  <si>
    <t>Er middelværdien af produktet af variablens afvigelser</t>
  </si>
  <si>
    <t>fra deres forventede værdier.</t>
  </si>
  <si>
    <r>
      <t xml:space="preserve">Kovariansen kan IKKE bruges til at se </t>
    </r>
    <r>
      <rPr>
        <i/>
        <sz val="12"/>
        <color indexed="8"/>
        <rFont val="Calibri"/>
        <family val="2"/>
      </rPr>
      <t>i hvilken grad</t>
    </r>
    <r>
      <rPr>
        <sz val="12"/>
        <color theme="1"/>
        <rFont val="Calibri"/>
        <family val="2"/>
        <scheme val="minor"/>
      </rPr>
      <t xml:space="preserve"> to</t>
    </r>
  </si>
  <si>
    <t xml:space="preserve">variable samvarierer. Dette kan den ikke fordi dens </t>
  </si>
  <si>
    <t>størrelse er afhængig af de stokastiske variables skala.</t>
  </si>
  <si>
    <t>(se eksempel)</t>
  </si>
  <si>
    <t>Kovarians - eksempel'!A1</t>
  </si>
  <si>
    <t>Korrelationskoefficienten</t>
  </si>
  <si>
    <t>(for to stokastiske variable, X og Y)</t>
  </si>
  <si>
    <t xml:space="preserve">Udtrykker samvariationen(ligesom kovariansen) men </t>
  </si>
  <si>
    <t>er skaleret til intervallet [-1;1]</t>
  </si>
  <si>
    <r>
      <t xml:space="preserve">Korrelationskoefficienten definerer begrebet </t>
    </r>
    <r>
      <rPr>
        <i/>
        <sz val="12"/>
        <color indexed="8"/>
        <rFont val="Calibri"/>
        <family val="2"/>
      </rPr>
      <t>korrelation</t>
    </r>
  </si>
  <si>
    <t>mellem to variable:</t>
  </si>
  <si>
    <t>Korrelationskoefficienten - eks'!A1</t>
  </si>
  <si>
    <t>(Normal varians)</t>
  </si>
  <si>
    <t>fra den forventede værdi, hvis X realiseres mange gange.</t>
  </si>
  <si>
    <t>Variansen siger noget som variabiliteten af X.</t>
  </si>
  <si>
    <t>Lille varians: Mulige værdier ligger tæt på middelværdien</t>
  </si>
  <si>
    <t>(forventede værdi/afkast)</t>
  </si>
  <si>
    <t>Portifølgens forventede afkast</t>
  </si>
  <si>
    <t>Det afkast som portifølgesn forventes at afgive</t>
  </si>
  <si>
    <t>Altså et vægtet gennemsnit af de forventede afkast for</t>
  </si>
  <si>
    <t xml:space="preserve"> de enkelte værdipapirer i portifølgen.</t>
  </si>
  <si>
    <t>Variansen af portifølgens afkast</t>
  </si>
  <si>
    <t>Portifølgevariansen afhænger altså af variansen af hver</t>
  </si>
  <si>
    <t>enkelt værdipapir i portifølgen samt af kovariansen</t>
  </si>
  <si>
    <t>mellem værdipapirerne</t>
  </si>
  <si>
    <t>Portifølge Dominans</t>
  </si>
  <si>
    <t xml:space="preserve">En portifølge siges at være domineret, hvis der findes </t>
  </si>
  <si>
    <t>en anden mulig portifølge med enten:</t>
  </si>
  <si>
    <t>.- Samme forventede afkast, men lavere risiko</t>
  </si>
  <si>
    <t>.- Samme risiko, men højere forventet afkast</t>
  </si>
  <si>
    <t>Efficient portifølge</t>
  </si>
  <si>
    <r>
      <t xml:space="preserve">En portifølge er </t>
    </r>
    <r>
      <rPr>
        <i/>
        <sz val="12"/>
        <color indexed="8"/>
        <rFont val="Calibri"/>
        <family val="2"/>
      </rPr>
      <t>efficient</t>
    </r>
    <r>
      <rPr>
        <sz val="12"/>
        <color theme="1"/>
        <rFont val="Calibri"/>
        <family val="2"/>
        <scheme val="minor"/>
      </rPr>
      <t xml:space="preserve"> hvis den ikke er domineret af</t>
    </r>
  </si>
  <si>
    <t>andre mulige portifølger</t>
  </si>
  <si>
    <t>Minimumsvariansportifølgen</t>
  </si>
  <si>
    <t>Den mulige portifølge med laveste risiko kaldes</t>
  </si>
  <si>
    <t>minimumsvariansportifølgen.</t>
  </si>
  <si>
    <t>En risikoavers invester vælger aldrig en domineret portifølge</t>
  </si>
  <si>
    <t>Risikofrit afkast - RF</t>
  </si>
  <si>
    <t>Risikofrit aktiv</t>
  </si>
  <si>
    <t>Et aktiv uden risiko</t>
  </si>
  <si>
    <t>En statsobligation siges at være et risikofrit aktiv</t>
  </si>
  <si>
    <t>(er det dog ikke helt pga. Kursrisiko)</t>
  </si>
  <si>
    <t>Hvis obligationen holdes indtil udløbstiden, er der ingen</t>
  </si>
  <si>
    <t>kursrisiko, fordi obligationen ikke skal sælges igen.</t>
  </si>
  <si>
    <t>Er afkastet genereret af det riskofri aktiv</t>
  </si>
  <si>
    <t>Mere om risikofrit aktiv i eksemplet:</t>
  </si>
  <si>
    <t>Tangentportefølgen - M</t>
  </si>
  <si>
    <t xml:space="preserve"> kombineret med det risikofri aktiv gør at mængden</t>
  </si>
  <si>
    <t>Kapitalmarkedslinjen</t>
  </si>
  <si>
    <t xml:space="preserve">Kapitalmarkdslinjen er en linje mellem det risikofri aktiv </t>
  </si>
  <si>
    <t xml:space="preserve">og .-M-portefølgen den linje, som karakteriserer </t>
  </si>
  <si>
    <t>mængden af efficiente portefølger.</t>
  </si>
  <si>
    <t xml:space="preserve">Investorer har forskellige præferrencer, men ale vælger </t>
  </si>
  <si>
    <t>optimalt en portefølje som består af:</t>
  </si>
  <si>
    <t>.- En andel af det risikofri aktiv</t>
  </si>
  <si>
    <t>.- En andel af portefølgen M</t>
  </si>
  <si>
    <t>.-Hvis investoren har høj risikoaversion --&gt; lav andel af M</t>
  </si>
  <si>
    <t>.-Hvis investoren har lav risikoaversion --&gt; høj andel af M</t>
  </si>
  <si>
    <t>Hvis andel af M &gt; 1 og andel af det risikofri aktiv &lt; 0 --&gt; fx lånefinansieret aktieinvestering</t>
  </si>
  <si>
    <t>Illustration af kapitalmarkedlinjen</t>
  </si>
  <si>
    <t>kapitalmarkedslinjen - eks'!A1</t>
  </si>
  <si>
    <t>Angiver forholdet mellem forventet afkast og risiko af</t>
  </si>
  <si>
    <t>Linjenshældning kan opfattes som markedsprisen på risiko.</t>
  </si>
  <si>
    <t>portefølger, når alle investorer vælger optimale portefølger.</t>
  </si>
  <si>
    <t xml:space="preserve">Altså hvor stor en betaling(højere forventet afkast) får </t>
  </si>
  <si>
    <t>investoren for at påtage sig en større risiko(højere standartafvigelse)</t>
  </si>
  <si>
    <t>i markedsligevægten</t>
  </si>
  <si>
    <t>Kapitalmarkedslinjen:</t>
  </si>
  <si>
    <t>Linjens hældning:</t>
  </si>
  <si>
    <r>
      <t>Fortolkning:</t>
    </r>
    <r>
      <rPr>
        <sz val="12"/>
        <color theme="1"/>
        <rFont val="Calibri"/>
        <family val="2"/>
        <scheme val="minor"/>
      </rPr>
      <t xml:space="preserve"> Det forventede afkast</t>
    </r>
  </si>
  <si>
    <t>af en portefølge P er et risikofrit afkast, RF, plus en risikopræmie</t>
  </si>
  <si>
    <t xml:space="preserve">Er defineret som den del af en investors forventede </t>
  </si>
  <si>
    <t>/Markedsportefølgen</t>
  </si>
  <si>
    <t xml:space="preserve"> af mulige portefølger bliver udvidet mest muligt.</t>
  </si>
  <si>
    <r>
      <t xml:space="preserve">Portefølgen kan tolkes som bestående af </t>
    </r>
    <r>
      <rPr>
        <b/>
        <sz val="12"/>
        <color indexed="8"/>
        <rFont val="Calibri"/>
        <family val="2"/>
      </rPr>
      <t>alle</t>
    </r>
    <r>
      <rPr>
        <sz val="12"/>
        <color theme="1"/>
        <rFont val="Calibri"/>
        <family val="2"/>
        <scheme val="minor"/>
      </rPr>
      <t xml:space="preserve"> risikofyldte</t>
    </r>
  </si>
  <si>
    <t xml:space="preserve">værdipapirer på markedet, hvor vægten for hver </t>
  </si>
  <si>
    <t xml:space="preserve">værdipapir svarer til værdipapirets andel af markedets </t>
  </si>
  <si>
    <t>samlede værdi</t>
  </si>
  <si>
    <t>Markedsportefølgen - eks'!A1</t>
  </si>
  <si>
    <t>Betaværdi - ß</t>
  </si>
  <si>
    <t>Betaværdien udtrykker et værdipapirs risiko i forhold</t>
  </si>
  <si>
    <t>M-portefølgen indeholder det risikofyldte aktiv som</t>
  </si>
  <si>
    <t xml:space="preserve">til markedsportefølgens risiko(alle andre risikofyldte </t>
  </si>
  <si>
    <t>da den sammenligner risikoen på resten af markedet.</t>
  </si>
  <si>
    <t xml:space="preserve">Angiver altså et givent værdipapirs kovarians med </t>
  </si>
  <si>
    <t>markedsportefølgen.</t>
  </si>
  <si>
    <t>.- Værdipapirer med ß &gt; 1 øger risikoen af markedsportefølgen</t>
  </si>
  <si>
    <t>Dette betyder at investorerne vil kræve højere forventet afkast for at købe dem</t>
  </si>
  <si>
    <t>.- Værdipapirer med ß &lt; 1 reducerer risikoen af markedsportefølgen</t>
  </si>
  <si>
    <t>Dette betyder at investorerne vil kræve lavere forventet afkast for at købe dem</t>
  </si>
  <si>
    <t>Capital Asset Pricing Model - CAPM</t>
  </si>
  <si>
    <t>Angiver det krævede afkast</t>
  </si>
  <si>
    <t>CAPM - eksempel'!A1</t>
  </si>
  <si>
    <t xml:space="preserve"> ß-værdien er det mest relevante risikomål for et værdipapir </t>
  </si>
  <si>
    <t xml:space="preserve">Og endvidere hvor korreleret dets afkast er med </t>
  </si>
  <si>
    <t xml:space="preserve">aktiver på markedet): </t>
  </si>
  <si>
    <t>markedsportefølgens:</t>
  </si>
  <si>
    <t>Individuelle værdipapirer har typisk:</t>
  </si>
  <si>
    <t>.- Højere individuel risiko end markedsportefølgen:</t>
  </si>
  <si>
    <t>.- Positiv korrelation med markedsportefølgen:</t>
  </si>
  <si>
    <t>Estimation af ß-værdi trin for trin:</t>
  </si>
  <si>
    <t>Estimering af BETA - eks'!A1</t>
  </si>
  <si>
    <t xml:space="preserve">Jo større kovarians mellem et værdipapir og </t>
  </si>
  <si>
    <t xml:space="preserve">markedsportefølgen(højere ß), jo højere forventet afkast </t>
  </si>
  <si>
    <t>er der på værdipapiret.</t>
  </si>
  <si>
    <t>Kapitalmarkedsteori</t>
  </si>
  <si>
    <t xml:space="preserve">Estimerer et værdipapirs fundamentale værdi som </t>
  </si>
  <si>
    <t>nutidværdien af de fremtidige betalingsstrømme,</t>
  </si>
  <si>
    <t xml:space="preserve">cash-flows, værdipapiret forventes at generere. </t>
  </si>
  <si>
    <t>Cfi: cash-flow i periode i</t>
  </si>
  <si>
    <t xml:space="preserve">k: passende kalkulationsrente, som </t>
  </si>
  <si>
    <t>afspejler afkastkrevet</t>
  </si>
  <si>
    <t>Discounted Cash-flow metoder - DCF</t>
  </si>
  <si>
    <t>Eksempler på DCF-modeller:</t>
  </si>
  <si>
    <t>.- Dividend Discount Model (DDM)</t>
  </si>
  <si>
    <t>.- Free Cash Flow to Equity (FCFE)</t>
  </si>
  <si>
    <t>.- Free Cash Flow to Firm (FCFF)</t>
  </si>
  <si>
    <t>Dividen Discount Model - DDM</t>
  </si>
  <si>
    <t>.- Hvis V0 &lt; aktuel pris --&gt; aktien er overvurderet --&gt; SÆLG</t>
  </si>
  <si>
    <t>.- Hvis V0 &gt; aktuel pris --&gt; aktien er undervurderet --&gt; KØB</t>
  </si>
  <si>
    <t xml:space="preserve">Metoden kræver at man estimerer for alle </t>
  </si>
  <si>
    <t>virksomhedens fremtidige dividendeudbetalinger.</t>
  </si>
  <si>
    <t>Hvis dividenderne er konstante i al fremtid gælder det:</t>
  </si>
  <si>
    <t>Hvis dividenderne voker med konstant vækstrate g i al fremtid:</t>
  </si>
  <si>
    <t>nutidsværden af de fremtidige dividender</t>
  </si>
  <si>
    <t>Free Cash-Flow to Equity - FCFE</t>
  </si>
  <si>
    <t>DDM estimerer den fundamentale værdi af en aktie som</t>
  </si>
  <si>
    <t>FCFE estimerer den fundamentale værdi af en aktie som</t>
  </si>
  <si>
    <t>nutidsværdien af det forventede fremtidige frie cash-flow,</t>
  </si>
  <si>
    <t>som virksomheden potentielt kan udbetale som dividender</t>
  </si>
  <si>
    <t>FCFE = Resultat pr. Aktie + afskrivninger + gældsoptagelse - gældstilbagebetaling - investeringer</t>
  </si>
  <si>
    <t>DDM VS. FCFE</t>
  </si>
  <si>
    <t>DDM VS. FCFE'!A1</t>
  </si>
  <si>
    <t>Weighted Averrage Capital Cost - WACC</t>
  </si>
  <si>
    <t>Virksomhedens vægtede kapitalomkostning</t>
  </si>
  <si>
    <t>WACC er den relavente diskonteringsrate til beregning</t>
  </si>
  <si>
    <t>af kapitalværdien af virksomheden anlægsinvesteringer.</t>
  </si>
  <si>
    <t>Udtrykker virksomhedens gns. finansieringsomkostning</t>
  </si>
  <si>
    <t>Fundamental værdi - Fundamental værdi - Fundamental værdi - Fundamental værdi - Fundamental værdi - Fundamental værdi - Fundamental værdi - Fundamental værdi - Fundamental værdi - Fundamental værdi</t>
  </si>
  <si>
    <t>Efficiente markeder - Efficiente markeder - Efficiente markeder - Efficiente markeder - Efficiente markeder - Efficiente markeder - Efficiente markeder - Efficiente markeder - Efficiente markeder - Efficiente markeder - Efficiente markeder - Efficiente markeder</t>
  </si>
  <si>
    <t>Handler om graden af tilgængelig information</t>
  </si>
  <si>
    <t xml:space="preserve"> tidspunkt reflekterer al tilgængelig information.</t>
  </si>
  <si>
    <t>Et marked siges at være efficient, hvis priserne på et givent</t>
  </si>
  <si>
    <t>Hypotesen om efficiente markeder - EMH</t>
  </si>
  <si>
    <t>Svag EMH</t>
  </si>
  <si>
    <t>Nuværende markedspriser reflekterer al tilgængelig</t>
  </si>
  <si>
    <t>markedinformation (fx historiske priser)</t>
  </si>
  <si>
    <t>Halvstærk EMH</t>
  </si>
  <si>
    <t>Nuværende markedspriser reflekterer al offentlig</t>
  </si>
  <si>
    <t xml:space="preserve"> tilgængelig information</t>
  </si>
  <si>
    <t>Stærk EMH</t>
  </si>
  <si>
    <t>Nuværende markedspriser reflekterer al information,</t>
  </si>
  <si>
    <t>både offentlig og privat</t>
  </si>
  <si>
    <t>Normalt denne som anvende i praksis</t>
  </si>
  <si>
    <t>Svag EMH'!A1</t>
  </si>
  <si>
    <t>Halvstærk EMH'!A1</t>
  </si>
  <si>
    <t>Stærk EMH'!A1</t>
  </si>
  <si>
    <t>Anomalier</t>
  </si>
  <si>
    <t>Emperiske fænomener som modsiger hypotesen om</t>
  </si>
  <si>
    <t>efficiente markeder</t>
  </si>
  <si>
    <t>Strategi</t>
  </si>
  <si>
    <t>Strategi!A1</t>
  </si>
  <si>
    <t>Geometrisk gennemsnit</t>
    <phoneticPr fontId="0" type="noConversion"/>
  </si>
  <si>
    <r>
      <t>Hvis jeg havde investeret 1 kr. i aktien i år 2000, så havde jeg haft 2</t>
    </r>
    <r>
      <rPr>
        <sz val="12"/>
        <rFont val="Calibri"/>
        <family val="2"/>
      </rPr>
      <t>,</t>
    </r>
    <r>
      <rPr>
        <sz val="12"/>
        <rFont val="Calibri"/>
        <family val="2"/>
      </rPr>
      <t>3731 kr. i 2010</t>
    </r>
  </si>
  <si>
    <t>AFKAST / TR</t>
  </si>
  <si>
    <t>UDBYTTE/AKTIE</t>
    <phoneticPr fontId="0" type="noConversion"/>
  </si>
  <si>
    <t>ULTIMOKURS</t>
    <phoneticPr fontId="0" type="noConversion"/>
  </si>
  <si>
    <t>ÅR</t>
    <phoneticPr fontId="0" type="noConversion"/>
  </si>
  <si>
    <t>Geometriske per år</t>
  </si>
  <si>
    <t>4. Diskuter forskellen på de to gennemsnit</t>
    <phoneticPr fontId="0" type="noConversion"/>
  </si>
  <si>
    <t>3. Find det aritmetiske gennemsnit af afkastet</t>
    <phoneticPr fontId="0" type="noConversion"/>
  </si>
  <si>
    <t>2. Find det geometriske gennemsnitlige afkast per år</t>
    <phoneticPr fontId="0" type="noConversion"/>
  </si>
  <si>
    <t>1. Beregn aktiens afkast i de enkelte år</t>
    <phoneticPr fontId="0" type="noConversion"/>
  </si>
  <si>
    <t>Her er en oversigt over en akties kursudvikling samt udbyttebetaling over en årrække:</t>
    <phoneticPr fontId="0" type="noConversion"/>
  </si>
  <si>
    <t>F9 AFKASTBEREGNING</t>
    <phoneticPr fontId="0" type="noConversion"/>
  </si>
  <si>
    <t>Gennemsnitligt årligt</t>
  </si>
  <si>
    <t>TR</t>
  </si>
  <si>
    <t>TR=(CF(1-t)+Pe-Pb)/Pb</t>
  </si>
  <si>
    <t>På metode 2 (SKAT)</t>
  </si>
  <si>
    <t>På metode 1 (skat) (Asger)</t>
  </si>
  <si>
    <t>TR=(CFt+Pe-Pb)/Pb</t>
  </si>
  <si>
    <t xml:space="preserve">På metode 2 </t>
  </si>
  <si>
    <t>På metode 1 ( Asger)</t>
  </si>
  <si>
    <t>Hvor stor er forrentningen når han skal betale 25% skat af udbytte?</t>
    <phoneticPr fontId="0" type="noConversion"/>
  </si>
  <si>
    <t>Hvor stor er aktionærens forrentning i denne 5-årige periode?</t>
    <phoneticPr fontId="0" type="noConversion"/>
  </si>
  <si>
    <t xml:space="preserve">Efter 5 år sælger aktionæren sin aktie til kurs 300. </t>
    <phoneticPr fontId="0" type="noConversion"/>
  </si>
  <si>
    <t>Selskabet betaler 12% (af aktiens pålydende) i udbytte per år</t>
    <phoneticPr fontId="0" type="noConversion"/>
  </si>
  <si>
    <t>En aktionær køber en aktie med pålydende værdi 100DKK til kurs 200</t>
    <phoneticPr fontId="0" type="noConversion"/>
  </si>
  <si>
    <t>F8 AFKASTBEREGNING</t>
    <phoneticPr fontId="0" type="noConversion"/>
  </si>
  <si>
    <t>Afkast beregning - eks'!A1</t>
  </si>
  <si>
    <t>Std.afv</t>
  </si>
  <si>
    <t>Varians</t>
  </si>
  <si>
    <t>De kvadrerede afvigelse</t>
  </si>
  <si>
    <t>Geo</t>
  </si>
  <si>
    <t>Forrentningsfaktor</t>
  </si>
  <si>
    <t>Arit</t>
  </si>
  <si>
    <t>For price and div</t>
  </si>
  <si>
    <t>For price</t>
  </si>
  <si>
    <t>Aritmetisk</t>
  </si>
  <si>
    <t>Ending wealth / Forrentningsfaktor</t>
  </si>
  <si>
    <t>TR for price and div</t>
  </si>
  <si>
    <t>RR for price and div</t>
  </si>
  <si>
    <t>Total return for price</t>
  </si>
  <si>
    <t>Relativ return for price</t>
  </si>
  <si>
    <t>Ending price</t>
  </si>
  <si>
    <t>Year</t>
  </si>
  <si>
    <t>(g) Calculate the standard deviation of the Total Returns for the years 1990-2004. (Note: use the total returns and not the returns relative.)</t>
  </si>
  <si>
    <t>(f) Calculate the ending wealth as of December 31, 2004, based on Total Returns, for 1$ invested in Coca-Cola stock as of the beginning of 1990.</t>
  </si>
  <si>
    <t>(e) Calculate the aritmetic and geometric means for 1990-2004 for price change only and for Total Return.</t>
  </si>
  <si>
    <t>(d)  Calculate as column G the Total Return based on price change and dividends.</t>
  </si>
  <si>
    <t>(c) Calculate as column F the return relative for the price change and dividends</t>
  </si>
  <si>
    <t>(b) Calculate as column E the Total Return based on price change only.</t>
  </si>
  <si>
    <t>(a) Calculate as column D the return relative for the price change only.</t>
  </si>
  <si>
    <t>Calculate for each year 1990-2004:</t>
  </si>
  <si>
    <t>Place these data in a spreadsheet for columns A-C. Use three decimal places and calculate results in decimal form (not percentages).</t>
  </si>
  <si>
    <r>
      <t xml:space="preserve">This information can be obtained from a source such as </t>
    </r>
    <r>
      <rPr>
        <i/>
        <sz val="12"/>
        <color indexed="8"/>
        <rFont val="Calibri"/>
        <family val="2"/>
      </rPr>
      <t>Yahoo! Finance.</t>
    </r>
  </si>
  <si>
    <t>The following data for Coca-Cola (ticker symbol = KO) are the December ending prices (adjusted for stock splits and dividends) and the annual dividend</t>
  </si>
  <si>
    <t>6-2</t>
  </si>
  <si>
    <t>Standardafvigelse - eks'!A1</t>
  </si>
  <si>
    <t>Varians med matrice</t>
  </si>
  <si>
    <t>STDAFV</t>
  </si>
  <si>
    <t>Varinsen</t>
  </si>
  <si>
    <t>De kvadrerede afvigelser</t>
  </si>
  <si>
    <t>Variansen findes først</t>
  </si>
  <si>
    <t>Matrice metoden</t>
  </si>
  <si>
    <t>Excelmetoden</t>
  </si>
  <si>
    <t>Rugbrødsmetoden</t>
  </si>
  <si>
    <t>Forventet afkast = Aritmetisk gennemsnit = Expected Return = Total Return</t>
  </si>
  <si>
    <t>Expected returns:</t>
  </si>
  <si>
    <t>Probabilities:</t>
  </si>
  <si>
    <t>Calculate the expected return and risk (standard deviation) for General Foods for 2010, given the following information:</t>
  </si>
  <si>
    <t>7-1</t>
  </si>
  <si>
    <t>How much would portfolio risk have changed relative to the result calculated in f?</t>
  </si>
  <si>
    <t xml:space="preserve">(h) Assume that the correlation between the two stocks had been -0,10. </t>
  </si>
  <si>
    <t>How does the risk of the portfolio compare to the risk of having held Coca-Cola alone?</t>
  </si>
  <si>
    <t xml:space="preserve">(g) How does the portfolio return compare to the return on Coca-Cola alone? </t>
  </si>
  <si>
    <t>Med negativ korrel</t>
  </si>
  <si>
    <t>STD</t>
  </si>
  <si>
    <t>Porteføljevariansen</t>
  </si>
  <si>
    <t>equal parts of Coca-Cola and Microsoft</t>
  </si>
  <si>
    <t xml:space="preserve">Using equal weights for the two stocks, calculate the standard deviation of the portfolio consisting of </t>
  </si>
  <si>
    <t xml:space="preserve">allow you to substitue different values for the correlation coefficient or the standard deviations of the stocks. </t>
  </si>
  <si>
    <t xml:space="preserve">(f) Set up a calculation for the standard deviation of the portfolio that will </t>
  </si>
  <si>
    <t>(e) Calculate the portfolio return assuming equal weights for each stock.</t>
  </si>
  <si>
    <t>(d) Calculate the covariance using the COVAR (DK: KOVARIANS) function in the spreadsheet.</t>
  </si>
  <si>
    <t xml:space="preserve">(c) Calculate the correlation coefficient using the CORREL (DK: KORRELATION) function in the spreadsheet. </t>
  </si>
  <si>
    <t>(b) Calculate the standard deviation for each stock using the STDEV (DK: STDAFV) function in the spreadsheet.</t>
  </si>
  <si>
    <t>Aritmetiskgennemsnit</t>
  </si>
  <si>
    <t>Micro</t>
  </si>
  <si>
    <t>CocaCola</t>
  </si>
  <si>
    <t>(a) Calculate the arithmetic mean returns for each stock.</t>
  </si>
  <si>
    <t>Would the risk have been too large?</t>
  </si>
  <si>
    <t>Microsoft during this 15-year period in order to try to earn a larger return than that available in Coco-Cola alone?</t>
  </si>
  <si>
    <t xml:space="preserve">What would have been the results if an investor had placed half her funds in Coca-Cola and half in </t>
  </si>
  <si>
    <t>MSFT</t>
  </si>
  <si>
    <t>KO</t>
  </si>
  <si>
    <t xml:space="preserve">It had a return more than twice as large as that of Coke. </t>
  </si>
  <si>
    <t xml:space="preserve">Microsoft had eight stock splits during this period and was highly regarded by many investors. </t>
  </si>
  <si>
    <t xml:space="preserve">The data below are annual total returns for Coca-Cola and Microsoft for the period 1990-2004. </t>
  </si>
  <si>
    <t>7-2 spreadsheet Excercise</t>
  </si>
  <si>
    <t>.--&gt; indeholder kovarians, korrelationskoefficinet, std. Afv., m.m.</t>
  </si>
  <si>
    <t>.=KOVARIANSS(.)</t>
  </si>
  <si>
    <t>Aktie sammenligning'!A1</t>
  </si>
  <si>
    <t>.=KORRELATION(.)</t>
  </si>
  <si>
    <t>.=MIDDEL(.)</t>
  </si>
  <si>
    <t>Når alle vælger den samme portefølje af risikofyldte aktiver, må denne portefølje nødvendigvis svare til markedsporteføljen, da ethvert aktiv til enhver tid ejes af "nogen"</t>
  </si>
  <si>
    <t>Under disse antagelser vil alle investorer vælge den samme portefølje, nemlig tangentporteføljen.</t>
  </si>
  <si>
    <t xml:space="preserve">  - Ingen transaktionsomkostninger</t>
  </si>
  <si>
    <t xml:space="preserve">  - Investorer er pristagere og risikoaverse</t>
  </si>
  <si>
    <t xml:space="preserve">  - Investeringshorisonten er en periode</t>
  </si>
  <si>
    <t xml:space="preserve">  - Alle investorer anvender samme sandsynlighedsfordeling for afkast, varians og kovarians for alle aktier</t>
  </si>
  <si>
    <t xml:space="preserve">  - Der er et risikofrit aktiv at investere i</t>
  </si>
  <si>
    <t>Antagelser:</t>
  </si>
  <si>
    <t>Alle investorer er rationelle og har homogene forventninger til markedet, dvs. kommer frem til de samme konklusioner vedrørende risiko og afkast</t>
  </si>
  <si>
    <t>Fordi hvis alle investorer skal holde tangentporteføljen, må alle investorer nødvendigvis holde alle aktier i samme proportioner.</t>
  </si>
  <si>
    <t>Hvilke antagelser er gjort for at dette gælder?</t>
    <phoneticPr fontId="0" type="noConversion"/>
  </si>
  <si>
    <t>Hvorfor er markedsporteføljen lig tangentporteføljen?</t>
    <phoneticPr fontId="0" type="noConversion"/>
  </si>
  <si>
    <t>William Demant Holding</t>
  </si>
  <si>
    <t>Vestas Wind Systems</t>
  </si>
  <si>
    <t>Tryg</t>
  </si>
  <si>
    <t>Topdanmark</t>
  </si>
  <si>
    <t>TDC</t>
  </si>
  <si>
    <t>Sydbank</t>
  </si>
  <si>
    <t>Novozymes B</t>
  </si>
  <si>
    <t>Novo Nordisk B</t>
  </si>
  <si>
    <t>Nordea Bank - CPH</t>
  </si>
  <si>
    <t>NKT Holding</t>
  </si>
  <si>
    <t>H. Lundbeck</t>
  </si>
  <si>
    <t>GN Store Nord</t>
  </si>
  <si>
    <t>FLSmidth &amp; Co</t>
  </si>
  <si>
    <t>DSV</t>
  </si>
  <si>
    <t>Danske Bank</t>
  </si>
  <si>
    <t>Coloplast B</t>
  </si>
  <si>
    <t>Chr. Hansen Holding</t>
  </si>
  <si>
    <t>Carlsberg B</t>
  </si>
  <si>
    <t>A.P. Møller - Mærsk B</t>
  </si>
  <si>
    <t>A.P. Møller - Mærsk A</t>
  </si>
  <si>
    <t>VÆGT I M.PORTEFØLJEN</t>
    <phoneticPr fontId="0" type="noConversion"/>
  </si>
  <si>
    <t>MARKEDSKAPITALISERING</t>
    <phoneticPr fontId="0" type="noConversion"/>
  </si>
  <si>
    <t>Find tangentporteføljen == markedsporteføljen</t>
    <phoneticPr fontId="0" type="noConversion"/>
  </si>
  <si>
    <t>(markedskapitaliseringen er fiktiv)</t>
    <phoneticPr fontId="0" type="noConversion"/>
  </si>
  <si>
    <t>Antag at hele det danske marked kun består af C20 indekset</t>
    <phoneticPr fontId="0" type="noConversion"/>
  </si>
  <si>
    <t>F14 MARKEDSPORTEFØLJEN</t>
    <phoneticPr fontId="0" type="noConversion"/>
  </si>
  <si>
    <t>C20</t>
    <phoneticPr fontId="0" type="noConversion"/>
  </si>
  <si>
    <t>BETA</t>
    <phoneticPr fontId="0" type="noConversion"/>
  </si>
  <si>
    <t>COV. MED C20</t>
    <phoneticPr fontId="0" type="noConversion"/>
  </si>
  <si>
    <t>FORVENTET AFKAST</t>
    <phoneticPr fontId="0" type="noConversion"/>
  </si>
  <si>
    <t>RISIKOFRIT AFKAST</t>
    <phoneticPr fontId="0" type="noConversion"/>
  </si>
  <si>
    <t>rf+Beta(Rm-rf)</t>
  </si>
  <si>
    <t>ri=</t>
  </si>
  <si>
    <t>(fiktive værdier)</t>
    <phoneticPr fontId="0" type="noConversion"/>
  </si>
  <si>
    <t>Cov(ri,Rm) / Var(M)</t>
  </si>
  <si>
    <t>Beta=</t>
  </si>
  <si>
    <t>Find det forventede afkast af nedenstående aktier ud fra de givne informationer:</t>
    <phoneticPr fontId="0" type="noConversion"/>
  </si>
  <si>
    <t>F15 BETA</t>
    <phoneticPr fontId="0" type="noConversion"/>
  </si>
  <si>
    <t>Betaværdi - eks'!A1</t>
  </si>
  <si>
    <t>Tilbagediskonteret</t>
  </si>
  <si>
    <t>DVS</t>
  </si>
  <si>
    <t>Men, det her er fra periode 5</t>
  </si>
  <si>
    <t>…</t>
  </si>
  <si>
    <t>…</t>
    <phoneticPr fontId="0" type="noConversion"/>
  </si>
  <si>
    <t>CF</t>
    <phoneticPr fontId="0" type="noConversion"/>
  </si>
  <si>
    <t>Periode</t>
    <phoneticPr fontId="0" type="noConversion"/>
  </si>
  <si>
    <t>Men</t>
  </si>
  <si>
    <t>Fra 4</t>
  </si>
  <si>
    <t>6. Hvad er han villig til at betale for denne betalingsrække?</t>
    <phoneticPr fontId="0" type="noConversion"/>
  </si>
  <si>
    <t>Investoren får nu tilbudt den samme betalingsrække som i 4, men hvor beløbet vokser med 5% om året, dvs. I periode 6 får han 1.000 i periode 7 1.050 osv.</t>
    <phoneticPr fontId="0" type="noConversion"/>
  </si>
  <si>
    <t>G</t>
    <phoneticPr fontId="0" type="noConversion"/>
  </si>
  <si>
    <t>R</t>
    <phoneticPr fontId="0" type="noConversion"/>
  </si>
  <si>
    <t>D</t>
    <phoneticPr fontId="0" type="noConversion"/>
  </si>
  <si>
    <t>5. Hvad bliver svaret hvis ovenstående betalingsrække ikke fortsætter evigt, men stopper umiddelbart efter periode 40?</t>
    <phoneticPr fontId="0" type="noConversion"/>
  </si>
  <si>
    <t>NV=Pris</t>
    <phoneticPr fontId="0" type="noConversion"/>
  </si>
  <si>
    <t>Gordons formel</t>
    <phoneticPr fontId="0" type="noConversion"/>
  </si>
  <si>
    <t>G</t>
    <phoneticPr fontId="0" type="noConversion"/>
  </si>
  <si>
    <t>4. Hvor meget er han villig til at betale for dette?</t>
    <phoneticPr fontId="0" type="noConversion"/>
  </si>
  <si>
    <t>Samme investor får nu tilbudt følgende betalingsrække:</t>
    <phoneticPr fontId="0" type="noConversion"/>
  </si>
  <si>
    <t>Gordons formel</t>
    <phoneticPr fontId="0" type="noConversion"/>
  </si>
  <si>
    <t>G</t>
    <phoneticPr fontId="0" type="noConversion"/>
  </si>
  <si>
    <t>R</t>
    <phoneticPr fontId="0" type="noConversion"/>
  </si>
  <si>
    <t>D</t>
    <phoneticPr fontId="0" type="noConversion"/>
  </si>
  <si>
    <t>3. Hvad bliver svaret hvis han får 1.000 i periode 1, og ikke 1.100?</t>
    <phoneticPr fontId="0" type="noConversion"/>
  </si>
  <si>
    <t>Dt+1</t>
  </si>
  <si>
    <t>D0</t>
  </si>
  <si>
    <t>2. Hvor meget er han villig til at betale for denne ordning, under samme alternativrente som i 1?</t>
    <phoneticPr fontId="0" type="noConversion"/>
  </si>
  <si>
    <t>…</t>
    <phoneticPr fontId="0" type="noConversion"/>
  </si>
  <si>
    <t>CF</t>
    <phoneticPr fontId="0" type="noConversion"/>
  </si>
  <si>
    <t>Periode</t>
    <phoneticPr fontId="0" type="noConversion"/>
  </si>
  <si>
    <t>Samme investor får nu mulighed for at modtage følgende betalingsrække:</t>
    <phoneticPr fontId="0" type="noConversion"/>
  </si>
  <si>
    <t>R</t>
    <phoneticPr fontId="0" type="noConversion"/>
  </si>
  <si>
    <t>1. Hvad er han villig til at betale for sådan en ordning, når han alternativt kan få 11% i banken?</t>
    <phoneticPr fontId="0" type="noConversion"/>
  </si>
  <si>
    <t>En investor får tilbudt at modtage 1.000DKK om året i det uendelige</t>
    <phoneticPr fontId="0" type="noConversion"/>
  </si>
  <si>
    <t>som det forventes at indbringe ham i fremtidige betalinger - diskonteret med en passende rente som afspejler risikoen</t>
    <phoneticPr fontId="0" type="noConversion"/>
  </si>
  <si>
    <t>I Dividend Discount Models antager man at en investor er lige præcis villig til at betale det for et aktiv,</t>
    <phoneticPr fontId="0" type="noConversion"/>
  </si>
  <si>
    <t>FUN FACT:</t>
    <phoneticPr fontId="0" type="noConversion"/>
  </si>
  <si>
    <t>F1 GORDONS FORMEL</t>
    <phoneticPr fontId="0" type="noConversion"/>
  </si>
  <si>
    <t>F6 P/E FORHOLDET</t>
  </si>
  <si>
    <t>Her er 6 udvalgte aktier fra de amerikanske børser, per 27. februar 2009</t>
  </si>
  <si>
    <t>AKTIE</t>
  </si>
  <si>
    <t>ALADDIN KNOWLEDGE</t>
  </si>
  <si>
    <t>ALEXANDERS INC.</t>
  </si>
  <si>
    <t>ALLEGIANT TRAVEL</t>
  </si>
  <si>
    <t>ALLIANCE RESSOURCES</t>
  </si>
  <si>
    <t>ALLIED HEALTHCARE</t>
  </si>
  <si>
    <t>ALMOST FAMILY</t>
  </si>
  <si>
    <t>Hvad var virksomhedernes overskud per aktie i det forgangne år?</t>
  </si>
  <si>
    <t>Hvad skyldes de lave henholdsvis høje P/E forhold?</t>
  </si>
  <si>
    <t>Her er 3 aktier fra medicinalindustrien:</t>
  </si>
  <si>
    <t>BIOMARIN PHARM</t>
  </si>
  <si>
    <t>CYANOTECH CORP</t>
  </si>
  <si>
    <t>LANNETT COMPANY</t>
  </si>
  <si>
    <t>ARDEA BIOSCIENCES</t>
  </si>
  <si>
    <t>Hvilken aktie har markedet størst tiltro til?</t>
  </si>
  <si>
    <t>Hvorfor har Ardea intet P/E?</t>
  </si>
  <si>
    <t>Obligationer og Aktier</t>
  </si>
  <si>
    <t>P-E-forhold - eks'!A1</t>
  </si>
  <si>
    <t>Køb disse to</t>
  </si>
  <si>
    <t>Forrentningskrav</t>
  </si>
  <si>
    <t xml:space="preserve">Vækst </t>
  </si>
  <si>
    <t>Udbytte per aktie</t>
  </si>
  <si>
    <t>Hvad skal vi bruge her?</t>
  </si>
  <si>
    <t>.--&gt; Gordons formel</t>
  </si>
  <si>
    <t>3. Hvilken pris er investoren villig til at betale for hver enkelt aktie? Hvilke aktier bør hun vælge at købe, hvis hun stoler på sin egen analyse?</t>
  </si>
  <si>
    <t>2. Forklar, hvorfor investoren kan tænkes at have forskellige forrentningskrav til virksomhederne.</t>
  </si>
  <si>
    <t>FORRENTNINGSKRAV</t>
  </si>
  <si>
    <t>FORVENTET UDBYTTEVÆKST</t>
  </si>
  <si>
    <t>NOKIA</t>
  </si>
  <si>
    <t>HP</t>
    <phoneticPr fontId="0" type="noConversion"/>
  </si>
  <si>
    <t>MICROSOFT</t>
    <phoneticPr fontId="0" type="noConversion"/>
  </si>
  <si>
    <t>APPLE</t>
    <phoneticPr fontId="0" type="noConversion"/>
  </si>
  <si>
    <t>VIRKSOMHED</t>
  </si>
  <si>
    <t>og hendes forrentningskrav til hver aktie fremgår af nedenstående tabel</t>
  </si>
  <si>
    <t>En investor overvejer at investere i de fire virksomheder. Hendes forventninger til den fremtidige vækst i virksomhedernes udbyttebetalinger</t>
  </si>
  <si>
    <t>#Antal aktier</t>
  </si>
  <si>
    <t>Hints</t>
  </si>
  <si>
    <t>1. Beregn earnings per share (EPS) og P/E-forholdet for hver aktie. For hvilken virksomhed forventer markedet størst vækst i indtjeningen?</t>
  </si>
  <si>
    <t>UDBYTTEPROCENT</t>
  </si>
  <si>
    <t>AKTIEKURS</t>
  </si>
  <si>
    <t>ÅRLIGT OVERSKUD</t>
  </si>
  <si>
    <t>MARKEDSVÆRDI</t>
  </si>
  <si>
    <t>Betragt nedenstående (fiktive) data for fire store virksomheder:</t>
  </si>
  <si>
    <t>F7 VÆRDIANSÆTTELSE AF AKTIER</t>
    <phoneticPr fontId="0" type="noConversion"/>
  </si>
  <si>
    <t>Excel eksempel på aktie værdiansættelse af aktier</t>
  </si>
  <si>
    <t>Værdiansættelse af aktier - eks'!A1</t>
  </si>
  <si>
    <t>CAR</t>
  </si>
  <si>
    <t>AR</t>
  </si>
  <si>
    <t>Event Day</t>
  </si>
  <si>
    <t>Bad news</t>
  </si>
  <si>
    <t>No news</t>
  </si>
  <si>
    <t>Good news</t>
  </si>
  <si>
    <t xml:space="preserve">4. Beskriv udviklingen i CAR efter annonceringen for hver kategori. Relatér til den semi-stærke variant af hypotesen om efficiente markeder. Er resultaterne i overensstemmelse med denne hypotese? </t>
  </si>
  <si>
    <t>3. Beskriv og forklar udviklingen i CAR omkring Event Day 0 for hver af de tre kategorier.</t>
  </si>
  <si>
    <t>2. Illustrer udviklingen i CAR i dagene omkring annonceringen for hver af de tre kategorier i ét diagram</t>
  </si>
  <si>
    <t>1. Beregn det kumulerede overnormale afkast (CAR) for hver kategori og hver event day</t>
  </si>
  <si>
    <r>
      <t xml:space="preserve">Alle data er fra Craig MacKinlay, "Event Studies in Economics and Finance", </t>
    </r>
    <r>
      <rPr>
        <i/>
        <sz val="12"/>
        <color indexed="8"/>
        <rFont val="Calibri"/>
        <family val="2"/>
      </rPr>
      <t>Journal of Economic Literature</t>
    </r>
    <r>
      <rPr>
        <sz val="12"/>
        <color theme="1"/>
        <rFont val="Calibri"/>
        <family val="2"/>
        <scheme val="minor"/>
      </rPr>
      <t>, Mar 1997; 35; 1</t>
    </r>
  </si>
  <si>
    <t>Annonceringerne er inddelt i tre kategorier: "Good news" (resultat bedre end forventet), "No news" (resultat som forventet) og "Bad news" (resultat værre end forventet).</t>
  </si>
  <si>
    <t>Afkastene er tidsmæssigt skaleret i forhold til tidspunktet for annonceringen, sådan at Event Day = 0 svarer til dagen for annonceringen af resultatet.</t>
  </si>
  <si>
    <t>Det overnormale afkast er beregnet som det faktiske afkast minus et estimeret "normalt" afkast for den enkelte aktie.</t>
  </si>
  <si>
    <t xml:space="preserve">Herunder ses data for det overnormale afkast (AR) for 30 aktier i Dow Jones-indekset i dagene omkring annoncering af det kvartalsvise resultat. </t>
  </si>
  <si>
    <t>Efficiente markeder - semi-stærk form</t>
  </si>
  <si>
    <t>Mikroøkonomiske principper</t>
  </si>
  <si>
    <t>Totalomkostningen - TC(Q)</t>
  </si>
  <si>
    <t xml:space="preserve">Angiver de totale omkostninger som en </t>
  </si>
  <si>
    <t>virksomhed har ved at producere mængden Q,</t>
  </si>
  <si>
    <t>når den producere så effektivt som den kan.</t>
  </si>
  <si>
    <t>TC = FC - VC</t>
  </si>
  <si>
    <t>FC = fixed cost, VC = variable cost</t>
  </si>
  <si>
    <t>Gennemsnitsomkostningerne - AC(Q)</t>
  </si>
  <si>
    <t>AC(Q) = TC(Q)/Q</t>
  </si>
  <si>
    <t>Gennemsnitsomkostningen AC(Q) angiver</t>
  </si>
  <si>
    <t>den gnsm. omkostning ved at producere en</t>
  </si>
  <si>
    <t>enhed af varen når der produceres Q enhder</t>
  </si>
  <si>
    <t>Marginalomkostningerne - MC(Q)</t>
  </si>
  <si>
    <t xml:space="preserve">Angiver omkostningen ved at producere en </t>
  </si>
  <si>
    <t>ekstra enhed.</t>
  </si>
  <si>
    <t>Angiver hældningen på AC(Q)-kurven</t>
  </si>
  <si>
    <t>Er en voksende funktion. Jo mere af Q --&gt; jo mere der</t>
  </si>
  <si>
    <t>produceres, jo højere omkostninger</t>
  </si>
  <si>
    <t>AC(Q) og MC(Q) kan være voksende eller faldende</t>
  </si>
  <si>
    <t>funktioner af Q:</t>
  </si>
  <si>
    <t>.- AC(Q) falende i Q &lt;--&gt; MC(Q) mindre end AC(Q)</t>
  </si>
  <si>
    <t>.- AC(Q) voksende i Q &lt;--&gt; MC(Q) større end AC(Q)</t>
  </si>
  <si>
    <t>Tilføjer man et ekstra element, der er større end</t>
  </si>
  <si>
    <t>gennemsnittet, så vokser gennemsnittet og omvendt</t>
  </si>
  <si>
    <t>Grafisk:</t>
  </si>
  <si>
    <t>Vis MC-kurven skære AC-kurven nedefra i minimum</t>
  </si>
  <si>
    <t>Faste omkostninger -FC</t>
  </si>
  <si>
    <t>Variable omkostninger - VC</t>
  </si>
  <si>
    <t>Omkostninger som ikke afhænger af mængden</t>
  </si>
  <si>
    <t>Omkostninger som afhænger af mængden af</t>
  </si>
  <si>
    <t>enhder produceret</t>
  </si>
  <si>
    <t>Når produktionen vokser fordeles FC ud på flere</t>
  </si>
  <si>
    <t xml:space="preserve">Når produktionen stiger stiger VC med antallet </t>
  </si>
  <si>
    <t>af enhder produceret --&gt; gennemsnitsomkostningen</t>
  </si>
  <si>
    <t>vokser.</t>
  </si>
  <si>
    <t>enhder --&gt; gnsm. omkostningerne falder.</t>
  </si>
  <si>
    <t>ILLUSTRATION -------&gt;</t>
  </si>
  <si>
    <t>(economies of scale)</t>
  </si>
  <si>
    <t>Opstår når: AC'(Q) &lt; 0</t>
  </si>
  <si>
    <t>Gennemsnitsomkostningen er en faldende</t>
  </si>
  <si>
    <t>funktion af produktionsniveauet</t>
  </si>
  <si>
    <t>(disecomies of scale)</t>
  </si>
  <si>
    <t>Opstår når: AC'(Q) &gt; 0</t>
  </si>
  <si>
    <t>Gennemsnitsomkostningen er en voksende</t>
  </si>
  <si>
    <t>Efficient skala</t>
  </si>
  <si>
    <t xml:space="preserve">Det produktionsniveau, Q, som minimerer </t>
  </si>
  <si>
    <t>gennemsnitsomkostningen</t>
  </si>
  <si>
    <t>Beregnes som:</t>
  </si>
  <si>
    <t>AC'(Q) = 0 og isoler for Q</t>
  </si>
  <si>
    <t>Det lavest mulige produktionsniveau hvor</t>
  </si>
  <si>
    <t>der kan produceres med efficient skala</t>
  </si>
  <si>
    <t>(produceres med den laveste gennemsnitsomkostning)</t>
  </si>
  <si>
    <t>Kort sigt: TC(0) &gt; 0 --&gt; faste omkostninger</t>
  </si>
  <si>
    <t>Lang sigt: TC(0) = 0 --&gt; ingen faste omkostninger</t>
  </si>
  <si>
    <t>Sunk Cost</t>
  </si>
  <si>
    <t>En udgift som allerede er blevet brugt.</t>
  </si>
  <si>
    <t>Må ikke medregnes i fremtidge beslutninger.</t>
  </si>
  <si>
    <t>Regnskabsmæssig profit</t>
  </si>
  <si>
    <t>Økonomiske omkostninger - T(Q)</t>
  </si>
  <si>
    <t>Disse er givet ved alternativomkostningen til</t>
  </si>
  <si>
    <t>virksomhedensaktiviteter</t>
  </si>
  <si>
    <t>Økonomisk profit</t>
  </si>
  <si>
    <t>Svarer til resultatet på virksomhedens resultat-</t>
  </si>
  <si>
    <t>opgørelse.</t>
  </si>
  <si>
    <t>Udtrykker hvor meget ekstra værdi virksomheden</t>
  </si>
  <si>
    <t>har skabt ved sine aktiviteter i forhold til den</t>
  </si>
  <si>
    <t>π-R = Indtægter - omkostninger</t>
  </si>
  <si>
    <t>bedste alternative anvendelse af den ressourcer.</t>
  </si>
  <si>
    <t>Den økonomiske profit siges at være lig 0 på et FK-</t>
  </si>
  <si>
    <t>Efterspørgselselasticiteten - η</t>
  </si>
  <si>
    <t>η = -( dQ/Q)/(dP/P)</t>
  </si>
  <si>
    <t>P: Prisen</t>
  </si>
  <si>
    <t xml:space="preserve">Den procentvise stigning i efterspørgslen ved </t>
  </si>
  <si>
    <t>.- Hvis η &lt; 1: Efterspørgslen er inelastisk; falder mindre</t>
  </si>
  <si>
    <t>end 1, når prisen stiger med 1%.</t>
  </si>
  <si>
    <t xml:space="preserve">.- Hvis η &gt; 1: Efterspørgslen er elastisk; falder mere </t>
  </si>
  <si>
    <t>et fald i prisen på 1 %.</t>
  </si>
  <si>
    <t xml:space="preserve">Ved et homogent produkt ved efterspørgslen typisk </t>
  </si>
  <si>
    <t>være relativt elastisk.</t>
  </si>
  <si>
    <t>Ved komplekse produkter er efterspørgslen typisk</t>
  </si>
  <si>
    <t>relativt inelastisk.</t>
  </si>
  <si>
    <t>Totalomsætningen - TR(Q)</t>
  </si>
  <si>
    <t>(total revenue)</t>
  </si>
  <si>
    <t>TR(Q) = P(Q)*Q</t>
  </si>
  <si>
    <t>Inverse efterspørgselsfunktion - P(Q)</t>
  </si>
  <si>
    <t>Ved hvilken pris sælges Q enheder.</t>
  </si>
  <si>
    <t>Angiver omsætningen ved et salg på Q enhder</t>
  </si>
  <si>
    <t>Marginalomsætningen MR(Q)</t>
  </si>
  <si>
    <t>Den gennemsnitlige totale omsætning - ATR(Q)</t>
  </si>
  <si>
    <t>ATR(Q) = TR(Q)/Q = P(Q)*Q/Q</t>
  </si>
  <si>
    <t>Angiver den gnsm. indtægt når der produceres</t>
  </si>
  <si>
    <t>Q varer.</t>
  </si>
  <si>
    <t>MC(Q) = TC'(Q) =  TC(Q+1) - TC(Q)</t>
  </si>
  <si>
    <t>MR(Q) = TR'(Q) = P(Q) + P'(Q)*Q</t>
  </si>
  <si>
    <t xml:space="preserve">prisen justeres, så der kan sælges én yderligere </t>
  </si>
  <si>
    <t>enhed.</t>
  </si>
  <si>
    <t xml:space="preserve">Angiver hvor meget omsætningen stiger, hvis </t>
  </si>
  <si>
    <t>Andet led: Omsætningstab ved at sænke prisen.</t>
  </si>
  <si>
    <t>Første led: Omsætningsgevinst ved ekstra solgt enhed.</t>
  </si>
  <si>
    <t>Implikationer:</t>
  </si>
  <si>
    <t>.- MR(Q) &gt; 0 &lt;--&gt; η &gt; 1</t>
  </si>
  <si>
    <t>.- MR(Q) &lt; 0 &lt;--&gt; η &lt; 1</t>
  </si>
  <si>
    <t>ILLUSTRATION -----------&gt;</t>
  </si>
  <si>
    <t>π-Ø = indtægter - økonomiske omkostninger = TR(Q) - TC(Q)</t>
  </si>
  <si>
    <t>Profitmaksimering - π-MAX</t>
  </si>
  <si>
    <t>π-MAX = d/dQ(TR(Q) - TC(Q)) = 0</t>
  </si>
  <si>
    <t>&lt;--&gt;</t>
  </si>
  <si>
    <t>MR(Q) = MC(Q)</t>
  </si>
  <si>
    <t>.- Hvis MR(Q) &lt; MC(Q) --&gt; overskuddet kan øges ved at sænke Q</t>
  </si>
  <si>
    <t>.- Hvis MR(Q) &gt; MC(Q) --&gt; overskuddet kan øges ved at hæve Q</t>
  </si>
  <si>
    <t>Fulkommen konkurrence</t>
  </si>
  <si>
    <t>.- Mange små virksomheder</t>
  </si>
  <si>
    <t>.- Perfekt information</t>
  </si>
  <si>
    <t>.- Free entry/exit</t>
  </si>
  <si>
    <t>.- Homogent produkt</t>
  </si>
  <si>
    <t>.- Både udbydere og efterspørgere er pristagere</t>
  </si>
  <si>
    <t>.- Alle sælger og køber til markedsprisen</t>
  </si>
  <si>
    <t>.- Vandret efterspørgselskurve(efterspørgslen er perfekt elastisk)</t>
  </si>
  <si>
    <t>Beskriver virksomhedens udbudskurve.</t>
  </si>
  <si>
    <t>Profitmaksimering under FK</t>
  </si>
  <si>
    <t>Den profitmaksimerende mængde:</t>
  </si>
  <si>
    <t>MR(Q) = Markedsprisen, P</t>
  </si>
  <si>
    <t>MC(Q) = P</t>
  </si>
  <si>
    <t>af enheder produceret.</t>
  </si>
  <si>
    <r>
      <t xml:space="preserve">Antages at være en </t>
    </r>
    <r>
      <rPr>
        <i/>
        <sz val="12"/>
        <color indexed="8"/>
        <rFont val="Calibri"/>
        <family val="2"/>
      </rPr>
      <t>Sunk Cost</t>
    </r>
  </si>
  <si>
    <t>FC antages at være sunk.</t>
  </si>
  <si>
    <t xml:space="preserve">Beskriver altså hvilken mængde som skal </t>
  </si>
  <si>
    <t>afsættes til markedsprisen.</t>
  </si>
  <si>
    <t xml:space="preserve">markeds ligevægten, grundet free entry/exit. </t>
  </si>
  <si>
    <t>Siges at være lig 0 i ligevægten for et FK-marked</t>
  </si>
  <si>
    <t>Ligevægt under FK</t>
  </si>
  <si>
    <t>P0 = N*Q0</t>
  </si>
  <si>
    <t>N: Antallet af virksomheder på markedet</t>
  </si>
  <si>
    <t>N*Q0: Udgør markedsudbuddet</t>
  </si>
  <si>
    <t>grundet free entry/exit.</t>
  </si>
  <si>
    <t>.- I ligevægten for P0 er virksomhedernes profit lig 0,</t>
  </si>
  <si>
    <t>Minimal efficient skala - MES</t>
  </si>
  <si>
    <t>.- Alle virksomheder producerer ved MES hvor AC er minimeret.</t>
  </si>
  <si>
    <t>.- Alle virksomheder sætter den samme pris.</t>
  </si>
  <si>
    <t>Skalafordele/stordriftsfordele</t>
  </si>
  <si>
    <t>Hvis minimal efficient skala er stor --&gt; omkostningsmæssig</t>
  </si>
  <si>
    <t>gevinst ved stor produktion.</t>
  </si>
  <si>
    <t>Samdriftsfordele</t>
  </si>
  <si>
    <t>(economies of scope)</t>
  </si>
  <si>
    <t>TC(Qx,Qy) &lt; TC(0,Qy) + TC(Qx,0)</t>
  </si>
  <si>
    <t xml:space="preserve">En produktion er forbundet med samdriftsfordele </t>
  </si>
  <si>
    <t xml:space="preserve">hvis omkostningerne til produktionen af begge </t>
  </si>
  <si>
    <t xml:space="preserve">produkter er lavere når de produceres samtidigt, end </t>
  </si>
  <si>
    <t>hvis de produceres hver for sig.</t>
  </si>
  <si>
    <t>Omkostningerne ved at producere til marked Y er</t>
  </si>
  <si>
    <t xml:space="preserve">lavere hvis virksomheden allerede producerer til </t>
  </si>
  <si>
    <t>marked X.</t>
  </si>
  <si>
    <t>Skalaulemper/stordriftsulemper</t>
  </si>
  <si>
    <t>Kilder til stordriftsfordele --&gt; se eksempel:</t>
  </si>
  <si>
    <t>Kilder til skalaulemper</t>
  </si>
  <si>
    <t>Kilder til stordriftsulemper --&gt; se eksempel:</t>
  </si>
  <si>
    <t>Stordriftsfordele - eks'!A1</t>
  </si>
  <si>
    <t>Skalaulemper - eks'!A1</t>
  </si>
  <si>
    <t>Incitament og koordinationsproblemer</t>
  </si>
  <si>
    <t>person(principalen), som påvirker denne persons</t>
  </si>
  <si>
    <t>velfærd.</t>
  </si>
  <si>
    <t>Principal-agent-problemet -eks'!A1</t>
  </si>
  <si>
    <t>Principal-agent-relation/problemer</t>
  </si>
  <si>
    <r>
      <rPr>
        <b/>
        <sz val="12"/>
        <color indexed="8"/>
        <rFont val="Calibri"/>
        <family val="2"/>
      </rPr>
      <t>Relationen</t>
    </r>
    <r>
      <rPr>
        <sz val="12"/>
        <color theme="1"/>
        <rFont val="Calibri"/>
        <family val="2"/>
        <scheme val="minor"/>
      </rPr>
      <t>, o</t>
    </r>
    <r>
      <rPr>
        <sz val="12"/>
        <color theme="1"/>
        <rFont val="Calibri"/>
        <family val="2"/>
        <scheme val="minor"/>
      </rPr>
      <t>pstår, når en person(agenten) skal gøre</t>
    </r>
  </si>
  <si>
    <t xml:space="preserve"> noget eller bestemme noget på vegne af en anden </t>
  </si>
  <si>
    <t>uønsket adfærd hos agenten.</t>
  </si>
  <si>
    <t>Princpal-agent-problmer opstår når to ting er opfyldt:</t>
  </si>
  <si>
    <t>.- Interessekonflikt mellem agent og principal</t>
  </si>
  <si>
    <t>.- Asymmetrisk information: Principalen er ikke fuldt</t>
  </si>
  <si>
    <t>informeret om agentens egenskaber eller handlinger</t>
  </si>
  <si>
    <t>Ekempler på principal-agent-relationer:</t>
  </si>
  <si>
    <t>Eksempel på et problem:</t>
  </si>
  <si>
    <t>Bruges for at undgå principal-agent problemer</t>
  </si>
  <si>
    <t>Incitament baseret afløning -ek'!A1</t>
  </si>
  <si>
    <t>Kunne det tænkes at man kunne finde en aflønningsmetode, som stiller både sælger og virksomhed bedre?:</t>
  </si>
  <si>
    <t>.--&gt; Pareto forbedring</t>
  </si>
  <si>
    <t>(og "fine-tuning" af denne)</t>
  </si>
  <si>
    <r>
      <t xml:space="preserve">Incitament baseret aflønning: </t>
    </r>
    <r>
      <rPr>
        <sz val="12"/>
        <color theme="1"/>
        <rFont val="Calibri"/>
        <family val="2"/>
        <scheme val="minor"/>
      </rPr>
      <t>se eksempel for intuitiv gennemgang</t>
    </r>
  </si>
  <si>
    <t>Vertikal afgænsning/"make or buy"</t>
  </si>
  <si>
    <t>Skal virksomheden selv producere eller skal den købe?</t>
  </si>
  <si>
    <t>Hold-Up</t>
  </si>
  <si>
    <t xml:space="preserve">Tilfældet hvor en virksomhed tager røven på en anden </t>
  </si>
  <si>
    <t>virksomhed ved at ændre i prisen efter at den anden</t>
  </si>
  <si>
    <t>virksomhed har foretaget en relationsspecifik investering</t>
  </si>
  <si>
    <t>Mere om vertikal afgrænsning, "hold-up", tekninsk- og organisatorisk efficiens i "vertikal afgrænsningsslidesene"</t>
  </si>
  <si>
    <t>Hvilke dele af værdikæden skal virksomheden dække</t>
  </si>
  <si>
    <t>Horisontal afgrænsning</t>
  </si>
  <si>
    <t>Hvilke(beslægtede) skal virksomheden producere?</t>
  </si>
  <si>
    <t>Og hvor meget af dem skal den producere?</t>
  </si>
  <si>
    <t>Konglomerart</t>
  </si>
  <si>
    <t xml:space="preserve">En virksomhed der har et meget versitilt spænd af </t>
  </si>
  <si>
    <t>produkter. Alstå den virksomhed der producerer</t>
  </si>
  <si>
    <t>produkter som hverken har med samme teknologi eller</t>
  </si>
  <si>
    <t>målgruppe at gøre</t>
  </si>
  <si>
    <t>En af fordelene kunne være risikospredning.</t>
  </si>
  <si>
    <t>Man spreder altså risikoen vha. Diversifikation.</t>
  </si>
  <si>
    <t>Læs mere om konglomerater i slides</t>
  </si>
  <si>
    <t>Læs mere om incitamenter i virksomheden i slides</t>
  </si>
  <si>
    <t>PROFIT</t>
    <phoneticPr fontId="0" type="noConversion"/>
  </si>
  <si>
    <t>PRIS</t>
    <phoneticPr fontId="0" type="noConversion"/>
  </si>
  <si>
    <t>38,3 - 0,0333Q = 6 &lt;=&gt; Q = 970</t>
  </si>
  <si>
    <t>Q = 970</t>
  </si>
  <si>
    <t>MÆNGDE</t>
    <phoneticPr fontId="0" type="noConversion"/>
  </si>
  <si>
    <t xml:space="preserve">MR = MC </t>
  </si>
  <si>
    <t>Optimaliserings betingese</t>
  </si>
  <si>
    <t>OPTIMERING</t>
    <phoneticPr fontId="0" type="noConversion"/>
  </si>
  <si>
    <t>MC = 6</t>
  </si>
  <si>
    <t>MC</t>
    <phoneticPr fontId="0" type="noConversion"/>
  </si>
  <si>
    <t>MR = 38,8888 - 0,0333333Q</t>
  </si>
  <si>
    <t>MR</t>
    <phoneticPr fontId="0" type="noConversion"/>
  </si>
  <si>
    <t>TR(Q) = 38,3333Q - 0,016666667Q^2</t>
  </si>
  <si>
    <t>TR(Q)</t>
  </si>
  <si>
    <t>P(Q) = 38,3333 - 0,016666667Q</t>
  </si>
  <si>
    <t>P(Q)</t>
  </si>
  <si>
    <t>Q(P) = 2300 -60Q</t>
  </si>
  <si>
    <t>Q(P)</t>
  </si>
  <si>
    <t>TC(Q) = 2000 + 6Q</t>
  </si>
  <si>
    <t>TC(Q)</t>
  </si>
  <si>
    <t>Ligning</t>
  </si>
  <si>
    <t>KURVER</t>
    <phoneticPr fontId="0" type="noConversion"/>
  </si>
  <si>
    <t>4. Illustrer sammenhængen mellem prisen på virksomhedens produkt og dens profit i et diagram.</t>
  </si>
  <si>
    <t>3. Benyt ovenstående til at finde virksomhedens optimale pris og mængde, samt den profit den opnår ved den optimale pris.</t>
  </si>
  <si>
    <t>2. Estimer virksomhedens marginale omsætningsfunktion og dens marginalomkostningsfunktion.</t>
  </si>
  <si>
    <t>1. Estimer virksomhedens omkostningsfunktion, efterspørgselsfunktion, inverse efterspørgselsfunktion og totalomsætningsfunktion, under antagelse af at de førstnævnte tre funktioner alle er lineære.</t>
  </si>
  <si>
    <t>b = Y1 - a * X1</t>
  </si>
  <si>
    <t>a = (Y2-Y1)(/X2-X1)</t>
  </si>
  <si>
    <t>FC = b = skæring, VC = aQ = Hældning</t>
  </si>
  <si>
    <t>TC(Q) = FC + VC = b + aQ</t>
  </si>
  <si>
    <t>OMKOSTNINGER</t>
    <phoneticPr fontId="0" type="noConversion"/>
  </si>
  <si>
    <t>Skæring</t>
  </si>
  <si>
    <t>Hældning</t>
  </si>
  <si>
    <t>PRIS</t>
  </si>
  <si>
    <t>Q(p)</t>
  </si>
  <si>
    <t>TC</t>
  </si>
  <si>
    <t>OBS. 2</t>
    <phoneticPr fontId="0" type="noConversion"/>
  </si>
  <si>
    <t>OBS. 1</t>
    <phoneticPr fontId="0" type="noConversion"/>
  </si>
  <si>
    <t xml:space="preserve">En virksomhed ønsker at fastsætte prisen på sit produkt, sådan at dens profit bliver størst mulig. Virksomheden kender ikke den præcise sammenhæng mellem pris og efterspørgsel, og heller ikke mellem produceret mængde og omkostninger. Som et eksperiment har den derfor forsøgt sig med to forskellige priser, hvorefter den i begge tilfælde har observeret og noteret den efterspurgte mængde samt de totale omkostninger ved at producere denne mængde. Virksomhedens observationer fremgår af nedenstående tabel.   </t>
  </si>
  <si>
    <t>S2 Optimal prissætning</t>
  </si>
  <si>
    <t>Optimerings problemet kan løses ved igen at sætte MR = MC</t>
  </si>
  <si>
    <t>Q =</t>
  </si>
  <si>
    <t>elasticitet</t>
  </si>
  <si>
    <t>P =</t>
  </si>
  <si>
    <t>dQ/dP =</t>
  </si>
  <si>
    <t>Antag, at WellCare på nuværende tidspunkt sælger cremen til 135 kr. pr. creme. Skal prisen sættes op eller ned, hvis ejeren ønsker at opnå den størst mulige omsætning?</t>
  </si>
  <si>
    <t>e.</t>
  </si>
  <si>
    <r>
      <t xml:space="preserve">For Q &lt; 75 er </t>
    </r>
    <r>
      <rPr>
        <i/>
        <sz val="12"/>
        <rFont val="Helv"/>
      </rPr>
      <t>e</t>
    </r>
    <r>
      <rPr>
        <sz val="12"/>
        <rFont val="Helv"/>
      </rPr>
      <t xml:space="preserve"> &lt; I1I</t>
    </r>
  </si>
  <si>
    <r>
      <t xml:space="preserve">For Q = 75 </t>
    </r>
    <r>
      <rPr>
        <i/>
        <sz val="12"/>
        <rFont val="Helv"/>
      </rPr>
      <t xml:space="preserve">e </t>
    </r>
    <r>
      <rPr>
        <sz val="12"/>
        <rFont val="Helv"/>
      </rPr>
      <t>= I1I her er enhedselasticitet</t>
    </r>
  </si>
  <si>
    <t>e = dQ/dP*(P/Q)</t>
  </si>
  <si>
    <r>
      <t xml:space="preserve">For Q &gt; 75 er </t>
    </r>
    <r>
      <rPr>
        <i/>
        <sz val="12"/>
        <rFont val="Helv"/>
      </rPr>
      <t>e</t>
    </r>
    <r>
      <rPr>
        <sz val="12"/>
        <rFont val="Helv"/>
      </rPr>
      <t xml:space="preserve"> &gt; I1I</t>
    </r>
  </si>
  <si>
    <t>I vores tilfælde</t>
  </si>
  <si>
    <t>e = x*(f'(x)/f(x))</t>
  </si>
  <si>
    <t xml:space="preserve">Elasticiteten er normalt defineret som: </t>
  </si>
  <si>
    <t>Forklar hvordan priselasticiteten ændres langs efterspørgselskurven.</t>
  </si>
  <si>
    <t>d.</t>
  </si>
  <si>
    <t>Når Q &gt; toppunkt falder omsætningen</t>
  </si>
  <si>
    <t>Når Q = toppunkt optimal omsætning</t>
  </si>
  <si>
    <t>Når Q &lt; toppunkt øges omsætningen</t>
  </si>
  <si>
    <t>mængde</t>
  </si>
  <si>
    <t>TR = 150Q - Q^2</t>
  </si>
  <si>
    <t>Find virksomhedens totale omsætningsfunktion (TR) matematisk – og tegn denne i en ny graf. Forklar sammenhængen mellem MR og TR på baggrund af de hidtil tegnede grafer.</t>
  </si>
  <si>
    <t>MR</t>
  </si>
  <si>
    <t>Pris</t>
  </si>
  <si>
    <t>Find virksomhedens marginale revenue (MR) matematisk – og indtegn denne i samme graf som prisafsætningsfunktionen.</t>
  </si>
  <si>
    <t xml:space="preserve">Pris </t>
  </si>
  <si>
    <t xml:space="preserve">P(Q) = 150 - Q </t>
  </si>
  <si>
    <t>skæring</t>
  </si>
  <si>
    <t>Obs 2</t>
  </si>
  <si>
    <t>Obs 1</t>
  </si>
  <si>
    <t>Find virksomhedens prisafsætningsfunktion matematisk – og tegn derefter denne grafisk.</t>
  </si>
  <si>
    <t>Opgave 3 - Welcare</t>
  </si>
  <si>
    <t>Virksomhedsundersøgelse eksempel</t>
  </si>
  <si>
    <t>Virksomheds undersøgelse - eks'!A1</t>
  </si>
  <si>
    <t>Opgave 4 - Slagter Svendsen</t>
  </si>
  <si>
    <t>Opgiv efterspørgselsfunktionen for medister både grafisk og matematisk.</t>
  </si>
  <si>
    <t>P(Q) = 60,3 - 0,04Q</t>
  </si>
  <si>
    <t>Mængde</t>
  </si>
  <si>
    <t>Hvad er priselasticiteten ved en pris på 38 kr.?</t>
  </si>
  <si>
    <t>pris =</t>
  </si>
  <si>
    <t>Elasticitet</t>
  </si>
  <si>
    <t>Mængde =</t>
  </si>
  <si>
    <t>Ved en pris på 50 kr pr. kg medister bør Svendsen, da hæve, sænke eller bibeholde prisen for at opnå højst mulig omsætning? Hvad bliver omsætningen?</t>
  </si>
  <si>
    <t xml:space="preserve">da elasticiteten ved en pris er over en bør virksomheden sænke prisen </t>
  </si>
  <si>
    <t>Elastisitet - eksempel'!A1</t>
  </si>
  <si>
    <t>OBS! Eksemplet er for priselasticiteten --&gt; Den %-vise stigning i prisen ved et fald i efterspørgslen på 1%</t>
  </si>
  <si>
    <t>fremtidige kontrakter kan afhjælpe problemet</t>
  </si>
  <si>
    <t xml:space="preserve">Svag/stærk konkurrence kan påvirke beslutning </t>
  </si>
  <si>
    <t>Udsving bør ikke påvirke beslut ning unde antagelse afr FK</t>
  </si>
  <si>
    <t>3. For at forsikre sig imod uforudsete udsving i omkostningerne bør virksomheder selv fremstille nødvendige inputs, som varierer meget i pris fra år til år.</t>
  </si>
  <si>
    <t>Virksomhedens størrelse påvirker valget</t>
  </si>
  <si>
    <t>SANDT</t>
  </si>
  <si>
    <t xml:space="preserve">2. Virksomheder bør i højere grad vælge at købe inputfaktorer, hvis produktionen af disse faktorer er forbundet med betydelige skalafordele, end hvis produktionen er forbundet med skalaulemper. </t>
  </si>
  <si>
    <t>Meget specielle indputfaktorer kontra "almindelige" produkter</t>
  </si>
  <si>
    <t>Fuldkommenkonkurrence kontra monopol lignende tilstande</t>
  </si>
  <si>
    <t>Free entry/exit</t>
  </si>
  <si>
    <t>Forskel på egnskabsmæssig og økonomisk profit</t>
  </si>
  <si>
    <t>1. Virksomheder bør i videst muligt omfang fremstille nødvendige inputs og udføre nødvendige servicefunktioner selv, da de hermed får disse inputs til kostprisen. Hvis man i stedet køber disse inputs af eksterne underleverandører, skal man oveni kostprisen betale en profitmargin til leverandøren, og herved bliver virksomhedens samlede omkostninger større.</t>
  </si>
  <si>
    <t>Diskuter de følgende tre påstande:</t>
  </si>
  <si>
    <t>S7: Make-or-buy</t>
  </si>
  <si>
    <t>Make-or-Buy - eks'!A1</t>
  </si>
  <si>
    <t>EKSEMPEL:</t>
  </si>
  <si>
    <t>S9: Incitamenter i virksomheden</t>
  </si>
  <si>
    <t>Diskuter følgende spørgsmål fra Besanko et al., kap 16:</t>
  </si>
  <si>
    <t>2. Suppose that a firm offers a divisional manager a linear pay-for-performance contract based on the revenues of the division the manager leads. The manager’s pay is given by</t>
  </si>
  <si>
    <t xml:space="preserve">        Pay = F + a * Revenue</t>
  </si>
  <si>
    <t>where F is a fixed yearly salary and a is the fraction of the division’s revenue that is paid to the manager. Suppose that the demand for this type of divisional manager increases, meaning that the firm has to increase this manager’s pay in order to retain her. Should the firm do this by increasing the salary F, the commission a, or both? Explain.</t>
  </si>
  <si>
    <t>F skal sættes op, under antagelsen om at a er optamalt sat</t>
  </si>
  <si>
    <t>Manageren er risikoavers --&gt; manageren vil kompenceres for usikkerhed --&gt; svaret er derfor --&gt; Hvis outside outside option stiger med x, skal F stige med X.</t>
  </si>
  <si>
    <t>6. Suppose that Minot Farm Equipment Corp. employs two salespeople. Each covers an exclusive territory; one is assigned to North Dakota and the other to South Dakota. These two neighboring states have similar agricultural economies and are affected by the same weather patterns. Durham Tractor Co. also employs two salespeople. One works in North Carolina, while the other is assigned to Oregon. Farm products and methods vary considerably across these two states. Each firm uses the dollar value of annual sales as a performance measure for salespeople. Which of the firms do you think would benefit most from basing pay on its salespeople’s relative performance? Why?</t>
  </si>
  <si>
    <t>North Dakota:</t>
  </si>
  <si>
    <t>––––––– Sammeforhold --&gt; relativ performance er godt</t>
  </si>
  <si>
    <t>South Dakota:</t>
  </si>
  <si>
    <t>Påvirket af samme eksogene stød --&gt; forskellige i salg skyldes formentlig forskelle i niveauer/intensiteter/work effort/evner og bør derfor honoreres med salgsbaseret aflønning</t>
  </si>
  <si>
    <t>North carolina:</t>
  </si>
  <si>
    <t>––––––– Forskellige forhold --&gt; relativ performance er ikkke godt</t>
  </si>
  <si>
    <t>Oregon:</t>
  </si>
  <si>
    <t>Bliver påvirket af forskellige eksogene stød --&gt; forkselle i salg kan skyldes mange andre faktorer end evner/work effort/intensitet/niveau/osv.</t>
  </si>
  <si>
    <t>EKESEMPEL:</t>
  </si>
  <si>
    <t>S10: Incitamenter i virksomheden</t>
  </si>
  <si>
    <t>A firm faces a choice between two ways of making it costly for an employee to shirk. It can</t>
  </si>
  <si>
    <t>invest in technology that makes it easier to detect shirking, or it can raise the employee’s</t>
  </si>
  <si>
    <t>salary. Let the employee’s salary in his or her next-best job be $40,000, and suppose that</t>
  </si>
  <si>
    <t>the cost to the employee of working hard is $5,000. If the firm invests $X in the monitor-</t>
  </si>
  <si>
    <t>ing technology, the probability that the firm will find out if the employee shirks is given by √(x/5000). Assume that the firm wants to motivate the employee to work hard.</t>
  </si>
  <si>
    <t>(a) What wage should the firm offer and how much should it invest in the monitoring technology in order to minimize its total expenditure?</t>
  </si>
  <si>
    <t>(b) How should the firm adjust wages and monitoring investments if the monitoring</t>
  </si>
  <si>
    <t>technology becomes more effective? Compute the firm’s wage and monitoring</t>
  </si>
  <si>
    <t>expenditure, assuming that the probability of catching the employee shirking is 2√(x/5000).</t>
  </si>
  <si>
    <t>Outside option</t>
  </si>
  <si>
    <t>Workking hard</t>
  </si>
  <si>
    <t>Monitorerings tech</t>
  </si>
  <si>
    <t>sqrt(x/5000)</t>
  </si>
  <si>
    <t>Prob(get caught)</t>
  </si>
  <si>
    <t>Forventet gevinst ved at arbejde hårdt skal være højere(lig med) 5000</t>
  </si>
  <si>
    <t>5000 = Prob(get caught)*(outside option)</t>
  </si>
  <si>
    <t>Fundet ved at diffe og isolere for x</t>
  </si>
  <si>
    <t>w</t>
  </si>
  <si>
    <t>Skal blive 46300 - find ud af hvad er galt</t>
  </si>
  <si>
    <t>b)</t>
  </si>
  <si>
    <t>Gør det samme igen</t>
  </si>
  <si>
    <t>x skal blive 1984</t>
  </si>
  <si>
    <t>w skal blive -45.000</t>
  </si>
  <si>
    <t>Får afkast i form af rente. Har juridisk krav på jf. Låneaftale.</t>
  </si>
  <si>
    <t>Renter er regnskabsmæssigt en omkostning for virksomheden.</t>
  </si>
  <si>
    <t>Har ingen del i overskud.</t>
  </si>
  <si>
    <t xml:space="preserve">Har ingen stemmeret. </t>
  </si>
  <si>
    <t>Hovedstolen tilbagebetales ved lånets udløbstid.</t>
  </si>
  <si>
    <t>Tilses først i forbindelse med konkurs.</t>
  </si>
  <si>
    <t>Virksomhedens finansiering - hvordan er kapitalen fremskaffet.</t>
  </si>
  <si>
    <t>Egenkapitalsopgørelsen redegør for hvordan egenkapitalen er arrangeret - indskud eller overskud</t>
  </si>
  <si>
    <t>Få tilføjet - hvad kommer på resultatopgørelsen</t>
  </si>
  <si>
    <t>Indtægter fra salg af varer og tjenesteydelser.</t>
  </si>
  <si>
    <t>Gevinster ved frasalg af aktiver.</t>
  </si>
  <si>
    <t>Indtægter ved salg på kredit.</t>
  </si>
  <si>
    <t>Finansielle indtægter - renter.</t>
  </si>
  <si>
    <t>Når størstedelen af produktion og salg er færdiggjort.</t>
  </si>
  <si>
    <t>Indtægtens størrelse er objektivt kendt.</t>
  </si>
  <si>
    <t>Indregningskriterier/revenue recognition(matching princippet) - hvornår må noget regnes som indtægt:</t>
  </si>
  <si>
    <t>Størstedel af omkostninger er afholdt - resten kendt.</t>
  </si>
  <si>
    <t>Betaling er sikret med stor sandsynlighed.</t>
  </si>
  <si>
    <t xml:space="preserve">Forbrug af (rå)varer og tjenesteydelser. </t>
  </si>
  <si>
    <t xml:space="preserve">Forbrug af anlægsaktiver - slidtage/værdiforringelse. </t>
  </si>
  <si>
    <t>Finansielle omkostninger - renter.</t>
  </si>
  <si>
    <t>Tab ved frasalg af aktiver.</t>
  </si>
  <si>
    <t>Altså samme kriterier som for indtægter.</t>
  </si>
  <si>
    <t>Omkostninger følger de indtægter som de er med til at generere - jf. Matchingprincippet.</t>
  </si>
  <si>
    <t>Viser hvor ændringerne kommer fra - hvilke aktiviteter</t>
  </si>
  <si>
    <t>Højt positivt CF fra OP - Højt negativt CF fra finance --&gt; Ingen eller få CF fra Invest</t>
  </si>
  <si>
    <t>henføres til de perioder hvor de afholdes.</t>
  </si>
  <si>
    <t>Dette er uanset om betaling finder sted samtidig.</t>
  </si>
  <si>
    <t>fx lineær afskrivning - saldoafskrivning.</t>
  </si>
  <si>
    <t>Investeringen afskrives over sin levetid - Den enkelte afskrivninig er årets omkostning ved at bruge aktivet.</t>
  </si>
  <si>
    <t>Der skal være objektive rammer for regnskabets formaliteter.</t>
  </si>
  <si>
    <t>Information som ligger til grund for regnskabet, skal være dokumenterbar og pålidelig.</t>
  </si>
  <si>
    <t>Regnskabet skal stræbe mod elimenering af skøn og subjektive værdier.</t>
  </si>
  <si>
    <t>Objektive kriterier for fx værdiansættelse og afskrivning.</t>
  </si>
  <si>
    <t>Objektivitet - neutralitet.</t>
  </si>
  <si>
    <t>Omkostninger skal henføres til samme periode som de indtægter som følger med disse omkostninger.</t>
  </si>
  <si>
    <t>I praksis skal omkostninger udskydes indtil de genererer indtægter.</t>
  </si>
  <si>
    <t>Giver et retvisende billede af de enkelte regnskabsperioder.</t>
  </si>
  <si>
    <t>.- Overdrive værdien af gæld og omkostninger</t>
  </si>
  <si>
    <t>Hvis der er tvivl om et regnskabsmæssigt element, bør man altid vælge "forsigtigt":</t>
  </si>
  <si>
    <t>Værdiansættelse - Brug laveste værdi hvis i tvivl.</t>
  </si>
  <si>
    <t>Sikrer kontuitet og sammenhængelighed over tid.</t>
  </si>
  <si>
    <t>For et givent regnskabsmæssigt element har virksomheden et vist råderum til at vælge sin praksis - fx afskrivninger</t>
  </si>
  <si>
    <t>Virksomheder kan kun ændre regnskabspraksis hvis der foreligger en reel begrundelse.</t>
  </si>
  <si>
    <t>2) Varerlager bliver optaget til OC eller markeds værdi, hvor markedsværdien kan baseres på fair market value eller replacement value</t>
  </si>
  <si>
    <t>Nøgletal relaterer regnskabets værdier ift. hinanden og gør regnskabet mere overskueligt</t>
  </si>
  <si>
    <t>pr kr investeret i virksomheden.</t>
  </si>
  <si>
    <r>
      <t xml:space="preserve">.- </t>
    </r>
    <r>
      <rPr>
        <b/>
        <sz val="12"/>
        <color indexed="8"/>
        <rFont val="Calibri"/>
        <family val="2"/>
      </rPr>
      <t>Drift</t>
    </r>
    <r>
      <rPr>
        <sz val="12"/>
        <color theme="1"/>
        <rFont val="Calibri"/>
        <family val="2"/>
        <scheme val="minor"/>
      </rPr>
      <t>: OG - produktion og omkostningsstyring(cost management)</t>
    </r>
  </si>
  <si>
    <r>
      <t xml:space="preserve">.- </t>
    </r>
    <r>
      <rPr>
        <b/>
        <sz val="12"/>
        <color indexed="8"/>
        <rFont val="Calibri"/>
        <family val="2"/>
      </rPr>
      <t>Finansiering</t>
    </r>
    <r>
      <rPr>
        <sz val="12"/>
        <color theme="1"/>
        <rFont val="Calibri"/>
        <family val="2"/>
        <scheme val="minor"/>
      </rPr>
      <t>: FG - Håndtering af finansieringsaktiviteteter</t>
    </r>
  </si>
  <si>
    <t>Virksomheder gearer egenkapitalen for at øge afkastet til auktionærerne.</t>
  </si>
  <si>
    <t>Geraing øger dog risikoen i virksomheden.</t>
  </si>
  <si>
    <t>Måler virksomhedens likviditetsrisiko, hvis LG &lt; 1: antyder det risiko.</t>
  </si>
  <si>
    <t xml:space="preserve">LG-1 er relevant for virksomhedens kreditorer som har </t>
  </si>
  <si>
    <t>juridisk krav på løbende betalinger.</t>
  </si>
  <si>
    <t>Hvis SG &lt; 1 antyder det at virksomheden er gearet med gæld.</t>
  </si>
  <si>
    <t>LG-2 = (kortsigtede)aktiver/Totale passiver</t>
  </si>
  <si>
    <t>(finansiel leverage)</t>
  </si>
  <si>
    <t>FG = EKF-AG</t>
  </si>
  <si>
    <t>indkomststrøm relativt billigt.</t>
  </si>
  <si>
    <t>Omsætning- og anlægsaktiver'!A1</t>
  </si>
  <si>
    <t>varebeholdninger</t>
  </si>
  <si>
    <t>R1 AKTIVPOSTERING</t>
    <phoneticPr fontId="0" type="noConversion"/>
  </si>
  <si>
    <t>Placer nedenstående aktiver i de korrekte kategorier</t>
    <phoneticPr fontId="0" type="noConversion"/>
  </si>
  <si>
    <t>Materielle anlægsaktiver</t>
    <phoneticPr fontId="0" type="noConversion"/>
  </si>
  <si>
    <t>Finansielle anlægsaktiver</t>
    <phoneticPr fontId="0" type="noConversion"/>
  </si>
  <si>
    <t>Varebeholdninger</t>
    <phoneticPr fontId="0" type="noConversion"/>
  </si>
  <si>
    <t>Tilgodehavender</t>
    <phoneticPr fontId="0" type="noConversion"/>
  </si>
  <si>
    <t>Likvide beholdninger</t>
    <phoneticPr fontId="0" type="noConversion"/>
  </si>
  <si>
    <t>Goodwill</t>
    <phoneticPr fontId="0" type="noConversion"/>
  </si>
  <si>
    <t>Færdigvarelager</t>
    <phoneticPr fontId="0" type="noConversion"/>
  </si>
  <si>
    <t>Bankindestående</t>
    <phoneticPr fontId="0" type="noConversion"/>
  </si>
  <si>
    <t>Patentrettighed</t>
    <phoneticPr fontId="0" type="noConversion"/>
  </si>
  <si>
    <t>Varevogn</t>
    <phoneticPr fontId="0" type="noConversion"/>
  </si>
  <si>
    <t>Langfristede værdipapirer</t>
    <phoneticPr fontId="0" type="noConversion"/>
  </si>
  <si>
    <t>Råvarelager</t>
    <phoneticPr fontId="0" type="noConversion"/>
  </si>
  <si>
    <t>Forudbetalt husleje</t>
    <phoneticPr fontId="0" type="noConversion"/>
  </si>
  <si>
    <t>Debitorkonto: H. Hansen</t>
    <phoneticPr fontId="0" type="noConversion"/>
  </si>
  <si>
    <t>Ejendom</t>
    <phoneticPr fontId="0" type="noConversion"/>
  </si>
  <si>
    <t>Købsmoms</t>
    <phoneticPr fontId="0" type="noConversion"/>
  </si>
  <si>
    <t>Markedsværdi = totale aktiver - gæld</t>
  </si>
  <si>
    <t>P2-6</t>
  </si>
  <si>
    <t>Because of consistent losses in the past several years, Eat and Run, a fast-food franchise, is in danger of bankruptcy. Its most current balance sheet follows.</t>
  </si>
  <si>
    <t>Additional information:</t>
  </si>
  <si>
    <t>Accounts payable</t>
  </si>
  <si>
    <t>The fair market value of the marketable securities is $19.000</t>
  </si>
  <si>
    <t xml:space="preserve">Wages payable </t>
  </si>
  <si>
    <t>The sale of the accounts receivable to a local bank would produce app. $25.000 cash</t>
  </si>
  <si>
    <t>Accounts receivable</t>
  </si>
  <si>
    <t>Other short-term payables</t>
  </si>
  <si>
    <t>A portion of the inventory originally costing $21.000 is obsolete and can be sold for $3.000 scrap value. The remaining inventory is worh app. $30.000</t>
  </si>
  <si>
    <t>Inventory</t>
  </si>
  <si>
    <t>Long term notes</t>
  </si>
  <si>
    <t>Prepaid insurance is non-refundable</t>
  </si>
  <si>
    <t>Prepaid insurance</t>
  </si>
  <si>
    <t>Mortgage payable</t>
  </si>
  <si>
    <t>In the event of bankruptcy the property, plant, and equipment owned by Eat and Run would be divided up and sold seperately.</t>
  </si>
  <si>
    <t>Property, plant, equipment</t>
  </si>
  <si>
    <t>Contributed capital</t>
  </si>
  <si>
    <t xml:space="preserve"> It is estimated that these sales would generate app. $100.000 in cash</t>
  </si>
  <si>
    <t>Other assets</t>
  </si>
  <si>
    <t>Other assets (primarily organizational costs) cannot be recovered</t>
  </si>
  <si>
    <t>Total liabilities and shareholder's equity</t>
  </si>
  <si>
    <t>Questions:</t>
  </si>
  <si>
    <t>A. The book value (balance sheet assets less liabilities) of Eat and Run is $63.000. Comment on why this balance sheet value may not be a good indication of the value of the company in the case of bankruptcy</t>
  </si>
  <si>
    <t>Bogført værdi:</t>
  </si>
  <si>
    <t>Under konkurs vil mange af aktiverne ikke have den samme værdi som tidligere hvilket ikke vil påvirke den bogførte værdi dog vil det påvirke markedsværdien. Derfor er den bogførte værdi FØR konkurs ikke en god værdisættelse under konkurs</t>
  </si>
  <si>
    <t>B. If Eat &amp; Run goes bankrupt, what would you consider to be the value of the company?</t>
  </si>
  <si>
    <t>Værdiansættelse ved markedsværdi under tilfælde af konkurs:</t>
  </si>
  <si>
    <t>C. When a company goes bancrupt, the creditors are usually paid off first with the existing assets, and then, if assets remain, the shareholders are paid. If Eat &amp; Run goes bancrupt, would the shareholders receive anything?</t>
  </si>
  <si>
    <t>and in that case, how much?</t>
  </si>
  <si>
    <t>De 6000 er det der er tilbage når al gæld/alle kreditorer er tilbagebetalt derfor vil de resterende 6000 gå til auktionærerne</t>
  </si>
  <si>
    <t>Denne værdiansættelse bruges ofte i tilfælde af konkurs</t>
  </si>
  <si>
    <t>Virksomhedens+vertikale+afgrænsning.pdf</t>
  </si>
  <si>
    <t>Diversifikation+og+konglomerater.pdf</t>
  </si>
  <si>
    <t>Incitamenter+i+virksomheden.pdf</t>
  </si>
  <si>
    <t>Højt positivt CF fra OP og højt negativt CF fra Invest Lavt CF fra finance</t>
  </si>
  <si>
    <t>Cash cow --&gt; en virksomhed der genererer en fast og god profit som langt opvejer de omkostninger der er brugt til at opnå profitten</t>
  </si>
  <si>
    <t>Assets and depreciation - which assumption and principle?</t>
  </si>
  <si>
    <t>RDP and brothers purchased a panel truck for $25.000 on januar 1, 2008. It estimated the life of the truck to be five years, and it planned to depreciate an equal amount in each of the five years</t>
  </si>
  <si>
    <t>a. in line with general  accepted accounting principles, determine the amounts required here:</t>
  </si>
  <si>
    <t>Depreciation expense</t>
  </si>
  <si>
    <t>Accumulated depreciation</t>
  </si>
  <si>
    <t xml:space="preserve"> -  </t>
  </si>
  <si>
    <t>Net book value</t>
  </si>
  <si>
    <t>b. Why did you decide initially to recognize the cost as an asset rather than treat it as an exspense?</t>
  </si>
  <si>
    <t>What basic assumption of financial account are you relying upon in your decision?</t>
  </si>
  <si>
    <t>For det første fordi en lastbil ar et materielt anlægsaktiv.</t>
  </si>
  <si>
    <t>For det andet, da man har nytte af lastbilen i 5 år skal den afskrives over 5 år i stedet for at være en direkte udgift - Dette er princippet om "going concern".</t>
  </si>
  <si>
    <t>c. Why did you allocate a portion of the cost to each of the five years? What basic principle of financial accounting measurement are you relying upon in this decision?</t>
  </si>
  <si>
    <t>Dette overholder matching princippet</t>
  </si>
  <si>
    <t>E3-6</t>
  </si>
  <si>
    <t>Se eksempel E3-6</t>
  </si>
  <si>
    <t>Afskrivning - eksempel'!A1</t>
  </si>
  <si>
    <t>In 2007, the company changed depreciation methods. This change increased the book value of its fixed assets(faste omkostniner) in each year by $5.000, that is, it was increased once, and not continuously.</t>
  </si>
  <si>
    <t xml:space="preserve">(1) Afskrivningsmetoden bliver ændret - dvs. Afskrivningsomkostningerne falder med 5000$ --&gt; Det får nettoindkomsten til at stige med 5000$ </t>
  </si>
  <si>
    <t>Question A &amp; B</t>
  </si>
  <si>
    <t>Optimal prissætning - eks'!A1</t>
  </si>
  <si>
    <t>Den kan forbedres !! Se opgave F11</t>
  </si>
  <si>
    <t>Hvordan kan den evt. forbedres?</t>
    <phoneticPr fontId="0" type="noConversion"/>
  </si>
  <si>
    <t>Nej</t>
  </si>
  <si>
    <t>Er dette en god portefølje?</t>
    <phoneticPr fontId="0" type="noConversion"/>
  </si>
  <si>
    <t>VARIANSEN!!!</t>
  </si>
  <si>
    <t>CARLSBERG</t>
    <phoneticPr fontId="0" type="noConversion"/>
  </si>
  <si>
    <t>MÆRSK</t>
    <phoneticPr fontId="0" type="noConversion"/>
  </si>
  <si>
    <t>STANDARDAFVIGELSE</t>
    <phoneticPr fontId="0" type="noConversion"/>
  </si>
  <si>
    <t>VESTAS</t>
    <phoneticPr fontId="0" type="noConversion"/>
  </si>
  <si>
    <t>VARIANS</t>
    <phoneticPr fontId="0" type="noConversion"/>
  </si>
  <si>
    <t>B&amp;O</t>
    <phoneticPr fontId="0" type="noConversion"/>
  </si>
  <si>
    <t>FORVENTET AFKAST</t>
    <phoneticPr fontId="0" type="noConversion"/>
  </si>
  <si>
    <t>PORTEFØLJE (25% på hver aktie)</t>
    <phoneticPr fontId="0" type="noConversion"/>
  </si>
  <si>
    <t>CARLSBERG</t>
    <phoneticPr fontId="0" type="noConversion"/>
  </si>
  <si>
    <t>MÆRSK</t>
    <phoneticPr fontId="0" type="noConversion"/>
  </si>
  <si>
    <t>VESTAS</t>
    <phoneticPr fontId="0" type="noConversion"/>
  </si>
  <si>
    <t>B&amp;O</t>
    <phoneticPr fontId="0" type="noConversion"/>
  </si>
  <si>
    <t>KOVARIANSMATRICEN</t>
    <phoneticPr fontId="0" type="noConversion"/>
  </si>
  <si>
    <t>STANDARDAFVIGELSE</t>
    <phoneticPr fontId="0" type="noConversion"/>
  </si>
  <si>
    <t>B&amp;O</t>
  </si>
  <si>
    <t>VARIANS</t>
    <phoneticPr fontId="0" type="noConversion"/>
  </si>
  <si>
    <t>Covar</t>
  </si>
  <si>
    <t>GENNEMSNITLIGT AFKAST</t>
    <phoneticPr fontId="0" type="noConversion"/>
  </si>
  <si>
    <t>ÅR</t>
    <phoneticPr fontId="0" type="noConversion"/>
  </si>
  <si>
    <t>HUSK AT COVARIANS IKKE DEFINERES MED KVADREREDE AFVIGELSER</t>
  </si>
  <si>
    <t>Covarians</t>
  </si>
  <si>
    <t>3. Beregn forventet afkast, samt varians af en portefølje bestående af 25% af hver aktie</t>
    <phoneticPr fontId="0" type="noConversion"/>
  </si>
  <si>
    <t>2. Beregn alle kovarianser i mellem aktierne, og indsæt værdierne i kovariansmatricen</t>
    <phoneticPr fontId="0" type="noConversion"/>
  </si>
  <si>
    <t>(beregn disse værdier i hånden, og ikke ved brug af Excel funktioner)</t>
    <phoneticPr fontId="0" type="noConversion"/>
  </si>
  <si>
    <t>1. Beregn gennemsnitligt afkast, varians samt standardafvigelse for de 4 aktier</t>
    <phoneticPr fontId="0" type="noConversion"/>
  </si>
  <si>
    <t>Her ses afakstet for 4 forskellige aktier over en årrække. Afkastet er det totale afkast (kursænding+udbytte)</t>
    <phoneticPr fontId="0" type="noConversion"/>
  </si>
  <si>
    <t>F10 PORTEFØLJETEORI</t>
    <phoneticPr fontId="0" type="noConversion"/>
  </si>
  <si>
    <t>F10 PORTEFØLJETEORI</t>
  </si>
  <si>
    <t>Her ses afakstet for 4 forskellige aktier over en årrække. Afkastet er det totale afkast (kursænding+udbytte)</t>
  </si>
  <si>
    <t>1. Beregn gennemsnitligt afkast, varians samt standardafvigelse for de 4 aktier</t>
  </si>
  <si>
    <t>(beregn disse værdier i hånden, og ikke ved brug af Excel funktioner)</t>
  </si>
  <si>
    <t>2. Beregn alle kovarianser i mellem aktierne, og indsæt værdierne i kovariansmatricen</t>
  </si>
  <si>
    <t>3. Beregn forventet afkast, samt varians af en portefølje bestående af 25% af hver aktie</t>
  </si>
  <si>
    <t>ÅR</t>
  </si>
  <si>
    <t>VESTAS</t>
  </si>
  <si>
    <t>MÆRSK</t>
  </si>
  <si>
    <t>CARLSBERG</t>
  </si>
  <si>
    <t>GENNEMSNITLIGT AFKAST</t>
  </si>
  <si>
    <t>VARIANS</t>
  </si>
  <si>
    <t>STANDARDAFVIGELSE</t>
  </si>
  <si>
    <t>KOVARIANSMATRICEN</t>
  </si>
  <si>
    <t>PORTEFØLJE (25% på hver aktie)</t>
  </si>
  <si>
    <t>FORVENTET AFKAST</t>
  </si>
  <si>
    <t>Er dette en god portefølje?</t>
  </si>
  <si>
    <t>Hvordan kan den evt. forbedres?</t>
  </si>
  <si>
    <t>Minimumsvarians</t>
  </si>
  <si>
    <t>Porteføljetype</t>
  </si>
  <si>
    <t>W=K^-1*D</t>
  </si>
  <si>
    <t>Kovariansmatricen * w = d</t>
  </si>
  <si>
    <t>% vægte</t>
  </si>
  <si>
    <t>W</t>
  </si>
  <si>
    <t>d</t>
  </si>
  <si>
    <t>Med Excel</t>
  </si>
  <si>
    <t>Porteføljevarians</t>
  </si>
  <si>
    <t>MINIMUMVARIANSPORTEFØLJEN</t>
    <phoneticPr fontId="0" type="noConversion"/>
  </si>
  <si>
    <t>W2</t>
  </si>
  <si>
    <t>W1</t>
  </si>
  <si>
    <t>Vægte</t>
  </si>
  <si>
    <t>Minimum med 2</t>
  </si>
  <si>
    <t>6. Beregn standardafvigelsen for den efficiente portefølje i hvert af tilfældene (a) - (e) og for minimumsvariansporteføljen. Plot resultaterne i et diagram med standardafvigelse for porteføljen på x-aksen og forventet afkast på y-aksen. Hvordan ligger de afbildede punkter i forhold til hinanden? Har den efficiente rand det forventede udseende?</t>
  </si>
  <si>
    <t>5. Hvordan ændres porteføljesammensætningen, når kravet til det forventede afkast øges? Illustrer gerne i et diagram. Kommentér.</t>
  </si>
  <si>
    <t>(tip: Benyt samme fremgangsmåde som i spm. 3, men tilføj nu en bibetingelse for størrelsen af det forventede afkast i minimeringsproblemet)</t>
  </si>
  <si>
    <t xml:space="preserve">  (e) 12,0%</t>
  </si>
  <si>
    <t xml:space="preserve">  (d) 11,5%</t>
  </si>
  <si>
    <t xml:space="preserve">  (c) 11,0%</t>
  </si>
  <si>
    <t xml:space="preserve">  (b) 10,8%</t>
  </si>
  <si>
    <t xml:space="preserve">  (a) 10,5%</t>
  </si>
  <si>
    <t>4. Brug problemløserfunktionen til at finde den efficiente portefølje (dvs. med mindst mulig varians) ved følgende forventede afkast:</t>
  </si>
  <si>
    <t>(tip: Start med at beregne variansen for en portefølje vha. en formel, hvor porteføljevægtene kan varieres. Lad porteføljevægten for fx Carlsberg være udtrykt i en formel som 1 minus summen af de øvrige porteføljevægte. Brug herefter målsøgningsfunktionen til at minimere  porteføljevariansen ved at variere de tre "frie" porteføljevægte.)</t>
  </si>
  <si>
    <t>3. Brug problemløserfunktionen i Excel (engelsk: solver) til at finde minimumsvariansporteføljen, altså den porteføljesammensætning der giver mindst mulig risiko. Hvad er det forventede afkast og standardafvigelse for denne portefølje?</t>
  </si>
  <si>
    <t>(genbrug gerne resultater fra opgave F10 i denne drejebog eller beregn ved hjælp af Excel-funktioner)</t>
  </si>
  <si>
    <t>1. Beregn gennemsnitligt afkast, varians, standardafvigelse samt kovariansmatrix for de 4 aktier</t>
  </si>
  <si>
    <t>Herunder ses afkastet for 4 forskellige aktier over en årrække. Afkastet er det totale afkast (kursændring+udbytte).</t>
  </si>
  <si>
    <t>F11 EFFICIENTE PORTEFØLJER</t>
  </si>
  <si>
    <t>Eksempel på sammenligning af aktier - Et samlet portefølgeteori eksempel + efficient portefølge</t>
  </si>
  <si>
    <t>Eller asset turnover</t>
  </si>
  <si>
    <t>Med skat</t>
  </si>
  <si>
    <t>t er størrelsen på skatten</t>
  </si>
  <si>
    <t>SUM(TAL1)/TÆL(TAL1) Tal1 er afkastene</t>
  </si>
  <si>
    <t>.=GEOMIDDEL(.) evt. -1</t>
  </si>
  <si>
    <t>Relativt afkast kun for prisen:</t>
  </si>
  <si>
    <t>(Kurs1-kurs0)/kurs0+1</t>
  </si>
  <si>
    <t>Det relative afkast - 1</t>
  </si>
  <si>
    <t>Total return pct.:</t>
  </si>
  <si>
    <t>STDAFV.S(tal:tal)</t>
  </si>
  <si>
    <t>tal er det totale afkast</t>
  </si>
  <si>
    <t>ÅOP (tror jeg)</t>
  </si>
  <si>
    <t>sum((ri-r)(rj-r))/(n-1)</t>
  </si>
  <si>
    <t>.=varians.s</t>
  </si>
  <si>
    <t>Beta er det relevante risikomål</t>
  </si>
  <si>
    <t>Beta=1 --&gt; markedet</t>
  </si>
  <si>
    <t>Beta=2, hvis du tilføjer til din portfølje så øger du risikoen</t>
  </si>
  <si>
    <t>Markedet går op/ned med 1, aktien går op/ned med 2</t>
  </si>
  <si>
    <t>perioder. Du må IKKE sige at P/E=20 er 20 kr. pr. kr.'s overskud</t>
  </si>
  <si>
    <t>Afhænger af forventninger</t>
  </si>
  <si>
    <t>Til fremtiden</t>
  </si>
  <si>
    <t>Gør teknisk analyse ubrugelig.</t>
  </si>
  <si>
    <t>Du kan ikke slå markedet, da alle kan gøre det.</t>
  </si>
  <si>
    <t>Fundemental analyse ubrugelig - bla. Gordons formel</t>
  </si>
  <si>
    <r>
      <t>Problemet</t>
    </r>
    <r>
      <rPr>
        <sz val="12"/>
        <color theme="1"/>
        <rFont val="Calibri"/>
        <family val="2"/>
        <scheme val="minor"/>
      </rPr>
      <t xml:space="preserve"> opstår renationen giver det anledning til </t>
    </r>
  </si>
  <si>
    <t>beta=cov(ri,Rm)/Var(M)</t>
  </si>
  <si>
    <t>EPS = earnings per share</t>
  </si>
  <si>
    <t>overskud/antal aktier</t>
  </si>
  <si>
    <t>Antagelser under FK:</t>
  </si>
  <si>
    <t>Beregn nettonutidsværdien af ovenstående investering - medregnet Svendsens alternativomkostning - under forudsætning af, at Svendsen kan opnå en gennemsnitlig salgspris på 45.000 kr. per møbel. Bør Svendsen foretage investeringen ud fra nettonutidsværdikriteriet?</t>
  </si>
  <si>
    <t xml:space="preserve">Afhændesherefter til </t>
  </si>
  <si>
    <t xml:space="preserve">over 4 år </t>
  </si>
  <si>
    <t>Opgave 1</t>
  </si>
  <si>
    <t>Anlægsinvestering initialt</t>
  </si>
  <si>
    <t>øvrige faste</t>
  </si>
  <si>
    <t>pr år</t>
  </si>
  <si>
    <t>Årlige lokaleomkostninger</t>
  </si>
  <si>
    <t>Kan fremstille 30 møbler om året</t>
  </si>
  <si>
    <t>indkomst pr solgt møbel</t>
  </si>
  <si>
    <t>matrialeomkostninger pr møbel</t>
  </si>
  <si>
    <t>Løbe tid på 4 år</t>
  </si>
  <si>
    <t>N</t>
  </si>
  <si>
    <t>Indtægter om året</t>
  </si>
  <si>
    <t>Anlægsinvestering</t>
  </si>
  <si>
    <t>Årlige omkostninger</t>
  </si>
  <si>
    <t>Indtægter</t>
  </si>
  <si>
    <t>Samlet</t>
  </si>
  <si>
    <t>Nettonutidsværdi</t>
  </si>
  <si>
    <t>alternativ omkostninger om året</t>
  </si>
  <si>
    <t>Alternativ omkotninger</t>
  </si>
  <si>
    <t>Svendsen skal altså foretage investeringen da nettonutidsværdien er 138.998, så han har en indtægt ved det</t>
  </si>
  <si>
    <t>Opgaven forsættes i intern rente</t>
  </si>
  <si>
    <t>Opgave forsat fra nettonutidsværdi</t>
  </si>
  <si>
    <t>Opgaven fortsættes i modificeret rente</t>
  </si>
  <si>
    <t>Opgaven forsat fra intern rente</t>
  </si>
  <si>
    <t xml:space="preserve">Modificeret intern rente </t>
  </si>
  <si>
    <t xml:space="preserve">Udregn den modificeret rente </t>
  </si>
  <si>
    <t>udreng intern rente</t>
  </si>
  <si>
    <t>Diskuter kort forskellen på de 2 rentabilitetsmål (renterne), skriv højest 6 linjer</t>
  </si>
  <si>
    <t>Den interne rente forudsætter implicit, at den relevante geninvesteringsrente svarer til den interne rente, da den er defineret ved den alternativrente, som bevirker at investeringens NNV går i 0.</t>
  </si>
  <si>
    <t>Den modificerede interne rente restringerer geninvesteringsrenten til kapitalomkostningen, i dette tilfælde 10%, og sikrer dermed en mere konservativ opgørelse af den interne rente.</t>
  </si>
  <si>
    <t xml:space="preserve">Denne alternativrente svarer implicit også til opsparingsrenten for de løbende nettoindbetalinger. </t>
  </si>
  <si>
    <t xml:space="preserve">Den interne rente antager at man kan geninvestere sit overskud fra hvert år til det samme afkast som ens intial investering, i det her tilfælde snedkerbutikken. Den interne rente, regner ud hvad renten skulle have været for at NNV går i 0 </t>
  </si>
  <si>
    <t>Den modificerede interne rente tilbagediskontere ikke renten løbende, men fastholder geninvesteringsrenten som kalkulationsrenten, i det her tilfælde de 10 %</t>
  </si>
  <si>
    <t>forsættes i nettonutidværdi</t>
  </si>
  <si>
    <t xml:space="preserve">Opgave forsat </t>
  </si>
  <si>
    <t>Hvad skal salgsprisen per møbel være, for at nettonutidsværdien af investeringen - med Svendsens alternativomkostning medregnet - bliver nul?</t>
  </si>
  <si>
    <t xml:space="preserve"> Forklar i ord, hvad det siger om projektets rentabilitet, hvis nettonutidsværdien er præcis nul (skriv højst 6 linjer).</t>
  </si>
  <si>
    <t>Pris pr møbel</t>
  </si>
  <si>
    <t>antal solgte møbler</t>
  </si>
  <si>
    <t>omkostning pr møbel</t>
  </si>
  <si>
    <t>Der bruges målsøgning på prisen på møblet for nettonutidværdien bliver 0</t>
  </si>
  <si>
    <t xml:space="preserve">Hvis nettonutidsværdien er lig 0 er der ingen økonomisk profit ved at fortage investeringen eller ej, han er derfor indiferent i forhold til om han skal foretage investeringen </t>
  </si>
  <si>
    <t>Når nettonutidsværdien er større end 0, skal han foretage investeringen. Er den mindre end 0, skal han ikke foretage den. Når den er lig nul, så er han indifferent</t>
  </si>
  <si>
    <t>opgave 1.4</t>
  </si>
  <si>
    <t xml:space="preserve">Svendsen regner med, at han vil stige i løn, hvis han bliver i sit nuværende konsulentjob. </t>
  </si>
  <si>
    <t xml:space="preserve">Han regner med, at hans løn vil stige med 8 pct. om året, dvs. at han vil få udbetalt 570.240 kr. i år 1, 615.859 kr. i år 2, osv. </t>
  </si>
  <si>
    <t xml:space="preserve">Hvilken salgspris per møbel sikrer, at nettonutidsværdien af investeringen er præcis nul under denne forudsætning? </t>
  </si>
  <si>
    <t>nettonutidværdien er lig med nul når prisen pr møbel er 47156,17</t>
  </si>
  <si>
    <t>..\..\..\..\Downloads\Erhvervsøkonomi eksamen sommer 2015.docx</t>
  </si>
  <si>
    <t xml:space="preserve">Michael Svendsen valgte i starten af 2014 at blive selvstændig med en lille virksomhed, der producerer specialfremstillede møbler. </t>
  </si>
  <si>
    <t>I løbet af 2014 havde Svendsen følgende transaktioner i forbindelse med sin virksomhed:</t>
  </si>
  <si>
    <t>A.     Indbetaler 500.000 kr. i egenkapital den 1. januar</t>
  </si>
  <si>
    <t>B.     Låner 700.000 kr. i banken til en årlig rente på 10 pct.</t>
  </si>
  <si>
    <t>C.     Køber produktionsanlæg for i alt 800.000 kr. (kontant)</t>
  </si>
  <si>
    <t>D.    Køber diverse råvarer og hjælpematerialer til i alt 300.000 kr. (kontant)</t>
  </si>
  <si>
    <t>E.     Producerer efter bestilling 28 møbler til en samlet omsætning på 1.100.000 kr.</t>
  </si>
  <si>
    <t xml:space="preserve">F.     Betaler diverse udgifter og honorarer for 2014, 70.000 kr. </t>
  </si>
  <si>
    <t>G.    Modtager delvis betaling for leverede møbler, 600.000 kr.</t>
  </si>
  <si>
    <t xml:space="preserve">H.    Betaler husleje for hele 2014 samt for 1. kvartal 2015, 325.000 kr. </t>
  </si>
  <si>
    <t>I.       Opgør råvare- og materialelageret ultimo 2014 til en samlet værdi af 100.000 kr.</t>
  </si>
  <si>
    <t>J.      Betaler renter og afdrag på banklånet, i alt 120.000 kr.</t>
  </si>
  <si>
    <t>K.     Afskriver 25% af den bogførte værdi på produktionsanlægget</t>
  </si>
  <si>
    <t>Find årets resultat for 2014 og afrapportér i en overskuelig tabel, der viser alle særskilte poster på resultatopgørelsen.</t>
  </si>
  <si>
    <t xml:space="preserve"> Det er ikke nødvendigt at bogføre transaktionerne på T-konti.</t>
  </si>
  <si>
    <t>a. påvirker ikke resultatet</t>
  </si>
  <si>
    <t>b. påvirker ikke resultatet</t>
  </si>
  <si>
    <t>C. påvirker ikke resultatet</t>
  </si>
  <si>
    <t xml:space="preserve">D påvirker ikke resultatet </t>
  </si>
  <si>
    <t>E. indtægter for 1100000</t>
  </si>
  <si>
    <t>F. udgifter for 70.000</t>
  </si>
  <si>
    <t>G. påvirker ikke resultatet</t>
  </si>
  <si>
    <t>H. kun huslejen for 2014 påvirker resultatopgørelsen i 2014, så udgift på kun 260 000</t>
  </si>
  <si>
    <t>I. Vi fratrækker varelageret ultimo med de indkøbte råvarer (D) så D-I=200000</t>
  </si>
  <si>
    <t>K. Afskrivninger koster på resultatet 25% af C, dvs 200000</t>
  </si>
  <si>
    <t xml:space="preserve">Resultatopgørelsen </t>
  </si>
  <si>
    <t>i tusind kr</t>
  </si>
  <si>
    <t>indtægter</t>
  </si>
  <si>
    <t xml:space="preserve">Div udgifter og honerarer </t>
  </si>
  <si>
    <t>Huslejen</t>
  </si>
  <si>
    <t>vareforbrug</t>
  </si>
  <si>
    <t>renteudgifter og afdrag</t>
  </si>
  <si>
    <t>afskrivninger</t>
  </si>
  <si>
    <t>J. kun renterne er på resultat  opgørelsen derfor 10% af de 700.000 kroner fra C som er 70.000</t>
  </si>
  <si>
    <t>Opgave 2</t>
  </si>
  <si>
    <t xml:space="preserve">Fortsættes i aktiver=passiver </t>
  </si>
  <si>
    <t xml:space="preserve">Fortsat fra resultatopgørelse </t>
  </si>
  <si>
    <t xml:space="preserve">A. plus 500 000 i kontanter </t>
  </si>
  <si>
    <t xml:space="preserve">B. plus 700 000 i kontanter </t>
  </si>
  <si>
    <t>C. minus 800 000 i kontanter. Plus 800 000 i anlæg</t>
  </si>
  <si>
    <t xml:space="preserve">D. minus 300 000 i kontanter. Plus 300 000 i råvare </t>
  </si>
  <si>
    <t>E.  Plus Tilgodehavender for 1.100.000</t>
  </si>
  <si>
    <t>F. minus 70 000 i kontanter</t>
  </si>
  <si>
    <t>G. minus 600 000 i tilgodehavender. Plus 600 000 i kontanter</t>
  </si>
  <si>
    <t>H. minus 325.000 i kontanter. Plus 65 000 i forudbetalt leje</t>
  </si>
  <si>
    <t xml:space="preserve">I. minus 200 000 på råvarelagret </t>
  </si>
  <si>
    <t xml:space="preserve">J. minus 120 000 i kontanter </t>
  </si>
  <si>
    <t>K. Minus 200 000 på anlæg</t>
  </si>
  <si>
    <t xml:space="preserve">Samlede aktiver </t>
  </si>
  <si>
    <t>Kontanter</t>
  </si>
  <si>
    <t>Anlæg</t>
  </si>
  <si>
    <t xml:space="preserve">råvare </t>
  </si>
  <si>
    <t xml:space="preserve">Tilgodehavender </t>
  </si>
  <si>
    <t>forudbetalt leje</t>
  </si>
  <si>
    <t>2.2 Find virksomhedens samlede aktiver og samlede egenkapital ultimo 2014. Afrapportér i overskuelige tabeller, der viser alle særskilte poster på de to opgørelser.</t>
  </si>
  <si>
    <t>Samlede aktiver</t>
  </si>
  <si>
    <t xml:space="preserve">Find den samlede egenkapital ultimo </t>
  </si>
  <si>
    <t>Primo egenkapital på 500 000 (A)</t>
  </si>
  <si>
    <t xml:space="preserve">Resultat fra 2014 på 300 000 </t>
  </si>
  <si>
    <t>Primo egenkapital</t>
  </si>
  <si>
    <t xml:space="preserve">Resultat </t>
  </si>
  <si>
    <t>Ultimo egenkapital</t>
  </si>
  <si>
    <t xml:space="preserve">Egenkapital </t>
  </si>
  <si>
    <t>Forsættes i AG eksempel</t>
  </si>
  <si>
    <t>Passiver/passiver I alt</t>
  </si>
  <si>
    <t>Find virksomhedens afkastningsgrad samt egenkapitalens forrentning for 2014, baseret på ultimoaktiver og ultimoegenkapital.</t>
  </si>
  <si>
    <t>Forsat fra aktiver=passiver</t>
  </si>
  <si>
    <t xml:space="preserve">ultimoaktiver </t>
  </si>
  <si>
    <t xml:space="preserve">ultimoegenkapital </t>
  </si>
  <si>
    <t>årets resultat uden renter</t>
  </si>
  <si>
    <t xml:space="preserve">afkastningsgraden </t>
  </si>
  <si>
    <t xml:space="preserve">Egenkapitalens forentning </t>
  </si>
  <si>
    <t>opgave 2.3</t>
  </si>
  <si>
    <t>Kan Svendsen øge gennemsnitsforrentningen af sin investerede kapital ved at finansiere en større andel af virksomhedens aktiver med gæld? Begrund og substantiér med relevante nøgletal.</t>
  </si>
  <si>
    <t>Opgave 2.4</t>
  </si>
  <si>
    <t>Ja, da afkastningsgraden er 26% er den højere end gældsrenten på 10% og der vil derfor være en indtægt på at finansiere en større virksomhed ved hjælp af gæld. Investorer vil derfor få et afkast.</t>
  </si>
  <si>
    <t>Opgave 3.1 sommer 2015</t>
  </si>
  <si>
    <t>”En virksomhed er finansieret med lige dele gæld og egenkapital, har en gearing af indtjeningsstrukturen (GIS) på 85 pct. og en overskudsgrad (OG) på 5 pct.</t>
  </si>
  <si>
    <t>Desuden har virksomheden aktiver for i alt 10 mio. kr. For at opnå en egenkapitalforrentning på over 15 pct. skal virksomheden dermed generere en omsætning på mindst 20 mio. kr.” SANDT eller FALSK?</t>
  </si>
  <si>
    <t>vi bruger den dekomponeret formel for EKF for at finde resultatet, altså formlen EKF = OG * AOH * GKS * GIS</t>
  </si>
  <si>
    <t>OG=0,05</t>
  </si>
  <si>
    <t>AOH= Omsætning(indtægter)/aktiver</t>
  </si>
  <si>
    <t>egenkapitalen er halvdelen af de 10 mio</t>
  </si>
  <si>
    <t>GIS=0,85</t>
  </si>
  <si>
    <t>EKF=0,05*2*2*0,85</t>
  </si>
  <si>
    <t>Aktiver</t>
  </si>
  <si>
    <t>Det ses derfor der godt kan bruges en lavere omsætning end 20 millioner. Udsagnet er derfor falsk</t>
  </si>
  <si>
    <t xml:space="preserve">”En virksomhed har en egenkapitalomkostning på 10%, en gennemsnitlig gældsrente på 4% og er finansieret med dobbelt så meget gæld som egenkapital. </t>
  </si>
  <si>
    <t>Når virksomheden skal vurdere rentabiliteten af et nyt projekt, bør den anvende en kalkulationsrente på 7%.” SANDT eller FALSK?</t>
  </si>
  <si>
    <t>opgave 3.4</t>
  </si>
  <si>
    <t>Vi udregner først WACC værdien</t>
  </si>
  <si>
    <t xml:space="preserve">da virksomheden har dobbelt så meget gæld som egenkapital, så regner vi med projektet bliver finansieret ved to-tredje-dele gæld og en tredjedel egenkapital </t>
  </si>
  <si>
    <t xml:space="preserve">Falsk, der skal benyttes en kalkulationsrente på cirka 6%. </t>
  </si>
  <si>
    <t>kalkulationsrenten</t>
  </si>
  <si>
    <t>Opgave 4.1 sommer 2015</t>
  </si>
  <si>
    <t>Hvad er den minimale efficiente skala for produktionen af XB-38? Illustrer i et diagram, der viser de gennemsnitlige omkostninger og marginalomkostningerne som funktion af den producerede mængde.</t>
  </si>
  <si>
    <t>Invers efterspørgselsfunktion</t>
  </si>
  <si>
    <t>Omkostningsfunktion</t>
  </si>
  <si>
    <t xml:space="preserve">Gennemsnitsomkostningerne </t>
  </si>
  <si>
    <t>AC(Q)=TC(Q)/Q</t>
  </si>
  <si>
    <t>TC'(Q)=60+0,02Q</t>
  </si>
  <si>
    <t>(1.000.000+60Q+0,01Q^2)/Q</t>
  </si>
  <si>
    <t>1.000.000/Q+60+0,01Q</t>
  </si>
  <si>
    <t>for at finde den minimale effciente skala sætter vi AC=MC</t>
  </si>
  <si>
    <t>60+0,02Q=</t>
  </si>
  <si>
    <t>0,01Q=1.000.000/Q</t>
  </si>
  <si>
    <t>1.000.000/0,01=Q^2</t>
  </si>
  <si>
    <t>Er den minimale efficiente mængde for produktionen af XB-38</t>
  </si>
  <si>
    <t>AC</t>
  </si>
  <si>
    <t>MC</t>
  </si>
  <si>
    <t xml:space="preserve">Mængde </t>
  </si>
  <si>
    <t>Opgave 4.2 sommer 2015</t>
  </si>
  <si>
    <t>Find den optimale produktion af XB-38 og den optimale pris. pr. ramme. Illustrer i et diagram, der viser den inverse efterspørgselskurve, den marginale omsætning og de marginale omkostninger.</t>
  </si>
  <si>
    <t>MR(Q)=TR'(Q)=P(Q)+P'(Q)*Q</t>
  </si>
  <si>
    <t>P(Q)=1000-0,01Q</t>
  </si>
  <si>
    <t>P'(Q)=0,01</t>
  </si>
  <si>
    <t>MR(Q)=(1000-0,01Q)+0,01Q</t>
  </si>
  <si>
    <t>P(Q)*Q</t>
  </si>
  <si>
    <t>Invers efterspørgselsfunktion P(Q)</t>
  </si>
  <si>
    <t>For at finde den optimaleproduktion sætter man MR=MC</t>
  </si>
  <si>
    <t>1000-0,02Q=60+0,02Q</t>
  </si>
  <si>
    <t>940=0,04Q</t>
  </si>
  <si>
    <t>940/0,04=Q</t>
  </si>
  <si>
    <t>23500=Q</t>
  </si>
  <si>
    <t>Hvor stor skal hovedstolen være på hver af de to lån, for at EnvyZooms opnår det krævede provenu på 6,8 mio. kr.?</t>
  </si>
  <si>
    <t>Opstil en tabel, der viser hovedstol, etableringsomkostninger og provenu for hver af de to lån.</t>
  </si>
  <si>
    <t>5.1 eksamensopgave 2015</t>
  </si>
  <si>
    <t>Lån A</t>
  </si>
  <si>
    <t>Et 10-årigt, fastforrentet annuitetslån med 3 pct. i kuponrente og 1 årlig termin. Lånet kan optages til kurs 99.</t>
  </si>
  <si>
    <t>Kurtage på 0,15%</t>
  </si>
  <si>
    <t>Anlægget koster</t>
  </si>
  <si>
    <t>kurs</t>
  </si>
  <si>
    <t>Kuponrente</t>
  </si>
  <si>
    <t>terminer</t>
  </si>
  <si>
    <t>Hovedstolen er</t>
  </si>
  <si>
    <t>tinglysningsgebyr</t>
  </si>
  <si>
    <t>tinglysningsgebyr til staten på 1.660 kr. plus 1,5 pct. af lånets hovedstol samt kurtage til realkreditinstituttet, som udgør 0,15% af lånets kursværdi</t>
  </si>
  <si>
    <t xml:space="preserve">Provnu=Hovedstoeln-kurstab-tinglysningsgebyr-kurtage </t>
  </si>
  <si>
    <t>Hovedstol*(kurs/100)-(1660+0,015*hovedstol)-0,0015*hovedstol*(kurs/100)</t>
  </si>
  <si>
    <t>Hovedstol=(provenu+1660)/((kurs/100)(1-0,0015)-0,015)</t>
  </si>
  <si>
    <t>Kurstabet</t>
  </si>
  <si>
    <t>Lån B</t>
  </si>
  <si>
    <t>Et 10-årigt, fastforrentet annuitetslån med 2 pct. i kuponrente og 1 årlig termin. Lånet kan optages til kurs 95.</t>
  </si>
  <si>
    <t xml:space="preserve">5.2 </t>
  </si>
  <si>
    <t>Opstil for hver af de to lån en tabel, der for hvert år i lånets løbetid viser følgende:</t>
  </si>
  <si>
    <t>·         Restgælden ved indgangen til året</t>
  </si>
  <si>
    <t>·         Renter, afdrag og samlet ydelse i løbet af året</t>
  </si>
  <si>
    <t>·         Restgælden ved udgangen af året</t>
  </si>
  <si>
    <t>Restgælden primo</t>
  </si>
  <si>
    <t xml:space="preserve">Betalingsstrøm </t>
  </si>
  <si>
    <t>Betalingstrøm</t>
  </si>
  <si>
    <t>5.3 eksamen 2015 sommer</t>
  </si>
  <si>
    <t>Effektiv rente</t>
  </si>
  <si>
    <t xml:space="preserve">Hvad er den effektive årlige rente på hver af de to lån? </t>
  </si>
  <si>
    <t>Effektiv rente efter skat</t>
  </si>
  <si>
    <t>Betalingstrøm efter skat</t>
  </si>
  <si>
    <t xml:space="preserve">Skattebesparelse </t>
  </si>
  <si>
    <t>EnvyZooms A/S</t>
  </si>
  <si>
    <t>ABC Enzymer A/S</t>
  </si>
  <si>
    <t xml:space="preserve">5.5 eksamen 2015 sommer </t>
  </si>
  <si>
    <t xml:space="preserve">En aktionær, som har ejet et fast antal aktier i virksomheden i præcis 10 år, </t>
  </si>
  <si>
    <t xml:space="preserve"> fordi aktionæren mener at have fået mindre ud af sin investering i EnvyZooms, end han ville have fået ved at investere i aktier i ABC Enzymer.</t>
  </si>
  <si>
    <t xml:space="preserve"> Har aktionæren ret i sin påstand? Begrund dit svar.</t>
  </si>
  <si>
    <t>Geometrisk EnvyZooms</t>
  </si>
  <si>
    <t>Geometrisk ABC Enzymer</t>
  </si>
  <si>
    <t>Arimetriske gennemsnit</t>
  </si>
  <si>
    <t>Geometriske gennemsnit</t>
  </si>
  <si>
    <t>Aritmetisk gennemsnit</t>
  </si>
  <si>
    <t>5.6 sommer 2015 Eksamen</t>
  </si>
  <si>
    <t xml:space="preserve">Benyt de historiske afkastdata for aktier i EnvyZooms og ABC Enzymer til at beregne estimater for forventet værdi (middelværdi) og standardafvigelse for fremtidige afkast for hver af de to aktier. </t>
  </si>
  <si>
    <t xml:space="preserve">De kvadrede afvigelser </t>
  </si>
  <si>
    <t>I procent</t>
  </si>
  <si>
    <t xml:space="preserve">Standardafvigelse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</si>
</sst>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8" formatCode="&quot;kr.&quot;\ #,##0.00;[Red]&quot;kr.&quot;\ \-#,##0.00"/>
    <numFmt numFmtId="43" formatCode="_ * #,##0.00_ ;_ * \-#,##0.00_ ;_ * &quot;-&quot;??_ ;_ @_ "/>
    <numFmt numFmtId="164" formatCode="_-* #,##0.00_-;\-* #,##0.00_-;_-* &quot;-&quot;??_-;_-@_-"/>
    <numFmt numFmtId="165" formatCode="#,##0.00\ &quot;kr&quot;;[Red]\-#,##0.00\ &quot;kr&quot;"/>
    <numFmt numFmtId="166" formatCode="_-* #,##0.00\ &quot;kr&quot;_-;\-* #,##0.00\ &quot;kr&quot;_-;_-* &quot;-&quot;??\ &quot;kr&quot;_-;_-@_-"/>
    <numFmt numFmtId="167" formatCode="_-* #,##0.00\ _k_r_-;\-* #,##0.00\ _k_r_-;_-* &quot;-&quot;??\ _k_r_-;_-@_-"/>
    <numFmt numFmtId="168" formatCode="_-* #,##0_-;\-* #,##0_-;_-* &quot;-&quot;??_-;_-@_-"/>
    <numFmt numFmtId="169" formatCode="_ * #,##0_ ;_ * \-#,##0_ ;_ * &quot;-&quot;??_ ;_ @_ "/>
    <numFmt numFmtId="170" formatCode="0.0"/>
    <numFmt numFmtId="171" formatCode="0.000%"/>
    <numFmt numFmtId="172" formatCode="_-* #,##0.0\ _k_r_-;\-* #,##0.0\ _k_r_-;_-* &quot;-&quot;??\ _k_r_-;_-@_-"/>
    <numFmt numFmtId="173" formatCode="_-* #,##0\ _k_r_-;\-* #,##0\ _k_r_-;_-* &quot;-&quot;??\ _k_r_-;_-@_-"/>
    <numFmt numFmtId="174" formatCode="_-&quot;$&quot;* #,##0.00_-;\-&quot;$&quot;* #,##0.00_-;_-&quot;$&quot;* &quot;-&quot;??_-;_-@_-"/>
    <numFmt numFmtId="175" formatCode="&quot;$&quot;#,##0.00;[Red]\-&quot;$&quot;#,##0.00"/>
    <numFmt numFmtId="176" formatCode="_-&quot;$&quot;* #,##0_-;\-&quot;$&quot;* #,##0_-;_-&quot;$&quot;* &quot;-&quot;??_-;_-@_-"/>
    <numFmt numFmtId="177" formatCode="#,##0.0000000000"/>
    <numFmt numFmtId="178" formatCode="#,##0.000"/>
    <numFmt numFmtId="179" formatCode="0.000"/>
    <numFmt numFmtId="180" formatCode="0.0000%"/>
    <numFmt numFmtId="181" formatCode="0.0000"/>
    <numFmt numFmtId="182" formatCode="#,##0.0000"/>
    <numFmt numFmtId="183" formatCode="#,##0.0"/>
    <numFmt numFmtId="184" formatCode="_-* #,##0.0000_-;\-* #,##0.0000_-;_-* &quot;-&quot;??_-;_-@_-"/>
    <numFmt numFmtId="185" formatCode="0.0%"/>
    <numFmt numFmtId="186" formatCode="_-* #,##0\ &quot;kr&quot;_-;\-* #,##0\ &quot;kr&quot;_-;_-* &quot;-&quot;??\ &quot;kr&quot;_-;_-@_-"/>
    <numFmt numFmtId="187" formatCode="0.00000"/>
    <numFmt numFmtId="188" formatCode="0E+00"/>
  </numFmts>
  <fonts count="64" x14ac:knownFonts="1">
    <font>
      <sz val="12"/>
      <color theme="1"/>
      <name val="Calibri"/>
      <family val="2"/>
      <scheme val="minor"/>
    </font>
    <font>
      <b/>
      <sz val="12"/>
      <color indexed="8"/>
      <name val="Calibri"/>
      <family val="2"/>
    </font>
    <font>
      <sz val="12"/>
      <name val="Helv"/>
    </font>
    <font>
      <sz val="12"/>
      <name val="Calibri"/>
      <family val="2"/>
    </font>
    <font>
      <u/>
      <sz val="12"/>
      <name val="Calibri"/>
      <family val="2"/>
    </font>
    <font>
      <b/>
      <sz val="12"/>
      <name val="Calibri"/>
      <family val="2"/>
    </font>
    <font>
      <i/>
      <sz val="12"/>
      <color indexed="8"/>
      <name val="Calibri"/>
      <family val="2"/>
    </font>
    <font>
      <b/>
      <i/>
      <sz val="12"/>
      <name val="Calibri"/>
      <family val="2"/>
    </font>
    <font>
      <i/>
      <sz val="12"/>
      <name val="Calibri"/>
      <family val="2"/>
    </font>
    <font>
      <b/>
      <u/>
      <sz val="12"/>
      <name val="Calibri"/>
      <family val="2"/>
    </font>
    <font>
      <b/>
      <i/>
      <sz val="12"/>
      <color indexed="8"/>
      <name val="Calibri"/>
      <family val="2"/>
    </font>
    <font>
      <sz val="12"/>
      <color indexed="8"/>
      <name val="Calibri"/>
      <family val="2"/>
    </font>
    <font>
      <b/>
      <sz val="11"/>
      <color indexed="8"/>
      <name val="Calibri"/>
      <family val="2"/>
    </font>
    <font>
      <i/>
      <u/>
      <sz val="12"/>
      <name val="Calibri"/>
      <family val="2"/>
    </font>
    <font>
      <sz val="10"/>
      <name val="Arial"/>
      <family val="2"/>
    </font>
    <font>
      <vertAlign val="subscript"/>
      <sz val="12"/>
      <name val="Calibri"/>
      <family val="2"/>
    </font>
    <font>
      <b/>
      <i/>
      <u/>
      <sz val="12"/>
      <name val="Calibri"/>
      <family val="2"/>
    </font>
    <font>
      <b/>
      <sz val="12"/>
      <color indexed="72"/>
      <name val="Calibri"/>
      <family val="2"/>
    </font>
    <font>
      <sz val="8"/>
      <name val="Calibri"/>
      <family val="2"/>
    </font>
    <font>
      <i/>
      <sz val="12"/>
      <name val="Helv"/>
    </font>
    <font>
      <sz val="12"/>
      <color theme="1"/>
      <name val="Calibri"/>
      <family val="2"/>
      <scheme val="minor"/>
    </font>
    <font>
      <sz val="11"/>
      <color theme="1"/>
      <name val="Calibri"/>
      <family val="2"/>
      <scheme val="minor"/>
    </font>
    <font>
      <sz val="12"/>
      <color rgb="FFFF0000"/>
      <name val="Calibri"/>
      <family val="2"/>
      <scheme val="minor"/>
    </font>
    <font>
      <u/>
      <sz val="12"/>
      <color theme="10"/>
      <name val="Calibri"/>
      <family val="2"/>
      <scheme val="minor"/>
    </font>
    <font>
      <b/>
      <sz val="12"/>
      <color theme="1"/>
      <name val="Calibri"/>
      <family val="2"/>
      <scheme val="minor"/>
    </font>
    <font>
      <i/>
      <sz val="12"/>
      <color theme="1"/>
      <name val="Calibri"/>
      <family val="2"/>
      <scheme val="minor"/>
    </font>
    <font>
      <b/>
      <sz val="12"/>
      <name val="Calibri"/>
      <family val="2"/>
      <scheme val="minor"/>
    </font>
    <font>
      <sz val="12"/>
      <name val="Calibri"/>
      <family val="2"/>
      <scheme val="minor"/>
    </font>
    <font>
      <sz val="12"/>
      <color theme="1"/>
      <name val="Calibri"/>
      <family val="2"/>
    </font>
    <font>
      <u/>
      <sz val="12"/>
      <color rgb="FF0000FF"/>
      <name val="Calibri"/>
      <family val="2"/>
    </font>
    <font>
      <b/>
      <i/>
      <sz val="12"/>
      <color theme="1"/>
      <name val="Calibri"/>
      <family val="2"/>
    </font>
    <font>
      <b/>
      <sz val="12"/>
      <color theme="1"/>
      <name val="Calibri"/>
      <family val="2"/>
    </font>
    <font>
      <u/>
      <sz val="12"/>
      <color theme="1"/>
      <name val="Calibri"/>
      <family val="2"/>
    </font>
    <font>
      <b/>
      <u/>
      <sz val="12"/>
      <color theme="1"/>
      <name val="Calibri"/>
      <family val="2"/>
    </font>
    <font>
      <i/>
      <u/>
      <sz val="12"/>
      <color theme="1"/>
      <name val="Calibri"/>
      <family val="2"/>
    </font>
    <font>
      <b/>
      <sz val="15"/>
      <color theme="1"/>
      <name val="Calibri"/>
      <family val="2"/>
    </font>
    <font>
      <u/>
      <sz val="12"/>
      <color rgb="FF000000"/>
      <name val="Calibri"/>
      <family val="2"/>
      <scheme val="minor"/>
    </font>
    <font>
      <sz val="12"/>
      <color rgb="FF000000"/>
      <name val="Calibri"/>
      <family val="2"/>
      <scheme val="minor"/>
    </font>
    <font>
      <b/>
      <sz val="15"/>
      <color rgb="FF000000"/>
      <name val="Calibri"/>
      <family val="2"/>
      <scheme val="minor"/>
    </font>
    <font>
      <b/>
      <sz val="12"/>
      <color rgb="FF000000"/>
      <name val="Calibri"/>
      <family val="2"/>
      <scheme val="minor"/>
    </font>
    <font>
      <b/>
      <sz val="11"/>
      <color theme="1"/>
      <name val="Calibri"/>
      <family val="2"/>
      <scheme val="minor"/>
    </font>
    <font>
      <b/>
      <i/>
      <sz val="11"/>
      <color theme="1"/>
      <name val="Calibri"/>
      <family val="2"/>
      <scheme val="minor"/>
    </font>
    <font>
      <sz val="11"/>
      <color rgb="FF000000"/>
      <name val="Calibri"/>
      <family val="2"/>
      <scheme val="minor"/>
    </font>
    <font>
      <b/>
      <sz val="11"/>
      <color rgb="FF000000"/>
      <name val="Calibri"/>
      <family val="2"/>
      <scheme val="minor"/>
    </font>
    <font>
      <b/>
      <i/>
      <sz val="11"/>
      <color rgb="FF000000"/>
      <name val="Calibri"/>
      <family val="2"/>
      <scheme val="minor"/>
    </font>
    <font>
      <i/>
      <sz val="12"/>
      <color theme="1"/>
      <name val="Calibri"/>
      <family val="2"/>
    </font>
    <font>
      <i/>
      <sz val="11"/>
      <color theme="1"/>
      <name val="Calibri"/>
      <family val="2"/>
      <scheme val="minor"/>
    </font>
    <font>
      <sz val="18"/>
      <color theme="1"/>
      <name val="Calibri"/>
      <family val="2"/>
      <scheme val="minor"/>
    </font>
    <font>
      <sz val="12"/>
      <color rgb="FFFF0000"/>
      <name val="Calibri"/>
      <family val="2"/>
    </font>
    <font>
      <u/>
      <sz val="12"/>
      <name val="Calibri"/>
      <family val="2"/>
      <scheme val="minor"/>
    </font>
    <font>
      <u/>
      <sz val="12"/>
      <color theme="1"/>
      <name val="Calibri"/>
      <family val="2"/>
      <scheme val="minor"/>
    </font>
    <font>
      <b/>
      <u/>
      <sz val="12"/>
      <color rgb="FF000000"/>
      <name val="Calibri"/>
      <family val="2"/>
      <scheme val="minor"/>
    </font>
    <font>
      <sz val="12"/>
      <color rgb="FF333333"/>
      <name val="Calibri"/>
      <family val="2"/>
      <scheme val="minor"/>
    </font>
    <font>
      <b/>
      <sz val="12"/>
      <color rgb="FFFF0000"/>
      <name val="Calibri"/>
      <family val="2"/>
      <scheme val="minor"/>
    </font>
    <font>
      <b/>
      <i/>
      <sz val="12"/>
      <color theme="1"/>
      <name val="Calibri"/>
      <family val="2"/>
      <scheme val="minor"/>
    </font>
    <font>
      <sz val="12"/>
      <color rgb="FFC0504D"/>
      <name val="Calibri"/>
      <family val="2"/>
      <scheme val="minor"/>
    </font>
    <font>
      <sz val="12"/>
      <color theme="5"/>
      <name val="Calibri"/>
      <family val="2"/>
    </font>
    <font>
      <u/>
      <sz val="12"/>
      <color rgb="FF0000FF"/>
      <name val="Calibri"/>
      <family val="2"/>
      <scheme val="minor"/>
    </font>
    <font>
      <i/>
      <sz val="12"/>
      <color theme="1"/>
      <name val="Georgia"/>
      <family val="1"/>
    </font>
    <font>
      <b/>
      <u/>
      <sz val="12"/>
      <color theme="10"/>
      <name val="Calibri"/>
      <family val="2"/>
      <scheme val="minor"/>
    </font>
    <font>
      <b/>
      <sz val="11"/>
      <color theme="1"/>
      <name val="Georgia"/>
      <family val="1"/>
    </font>
    <font>
      <sz val="11"/>
      <color theme="1"/>
      <name val="Georgia"/>
      <family val="1"/>
    </font>
    <font>
      <b/>
      <sz val="12"/>
      <color theme="1"/>
      <name val="Georgia"/>
      <family val="1"/>
    </font>
    <font>
      <b/>
      <sz val="16"/>
      <color theme="1"/>
      <name val="Calibri"/>
      <family val="2"/>
      <scheme val="minor"/>
    </font>
  </fonts>
  <fills count="34">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FFFFFF"/>
        <bgColor rgb="FF000000"/>
      </patternFill>
    </fill>
    <fill>
      <patternFill patternType="solid">
        <fgColor theme="4"/>
        <bgColor indexed="64"/>
      </patternFill>
    </fill>
    <fill>
      <patternFill patternType="solid">
        <fgColor theme="1"/>
        <bgColor indexed="64"/>
      </patternFill>
    </fill>
    <fill>
      <patternFill patternType="solid">
        <fgColor theme="6"/>
        <bgColor indexed="64"/>
      </patternFill>
    </fill>
    <fill>
      <patternFill patternType="solid">
        <fgColor theme="6" tint="0.59999389629810485"/>
        <bgColor indexed="64"/>
      </patternFill>
    </fill>
    <fill>
      <patternFill patternType="solid">
        <fgColor theme="9"/>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CCFFCC"/>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0"/>
        <bgColor rgb="FF000000"/>
      </patternFill>
    </fill>
    <fill>
      <patternFill patternType="solid">
        <fgColor rgb="FFFFFFFF"/>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7"/>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4"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theme="9" tint="-0.499984740745262"/>
        <bgColor indexed="64"/>
      </patternFill>
    </fill>
    <fill>
      <patternFill patternType="solid">
        <fgColor theme="8"/>
        <bgColor indexed="64"/>
      </patternFill>
    </fill>
    <fill>
      <patternFill patternType="solid">
        <fgColor theme="2" tint="-0.499984740745262"/>
        <bgColor indexed="64"/>
      </patternFill>
    </fill>
    <fill>
      <patternFill patternType="solid">
        <fgColor rgb="FF9BBB59"/>
        <bgColor rgb="FF000000"/>
      </patternFill>
    </fill>
    <fill>
      <patternFill patternType="solid">
        <fgColor rgb="FFFF0000"/>
        <bgColor rgb="FF000000"/>
      </patternFill>
    </fill>
  </fills>
  <borders count="51">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top/>
      <bottom style="medium">
        <color auto="1"/>
      </bottom>
      <diagonal/>
    </border>
    <border>
      <left style="medium">
        <color auto="1"/>
      </left>
      <right/>
      <top style="medium">
        <color auto="1"/>
      </top>
      <bottom style="medium">
        <color auto="1"/>
      </bottom>
      <diagonal/>
    </border>
    <border>
      <left style="thin">
        <color auto="1"/>
      </left>
      <right style="thin">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style="thin">
        <color auto="1"/>
      </left>
      <right style="thin">
        <color auto="1"/>
      </right>
      <top/>
      <bottom style="medium">
        <color auto="1"/>
      </bottom>
      <diagonal/>
    </border>
    <border>
      <left/>
      <right style="medium">
        <color auto="1"/>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medium">
        <color auto="1"/>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medium">
        <color auto="1"/>
      </left>
      <right/>
      <top/>
      <bottom style="thin">
        <color auto="1"/>
      </bottom>
      <diagonal/>
    </border>
    <border>
      <left style="thin">
        <color auto="1"/>
      </left>
      <right style="medium">
        <color auto="1"/>
      </right>
      <top style="thin">
        <color auto="1"/>
      </top>
      <bottom/>
      <diagonal/>
    </border>
    <border>
      <left/>
      <right/>
      <top style="medium">
        <color auto="1"/>
      </top>
      <bottom style="thin">
        <color auto="1"/>
      </bottom>
      <diagonal/>
    </border>
    <border>
      <left style="medium">
        <color auto="1"/>
      </left>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diagonal/>
    </border>
    <border>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style="medium">
        <color auto="1"/>
      </top>
      <bottom style="thin">
        <color auto="1"/>
      </bottom>
      <diagonal/>
    </border>
  </borders>
  <cellStyleXfs count="11">
    <xf numFmtId="0" fontId="0" fillId="0" borderId="0"/>
    <xf numFmtId="167" fontId="20" fillId="0" borderId="0" applyFont="0" applyFill="0" applyBorder="0" applyAlignment="0" applyProtection="0"/>
    <xf numFmtId="43" fontId="20" fillId="0" borderId="0" applyFont="0" applyFill="0" applyBorder="0" applyAlignment="0" applyProtection="0"/>
    <xf numFmtId="43" fontId="21"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 fillId="0" borderId="0"/>
    <xf numFmtId="0" fontId="14" fillId="0" borderId="0"/>
    <xf numFmtId="0" fontId="21" fillId="0" borderId="0"/>
    <xf numFmtId="9" fontId="20" fillId="0" borderId="0" applyFont="0" applyFill="0" applyBorder="0" applyAlignment="0" applyProtection="0"/>
    <xf numFmtId="166" fontId="20" fillId="0" borderId="0" applyFont="0" applyFill="0" applyBorder="0" applyAlignment="0" applyProtection="0"/>
  </cellStyleXfs>
  <cellXfs count="989">
    <xf numFmtId="0" fontId="0" fillId="0" borderId="0" xfId="0"/>
    <xf numFmtId="0" fontId="0" fillId="3" borderId="0" xfId="0" applyFill="1"/>
    <xf numFmtId="0" fontId="24" fillId="3" borderId="0" xfId="0" applyFont="1" applyFill="1" applyAlignment="1">
      <alignment horizontal="center"/>
    </xf>
    <xf numFmtId="0" fontId="0" fillId="3" borderId="1" xfId="0"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3" borderId="3" xfId="0" applyFill="1" applyBorder="1"/>
    <xf numFmtId="0" fontId="0" fillId="3" borderId="0" xfId="0" applyFill="1" applyBorder="1"/>
    <xf numFmtId="0" fontId="0" fillId="3" borderId="1" xfId="0" applyFill="1" applyBorder="1"/>
    <xf numFmtId="0" fontId="0" fillId="3" borderId="2"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3" fillId="2" borderId="0" xfId="6" applyFont="1" applyFill="1" applyBorder="1"/>
    <xf numFmtId="0" fontId="4" fillId="2" borderId="0" xfId="6" applyFont="1" applyFill="1" applyBorder="1"/>
    <xf numFmtId="0" fontId="5" fillId="2" borderId="0" xfId="6" applyFont="1" applyFill="1" applyBorder="1"/>
    <xf numFmtId="0" fontId="3" fillId="2" borderId="0" xfId="6" applyFont="1" applyFill="1" applyBorder="1" applyAlignment="1">
      <alignment horizontal="right"/>
    </xf>
    <xf numFmtId="0" fontId="3" fillId="2" borderId="4" xfId="6" applyFont="1" applyFill="1" applyBorder="1"/>
    <xf numFmtId="168" fontId="3" fillId="2" borderId="6" xfId="1" applyNumberFormat="1" applyFont="1" applyFill="1" applyBorder="1"/>
    <xf numFmtId="168" fontId="3" fillId="2" borderId="7" xfId="1" applyNumberFormat="1" applyFont="1" applyFill="1" applyBorder="1"/>
    <xf numFmtId="0" fontId="3" fillId="2" borderId="5" xfId="6" applyFont="1" applyFill="1" applyBorder="1"/>
    <xf numFmtId="168" fontId="3" fillId="2" borderId="0" xfId="1" applyNumberFormat="1" applyFont="1" applyFill="1" applyBorder="1"/>
    <xf numFmtId="168" fontId="3" fillId="2" borderId="8" xfId="1" applyNumberFormat="1" applyFont="1" applyFill="1" applyBorder="1"/>
    <xf numFmtId="0" fontId="3" fillId="2" borderId="10" xfId="6" applyFont="1" applyFill="1" applyBorder="1"/>
    <xf numFmtId="168" fontId="3" fillId="2" borderId="11" xfId="1" applyNumberFormat="1" applyFont="1" applyFill="1" applyBorder="1"/>
    <xf numFmtId="168" fontId="3" fillId="2" borderId="9" xfId="1" applyNumberFormat="1" applyFont="1" applyFill="1" applyBorder="1"/>
    <xf numFmtId="0" fontId="5" fillId="2" borderId="0" xfId="6" applyFont="1" applyFill="1" applyBorder="1" applyAlignment="1">
      <alignment horizontal="left"/>
    </xf>
    <xf numFmtId="9" fontId="3" fillId="2" borderId="0" xfId="9" applyFont="1" applyFill="1" applyBorder="1"/>
    <xf numFmtId="0" fontId="0" fillId="3" borderId="2" xfId="0" applyFill="1" applyBorder="1" applyAlignment="1">
      <alignment horizontal="left" vertical="center"/>
    </xf>
    <xf numFmtId="0" fontId="0" fillId="3" borderId="8" xfId="0" applyFill="1" applyBorder="1" applyAlignment="1">
      <alignment horizontal="center"/>
    </xf>
    <xf numFmtId="0" fontId="0" fillId="3" borderId="7" xfId="0" applyFill="1" applyBorder="1" applyAlignment="1">
      <alignment horizontal="center"/>
    </xf>
    <xf numFmtId="0" fontId="0" fillId="3" borderId="5" xfId="0" applyFill="1" applyBorder="1" applyAlignment="1">
      <alignment horizontal="center"/>
    </xf>
    <xf numFmtId="0" fontId="23" fillId="3" borderId="2" xfId="4" quotePrefix="1" applyFill="1" applyBorder="1"/>
    <xf numFmtId="0" fontId="3" fillId="2" borderId="0" xfId="6" applyFont="1" applyFill="1"/>
    <xf numFmtId="0" fontId="5" fillId="2" borderId="0" xfId="6" applyFont="1" applyFill="1"/>
    <xf numFmtId="0" fontId="3" fillId="2" borderId="12" xfId="6" applyFont="1" applyFill="1" applyBorder="1"/>
    <xf numFmtId="0" fontId="3" fillId="2" borderId="13" xfId="6" applyFont="1" applyFill="1" applyBorder="1"/>
    <xf numFmtId="0" fontId="3" fillId="2" borderId="14" xfId="6" applyFont="1" applyFill="1" applyBorder="1" applyAlignment="1">
      <alignment horizontal="center"/>
    </xf>
    <xf numFmtId="0" fontId="3" fillId="2" borderId="15" xfId="6" applyFont="1" applyFill="1" applyBorder="1" applyAlignment="1">
      <alignment horizontal="center"/>
    </xf>
    <xf numFmtId="0" fontId="3" fillId="2" borderId="16" xfId="6" applyFont="1" applyFill="1" applyBorder="1"/>
    <xf numFmtId="3" fontId="3" fillId="2" borderId="2" xfId="6" applyNumberFormat="1" applyFont="1" applyFill="1" applyBorder="1" applyAlignment="1">
      <alignment horizontal="right"/>
    </xf>
    <xf numFmtId="3" fontId="3" fillId="2" borderId="17" xfId="6" applyNumberFormat="1" applyFont="1" applyFill="1" applyBorder="1" applyAlignment="1">
      <alignment horizontal="right"/>
    </xf>
    <xf numFmtId="0" fontId="3" fillId="2" borderId="2" xfId="6" applyFont="1" applyFill="1" applyBorder="1" applyAlignment="1">
      <alignment horizontal="right"/>
    </xf>
    <xf numFmtId="0" fontId="3" fillId="2" borderId="17" xfId="6" applyFont="1" applyFill="1" applyBorder="1" applyAlignment="1">
      <alignment horizontal="right"/>
    </xf>
    <xf numFmtId="0" fontId="3" fillId="2" borderId="2" xfId="6" applyFont="1" applyFill="1" applyBorder="1"/>
    <xf numFmtId="0" fontId="3" fillId="2" borderId="17" xfId="6" applyFont="1" applyFill="1" applyBorder="1"/>
    <xf numFmtId="0" fontId="3" fillId="2" borderId="18" xfId="6" applyFont="1" applyFill="1" applyBorder="1"/>
    <xf numFmtId="3" fontId="3" fillId="2" borderId="19" xfId="6" applyNumberFormat="1" applyFont="1" applyFill="1" applyBorder="1" applyAlignment="1">
      <alignment horizontal="right"/>
    </xf>
    <xf numFmtId="3" fontId="3" fillId="2" borderId="20" xfId="6" applyNumberFormat="1" applyFont="1" applyFill="1" applyBorder="1" applyAlignment="1">
      <alignment horizontal="right"/>
    </xf>
    <xf numFmtId="3" fontId="3" fillId="2" borderId="0" xfId="6" applyNumberFormat="1" applyFont="1" applyFill="1"/>
    <xf numFmtId="0" fontId="3" fillId="2" borderId="21" xfId="6" applyFont="1" applyFill="1" applyBorder="1"/>
    <xf numFmtId="3" fontId="3" fillId="2" borderId="22" xfId="6" applyNumberFormat="1" applyFont="1" applyFill="1" applyBorder="1"/>
    <xf numFmtId="3" fontId="3" fillId="2" borderId="23" xfId="6" applyNumberFormat="1" applyFont="1" applyFill="1" applyBorder="1"/>
    <xf numFmtId="0" fontId="3" fillId="2" borderId="24" xfId="6" applyFont="1" applyFill="1" applyBorder="1" applyAlignment="1">
      <alignment horizontal="center"/>
    </xf>
    <xf numFmtId="0" fontId="5" fillId="2" borderId="0" xfId="6" applyFont="1" applyFill="1" applyBorder="1" applyAlignment="1"/>
    <xf numFmtId="10" fontId="3" fillId="2" borderId="6" xfId="9" applyNumberFormat="1" applyFont="1" applyFill="1" applyBorder="1" applyAlignment="1"/>
    <xf numFmtId="10" fontId="3" fillId="2" borderId="0" xfId="9" applyNumberFormat="1" applyFont="1" applyFill="1"/>
    <xf numFmtId="167" fontId="3" fillId="2" borderId="0" xfId="1" applyFont="1" applyFill="1"/>
    <xf numFmtId="0" fontId="3" fillId="2" borderId="25" xfId="6" applyFont="1" applyFill="1" applyBorder="1" applyAlignment="1">
      <alignment horizontal="center"/>
    </xf>
    <xf numFmtId="0" fontId="3" fillId="2" borderId="23" xfId="6" applyFont="1" applyFill="1" applyBorder="1" applyAlignment="1">
      <alignment horizontal="center"/>
    </xf>
    <xf numFmtId="168" fontId="3" fillId="2" borderId="0" xfId="1" applyNumberFormat="1" applyFont="1" applyFill="1"/>
    <xf numFmtId="0" fontId="3" fillId="2" borderId="6" xfId="6" applyFont="1" applyFill="1" applyBorder="1"/>
    <xf numFmtId="0" fontId="23" fillId="3" borderId="2" xfId="4" applyFill="1" applyBorder="1"/>
    <xf numFmtId="0" fontId="23" fillId="3" borderId="8" xfId="4" applyFill="1" applyBorder="1"/>
    <xf numFmtId="0" fontId="24" fillId="3" borderId="8" xfId="0" applyFont="1" applyFill="1" applyBorder="1"/>
    <xf numFmtId="0" fontId="0" fillId="3" borderId="4" xfId="0" applyFill="1" applyBorder="1" applyAlignment="1">
      <alignment horizontal="center"/>
    </xf>
    <xf numFmtId="0" fontId="24" fillId="3" borderId="0" xfId="0" applyFont="1" applyFill="1" applyAlignment="1"/>
    <xf numFmtId="0" fontId="0" fillId="3" borderId="8" xfId="0" applyFont="1" applyFill="1" applyBorder="1" applyAlignment="1">
      <alignment horizontal="center"/>
    </xf>
    <xf numFmtId="0" fontId="0" fillId="3" borderId="5" xfId="0" applyFont="1" applyFill="1" applyBorder="1" applyAlignment="1">
      <alignment horizontal="center"/>
    </xf>
    <xf numFmtId="0" fontId="0" fillId="3" borderId="0" xfId="0" applyFont="1" applyFill="1" applyBorder="1" applyAlignment="1">
      <alignment horizontal="center"/>
    </xf>
    <xf numFmtId="0" fontId="24" fillId="3" borderId="21" xfId="0" applyFont="1" applyFill="1" applyBorder="1" applyAlignment="1">
      <alignment horizontal="left"/>
    </xf>
    <xf numFmtId="0" fontId="24" fillId="3" borderId="23" xfId="0" applyFont="1" applyFill="1" applyBorder="1" applyAlignment="1">
      <alignment horizontal="left"/>
    </xf>
    <xf numFmtId="0" fontId="24" fillId="3" borderId="4" xfId="0" applyFont="1" applyFill="1" applyBorder="1" applyAlignment="1">
      <alignment horizontal="left"/>
    </xf>
    <xf numFmtId="0" fontId="24" fillId="3" borderId="7" xfId="0" applyFont="1" applyFill="1" applyBorder="1" applyAlignment="1">
      <alignment horizontal="left"/>
    </xf>
    <xf numFmtId="0" fontId="24" fillId="3" borderId="10" xfId="0" applyFont="1" applyFill="1" applyBorder="1" applyAlignment="1">
      <alignment horizontal="left"/>
    </xf>
    <xf numFmtId="0" fontId="24" fillId="3" borderId="9" xfId="0" applyFont="1" applyFill="1" applyBorder="1" applyAlignment="1">
      <alignment horizontal="left"/>
    </xf>
    <xf numFmtId="0" fontId="24" fillId="4" borderId="22" xfId="0" applyFont="1" applyFill="1" applyBorder="1" applyAlignment="1">
      <alignment horizontal="center"/>
    </xf>
    <xf numFmtId="0" fontId="24" fillId="4" borderId="23" xfId="0" applyFont="1" applyFill="1" applyBorder="1" applyAlignment="1">
      <alignment horizontal="center"/>
    </xf>
    <xf numFmtId="0" fontId="24" fillId="3" borderId="2" xfId="0" applyFont="1" applyFill="1" applyBorder="1"/>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24" fillId="3" borderId="2" xfId="0" applyFont="1" applyFill="1" applyBorder="1" applyAlignment="1">
      <alignment horizontal="center"/>
    </xf>
    <xf numFmtId="0" fontId="24" fillId="3" borderId="5" xfId="0" applyFont="1" applyFill="1" applyBorder="1" applyAlignment="1">
      <alignment horizontal="center"/>
    </xf>
    <xf numFmtId="0" fontId="24" fillId="3" borderId="0" xfId="0" applyFont="1" applyFill="1" applyBorder="1"/>
    <xf numFmtId="0" fontId="0" fillId="3" borderId="10" xfId="0" applyFill="1" applyBorder="1"/>
    <xf numFmtId="0" fontId="0" fillId="3" borderId="11" xfId="0" applyFill="1" applyBorder="1"/>
    <xf numFmtId="20" fontId="0" fillId="3" borderId="2" xfId="0" applyNumberFormat="1" applyFill="1" applyBorder="1"/>
    <xf numFmtId="14" fontId="25" fillId="3" borderId="3" xfId="0" applyNumberFormat="1" applyFont="1" applyFill="1" applyBorder="1"/>
    <xf numFmtId="0" fontId="24" fillId="5" borderId="21" xfId="0" applyFont="1" applyFill="1" applyBorder="1"/>
    <xf numFmtId="0" fontId="0" fillId="5" borderId="22" xfId="0" applyFill="1" applyBorder="1"/>
    <xf numFmtId="0" fontId="0" fillId="5" borderId="23" xfId="0" applyFill="1" applyBorder="1"/>
    <xf numFmtId="0" fontId="0" fillId="3" borderId="1" xfId="0" applyFont="1" applyFill="1" applyBorder="1"/>
    <xf numFmtId="0" fontId="24" fillId="3" borderId="1" xfId="0" applyFont="1" applyFill="1" applyBorder="1"/>
    <xf numFmtId="0" fontId="0" fillId="3" borderId="2" xfId="0" applyFont="1" applyFill="1" applyBorder="1"/>
    <xf numFmtId="0" fontId="24" fillId="3" borderId="1" xfId="0" applyFont="1" applyFill="1" applyBorder="1" applyAlignment="1">
      <alignment horizontal="center"/>
    </xf>
    <xf numFmtId="0" fontId="24" fillId="3" borderId="4" xfId="0" applyFont="1" applyFill="1" applyBorder="1" applyAlignment="1">
      <alignment horizontal="center"/>
    </xf>
    <xf numFmtId="0" fontId="24" fillId="3" borderId="3" xfId="0" applyFont="1" applyFill="1" applyBorder="1"/>
    <xf numFmtId="0" fontId="23" fillId="3" borderId="0" xfId="4" applyFill="1"/>
    <xf numFmtId="0" fontId="4" fillId="2" borderId="0" xfId="4" applyFont="1" applyFill="1" applyAlignment="1" applyProtection="1"/>
    <xf numFmtId="0" fontId="7" fillId="2" borderId="0" xfId="6" applyFont="1" applyFill="1" applyBorder="1"/>
    <xf numFmtId="0" fontId="8" fillId="2" borderId="0" xfId="6" applyFont="1" applyFill="1" applyBorder="1"/>
    <xf numFmtId="0" fontId="3" fillId="2" borderId="26" xfId="6" applyFont="1" applyFill="1" applyBorder="1"/>
    <xf numFmtId="0" fontId="3" fillId="2" borderId="27" xfId="6" applyFont="1" applyFill="1" applyBorder="1"/>
    <xf numFmtId="0" fontId="5" fillId="2" borderId="28" xfId="6" applyFont="1" applyFill="1" applyBorder="1"/>
    <xf numFmtId="0" fontId="3" fillId="2" borderId="29" xfId="6" applyFont="1" applyFill="1" applyBorder="1"/>
    <xf numFmtId="0" fontId="5" fillId="2" borderId="28" xfId="6" applyFont="1" applyFill="1" applyBorder="1" applyAlignment="1">
      <alignment horizontal="center"/>
    </xf>
    <xf numFmtId="0" fontId="5" fillId="2" borderId="30" xfId="6" applyFont="1" applyFill="1" applyBorder="1" applyAlignment="1">
      <alignment horizontal="center"/>
    </xf>
    <xf numFmtId="0" fontId="5" fillId="2" borderId="31" xfId="6" applyFont="1" applyFill="1" applyBorder="1" applyAlignment="1">
      <alignment horizontal="center"/>
    </xf>
    <xf numFmtId="0" fontId="5" fillId="2" borderId="32" xfId="6" applyFont="1" applyFill="1" applyBorder="1" applyAlignment="1">
      <alignment horizontal="center"/>
    </xf>
    <xf numFmtId="169" fontId="3" fillId="5" borderId="33" xfId="6" applyNumberFormat="1" applyFont="1" applyFill="1" applyBorder="1"/>
    <xf numFmtId="169" fontId="3" fillId="5" borderId="34" xfId="6" applyNumberFormat="1" applyFont="1" applyFill="1" applyBorder="1"/>
    <xf numFmtId="169" fontId="3" fillId="2" borderId="10" xfId="6" applyNumberFormat="1" applyFont="1" applyFill="1" applyBorder="1"/>
    <xf numFmtId="169" fontId="3" fillId="2" borderId="10" xfId="6" applyNumberFormat="1" applyFont="1" applyFill="1" applyBorder="1" applyProtection="1">
      <protection locked="0"/>
    </xf>
    <xf numFmtId="169" fontId="3" fillId="2" borderId="35" xfId="6" applyNumberFormat="1" applyFont="1" applyFill="1" applyBorder="1" applyProtection="1">
      <protection locked="0"/>
    </xf>
    <xf numFmtId="169" fontId="3" fillId="2" borderId="36" xfId="6" applyNumberFormat="1" applyFont="1" applyFill="1" applyBorder="1"/>
    <xf numFmtId="169" fontId="3" fillId="2" borderId="36" xfId="6" applyNumberFormat="1" applyFont="1" applyFill="1" applyBorder="1" applyProtection="1">
      <protection locked="0"/>
    </xf>
    <xf numFmtId="0" fontId="3" fillId="2" borderId="37" xfId="6" applyFont="1" applyFill="1" applyBorder="1"/>
    <xf numFmtId="0" fontId="3" fillId="2" borderId="22" xfId="6" applyFont="1" applyFill="1" applyBorder="1"/>
    <xf numFmtId="169" fontId="3" fillId="5" borderId="38" xfId="6" applyNumberFormat="1" applyFont="1" applyFill="1" applyBorder="1"/>
    <xf numFmtId="169" fontId="3" fillId="5" borderId="39" xfId="6" applyNumberFormat="1" applyFont="1" applyFill="1" applyBorder="1"/>
    <xf numFmtId="169" fontId="3" fillId="2" borderId="21" xfId="6" applyNumberFormat="1" applyFont="1" applyFill="1" applyBorder="1" applyProtection="1">
      <protection locked="0"/>
    </xf>
    <xf numFmtId="169" fontId="3" fillId="2" borderId="38" xfId="6" applyNumberFormat="1" applyFont="1" applyFill="1" applyBorder="1"/>
    <xf numFmtId="169" fontId="3" fillId="2" borderId="39" xfId="6" applyNumberFormat="1" applyFont="1" applyFill="1" applyBorder="1" applyProtection="1">
      <protection locked="0"/>
    </xf>
    <xf numFmtId="169" fontId="3" fillId="2" borderId="38" xfId="6" applyNumberFormat="1" applyFont="1" applyFill="1" applyBorder="1" applyProtection="1">
      <protection locked="0"/>
    </xf>
    <xf numFmtId="169" fontId="3" fillId="2" borderId="22" xfId="6" applyNumberFormat="1" applyFont="1" applyFill="1" applyBorder="1" applyProtection="1">
      <protection locked="0"/>
    </xf>
    <xf numFmtId="169" fontId="3" fillId="2" borderId="40" xfId="6" applyNumberFormat="1" applyFont="1" applyFill="1" applyBorder="1"/>
    <xf numFmtId="0" fontId="3" fillId="2" borderId="41" xfId="6" applyFont="1" applyFill="1" applyBorder="1"/>
    <xf numFmtId="169" fontId="3" fillId="6" borderId="38" xfId="6" applyNumberFormat="1" applyFont="1" applyFill="1" applyBorder="1"/>
    <xf numFmtId="169" fontId="3" fillId="6" borderId="39" xfId="6" applyNumberFormat="1" applyFont="1" applyFill="1" applyBorder="1"/>
    <xf numFmtId="169" fontId="3" fillId="2" borderId="39" xfId="6" applyNumberFormat="1" applyFont="1" applyFill="1" applyBorder="1"/>
    <xf numFmtId="169" fontId="3" fillId="2" borderId="37" xfId="6" applyNumberFormat="1" applyFont="1" applyFill="1" applyBorder="1" applyProtection="1">
      <protection locked="0"/>
    </xf>
    <xf numFmtId="169" fontId="3" fillId="2" borderId="37" xfId="6" applyNumberFormat="1" applyFont="1" applyFill="1" applyBorder="1"/>
    <xf numFmtId="169" fontId="5" fillId="2" borderId="39" xfId="6" applyNumberFormat="1" applyFont="1" applyFill="1" applyBorder="1" applyProtection="1">
      <protection locked="0"/>
    </xf>
    <xf numFmtId="169" fontId="3" fillId="2" borderId="21" xfId="6" applyNumberFormat="1" applyFont="1" applyFill="1" applyBorder="1"/>
    <xf numFmtId="169" fontId="3" fillId="6" borderId="32" xfId="6" applyNumberFormat="1" applyFont="1" applyFill="1" applyBorder="1"/>
    <xf numFmtId="169" fontId="3" fillId="6" borderId="31" xfId="6" applyNumberFormat="1" applyFont="1" applyFill="1" applyBorder="1"/>
    <xf numFmtId="169" fontId="3" fillId="2" borderId="7" xfId="6" applyNumberFormat="1" applyFont="1" applyFill="1" applyBorder="1" applyProtection="1">
      <protection locked="0"/>
    </xf>
    <xf numFmtId="169" fontId="3" fillId="2" borderId="4" xfId="6" applyNumberFormat="1" applyFont="1" applyFill="1" applyBorder="1" applyProtection="1">
      <protection locked="0"/>
    </xf>
    <xf numFmtId="169" fontId="3" fillId="2" borderId="40" xfId="6" applyNumberFormat="1" applyFont="1" applyFill="1" applyBorder="1" applyProtection="1">
      <protection locked="0"/>
    </xf>
    <xf numFmtId="169" fontId="3" fillId="2" borderId="42" xfId="6" applyNumberFormat="1" applyFont="1" applyFill="1" applyBorder="1" applyProtection="1">
      <protection locked="0"/>
    </xf>
    <xf numFmtId="169" fontId="3" fillId="2" borderId="42" xfId="6" applyNumberFormat="1" applyFont="1" applyFill="1" applyBorder="1"/>
    <xf numFmtId="0" fontId="3" fillId="2" borderId="43" xfId="6" applyFont="1" applyFill="1" applyBorder="1"/>
    <xf numFmtId="169" fontId="3" fillId="2" borderId="33" xfId="6" applyNumberFormat="1" applyFont="1" applyFill="1" applyBorder="1"/>
    <xf numFmtId="169" fontId="3" fillId="2" borderId="34" xfId="6" applyNumberFormat="1" applyFont="1" applyFill="1" applyBorder="1"/>
    <xf numFmtId="169" fontId="3" fillId="2" borderId="44" xfId="6" applyNumberFormat="1" applyFont="1" applyFill="1" applyBorder="1"/>
    <xf numFmtId="169" fontId="3" fillId="2" borderId="45" xfId="6" applyNumberFormat="1" applyFont="1" applyFill="1" applyBorder="1"/>
    <xf numFmtId="169" fontId="5" fillId="2" borderId="33" xfId="6" applyNumberFormat="1" applyFont="1" applyFill="1" applyBorder="1"/>
    <xf numFmtId="0" fontId="3" fillId="2" borderId="37" xfId="6" applyFont="1" applyFill="1" applyBorder="1" applyProtection="1">
      <protection locked="0"/>
    </xf>
    <xf numFmtId="0" fontId="3" fillId="2" borderId="0" xfId="6" applyFont="1" applyFill="1" applyProtection="1">
      <protection locked="0"/>
    </xf>
    <xf numFmtId="169" fontId="7" fillId="2" borderId="39" xfId="6" applyNumberFormat="1" applyFont="1" applyFill="1" applyBorder="1" applyProtection="1">
      <protection locked="0"/>
    </xf>
    <xf numFmtId="0" fontId="3" fillId="2" borderId="18" xfId="6" applyFont="1" applyFill="1" applyBorder="1" applyProtection="1">
      <protection locked="0"/>
    </xf>
    <xf numFmtId="0" fontId="3" fillId="2" borderId="29" xfId="6" applyFont="1" applyFill="1" applyBorder="1" applyProtection="1">
      <protection locked="0"/>
    </xf>
    <xf numFmtId="169" fontId="3" fillId="2" borderId="32" xfId="6" applyNumberFormat="1" applyFont="1" applyFill="1" applyBorder="1" applyProtection="1">
      <protection locked="0"/>
    </xf>
    <xf numFmtId="169" fontId="3" fillId="2" borderId="31" xfId="6" applyNumberFormat="1" applyFont="1" applyFill="1" applyBorder="1" applyProtection="1">
      <protection locked="0"/>
    </xf>
    <xf numFmtId="169" fontId="3" fillId="2" borderId="30" xfId="6" applyNumberFormat="1" applyFont="1" applyFill="1" applyBorder="1" applyProtection="1">
      <protection locked="0"/>
    </xf>
    <xf numFmtId="169" fontId="5" fillId="2" borderId="32" xfId="6" applyNumberFormat="1" applyFont="1" applyFill="1" applyBorder="1" applyProtection="1">
      <protection locked="0"/>
    </xf>
    <xf numFmtId="169" fontId="5" fillId="2" borderId="31" xfId="6" applyNumberFormat="1" applyFont="1" applyFill="1" applyBorder="1" applyProtection="1">
      <protection locked="0"/>
    </xf>
    <xf numFmtId="0" fontId="26" fillId="7" borderId="0" xfId="0" applyFont="1" applyFill="1"/>
    <xf numFmtId="0" fontId="27" fillId="7" borderId="0" xfId="0" applyFont="1" applyFill="1"/>
    <xf numFmtId="0" fontId="27" fillId="7" borderId="0" xfId="0" applyFont="1" applyFill="1" applyAlignment="1">
      <alignment horizontal="left"/>
    </xf>
    <xf numFmtId="0" fontId="27" fillId="7" borderId="2" xfId="0" applyFont="1" applyFill="1" applyBorder="1" applyAlignment="1">
      <alignment horizontal="center"/>
    </xf>
    <xf numFmtId="0" fontId="27" fillId="7" borderId="8" xfId="0" applyFont="1" applyFill="1" applyBorder="1" applyAlignment="1">
      <alignment horizontal="center"/>
    </xf>
    <xf numFmtId="0" fontId="27" fillId="7" borderId="3" xfId="0" applyFont="1" applyFill="1" applyBorder="1" applyAlignment="1">
      <alignment horizontal="center"/>
    </xf>
    <xf numFmtId="0" fontId="27" fillId="7" borderId="9" xfId="0" applyFont="1" applyFill="1" applyBorder="1" applyAlignment="1">
      <alignment horizontal="center"/>
    </xf>
    <xf numFmtId="3" fontId="4" fillId="2" borderId="0" xfId="6" applyNumberFormat="1" applyFont="1" applyFill="1" applyBorder="1"/>
    <xf numFmtId="3" fontId="3" fillId="2" borderId="0" xfId="6" applyNumberFormat="1" applyFont="1" applyFill="1" applyBorder="1"/>
    <xf numFmtId="0" fontId="23" fillId="2" borderId="0" xfId="4" applyFill="1" applyAlignment="1" applyProtection="1"/>
    <xf numFmtId="3" fontId="5" fillId="2" borderId="0" xfId="6" applyNumberFormat="1" applyFont="1" applyFill="1" applyBorder="1"/>
    <xf numFmtId="3" fontId="4" fillId="2" borderId="0" xfId="4" applyNumberFormat="1" applyFont="1" applyFill="1" applyAlignment="1" applyProtection="1"/>
    <xf numFmtId="3" fontId="4" fillId="2" borderId="0" xfId="6" applyNumberFormat="1" applyFont="1" applyFill="1" applyBorder="1" applyAlignment="1">
      <alignment horizontal="right"/>
    </xf>
    <xf numFmtId="3" fontId="3" fillId="2" borderId="0" xfId="6" applyNumberFormat="1" applyFont="1" applyFill="1" applyBorder="1" applyAlignment="1">
      <alignment horizontal="left"/>
    </xf>
    <xf numFmtId="3" fontId="3" fillId="2" borderId="0" xfId="6" applyNumberFormat="1" applyFont="1" applyFill="1" applyBorder="1" applyAlignment="1">
      <alignment horizontal="right"/>
    </xf>
    <xf numFmtId="0" fontId="23" fillId="3" borderId="2" xfId="4" applyFill="1" applyBorder="1" applyAlignment="1">
      <alignment horizontal="left"/>
    </xf>
    <xf numFmtId="3" fontId="3" fillId="2" borderId="11" xfId="6" applyNumberFormat="1" applyFont="1" applyFill="1" applyBorder="1" applyAlignment="1">
      <alignment horizontal="right"/>
    </xf>
    <xf numFmtId="3" fontId="3" fillId="2" borderId="11" xfId="6" applyNumberFormat="1" applyFont="1" applyFill="1" applyBorder="1" applyAlignment="1">
      <alignment horizontal="left"/>
    </xf>
    <xf numFmtId="3" fontId="3" fillId="2" borderId="11" xfId="6" applyNumberFormat="1" applyFont="1" applyFill="1" applyBorder="1" applyAlignment="1">
      <alignment horizontal="center"/>
    </xf>
    <xf numFmtId="3" fontId="3" fillId="2" borderId="21" xfId="6" applyNumberFormat="1" applyFont="1" applyFill="1" applyBorder="1" applyAlignment="1">
      <alignment horizontal="center"/>
    </xf>
    <xf numFmtId="3" fontId="3" fillId="2" borderId="22" xfId="6" applyNumberFormat="1" applyFont="1" applyFill="1" applyBorder="1" applyAlignment="1">
      <alignment horizontal="center"/>
    </xf>
    <xf numFmtId="3" fontId="3" fillId="2" borderId="5" xfId="6" applyNumberFormat="1" applyFont="1" applyFill="1" applyBorder="1"/>
    <xf numFmtId="3" fontId="4" fillId="2" borderId="0" xfId="6" applyNumberFormat="1" applyFont="1" applyFill="1"/>
    <xf numFmtId="3" fontId="8" fillId="2" borderId="0" xfId="6" applyNumberFormat="1" applyFont="1" applyFill="1" applyAlignment="1">
      <alignment horizontal="left"/>
    </xf>
    <xf numFmtId="3" fontId="5" fillId="2" borderId="0" xfId="6" applyNumberFormat="1" applyFont="1" applyFill="1" applyAlignment="1">
      <alignment horizontal="left"/>
    </xf>
    <xf numFmtId="3" fontId="9" fillId="2" borderId="0" xfId="6" applyNumberFormat="1" applyFont="1" applyFill="1"/>
    <xf numFmtId="3" fontId="3" fillId="2" borderId="11" xfId="6" applyNumberFormat="1" applyFont="1" applyFill="1" applyBorder="1"/>
    <xf numFmtId="3" fontId="5" fillId="2" borderId="0" xfId="6" applyNumberFormat="1" applyFont="1" applyFill="1"/>
    <xf numFmtId="3" fontId="5" fillId="2" borderId="4" xfId="6" applyNumberFormat="1" applyFont="1" applyFill="1" applyBorder="1"/>
    <xf numFmtId="3" fontId="3" fillId="2" borderId="7" xfId="6" applyNumberFormat="1" applyFont="1" applyFill="1" applyBorder="1"/>
    <xf numFmtId="3" fontId="3" fillId="2" borderId="8" xfId="6" applyNumberFormat="1" applyFont="1" applyFill="1" applyBorder="1"/>
    <xf numFmtId="3" fontId="5" fillId="2" borderId="5" xfId="6" applyNumberFormat="1" applyFont="1" applyFill="1" applyBorder="1"/>
    <xf numFmtId="3" fontId="3" fillId="2" borderId="10" xfId="6" applyNumberFormat="1" applyFont="1" applyFill="1" applyBorder="1"/>
    <xf numFmtId="3" fontId="3" fillId="2" borderId="9" xfId="6" applyNumberFormat="1" applyFont="1" applyFill="1" applyBorder="1"/>
    <xf numFmtId="0" fontId="0" fillId="8" borderId="0" xfId="0" applyFill="1"/>
    <xf numFmtId="0" fontId="24" fillId="3" borderId="3" xfId="0" applyFont="1" applyFill="1" applyBorder="1" applyAlignment="1">
      <alignment horizontal="center"/>
    </xf>
    <xf numFmtId="0" fontId="25" fillId="3" borderId="2" xfId="0" applyFont="1" applyFill="1" applyBorder="1"/>
    <xf numFmtId="0" fontId="0" fillId="3" borderId="3" xfId="0" applyFont="1" applyFill="1" applyBorder="1"/>
    <xf numFmtId="0" fontId="0" fillId="4" borderId="22" xfId="0" applyFill="1" applyBorder="1"/>
    <xf numFmtId="0" fontId="0" fillId="4" borderId="23" xfId="0" applyFill="1" applyBorder="1"/>
    <xf numFmtId="0" fontId="24" fillId="4" borderId="21" xfId="0" applyFont="1" applyFill="1" applyBorder="1"/>
    <xf numFmtId="0" fontId="24" fillId="4" borderId="21" xfId="0" applyFont="1" applyFill="1" applyBorder="1" applyAlignment="1">
      <alignment horizontal="left"/>
    </xf>
    <xf numFmtId="0" fontId="0" fillId="9" borderId="0" xfId="0" applyFill="1"/>
    <xf numFmtId="0" fontId="23" fillId="3" borderId="0" xfId="4" quotePrefix="1" applyFill="1"/>
    <xf numFmtId="0" fontId="3" fillId="2" borderId="6" xfId="6" applyFont="1" applyFill="1" applyBorder="1" applyAlignment="1">
      <alignment horizontal="right"/>
    </xf>
    <xf numFmtId="0" fontId="3" fillId="2" borderId="7" xfId="6" applyFont="1" applyFill="1" applyBorder="1" applyAlignment="1">
      <alignment horizontal="right"/>
    </xf>
    <xf numFmtId="0" fontId="3" fillId="2" borderId="8" xfId="6" applyFont="1" applyFill="1" applyBorder="1"/>
    <xf numFmtId="0" fontId="3" fillId="2" borderId="11" xfId="6" applyFont="1" applyFill="1" applyBorder="1"/>
    <xf numFmtId="0" fontId="3" fillId="2" borderId="9" xfId="6" applyFont="1" applyFill="1" applyBorder="1"/>
    <xf numFmtId="9" fontId="3" fillId="2" borderId="6" xfId="6" applyNumberFormat="1" applyFont="1" applyFill="1" applyBorder="1" applyAlignment="1">
      <alignment horizontal="right"/>
    </xf>
    <xf numFmtId="9" fontId="3" fillId="2" borderId="7" xfId="6" applyNumberFormat="1" applyFont="1" applyFill="1" applyBorder="1" applyAlignment="1">
      <alignment horizontal="right"/>
    </xf>
    <xf numFmtId="170" fontId="3" fillId="2" borderId="0" xfId="6" applyNumberFormat="1" applyFont="1" applyFill="1" applyBorder="1"/>
    <xf numFmtId="170" fontId="3" fillId="2" borderId="8" xfId="6" applyNumberFormat="1" applyFont="1" applyFill="1" applyBorder="1"/>
    <xf numFmtId="170" fontId="3" fillId="2" borderId="11" xfId="6" applyNumberFormat="1" applyFont="1" applyFill="1" applyBorder="1"/>
    <xf numFmtId="170" fontId="3" fillId="2" borderId="9" xfId="6" applyNumberFormat="1" applyFont="1" applyFill="1" applyBorder="1"/>
    <xf numFmtId="0" fontId="5" fillId="10" borderId="0" xfId="6" applyFont="1" applyFill="1" applyBorder="1"/>
    <xf numFmtId="0" fontId="3" fillId="10" borderId="0" xfId="6" applyFont="1" applyFill="1" applyBorder="1"/>
    <xf numFmtId="0" fontId="0" fillId="10" borderId="0" xfId="0" applyFill="1"/>
    <xf numFmtId="0" fontId="28" fillId="3" borderId="0" xfId="0" applyFont="1" applyFill="1"/>
    <xf numFmtId="0" fontId="29" fillId="3" borderId="0" xfId="5" applyFont="1" applyFill="1"/>
    <xf numFmtId="0" fontId="30" fillId="3" borderId="0" xfId="0" applyFont="1" applyFill="1"/>
    <xf numFmtId="20" fontId="28" fillId="3" borderId="0" xfId="0" applyNumberFormat="1" applyFont="1" applyFill="1"/>
    <xf numFmtId="0" fontId="28" fillId="0" borderId="25" xfId="0" applyFont="1" applyBorder="1" applyAlignment="1">
      <alignment horizontal="justify" vertical="center" wrapText="1"/>
    </xf>
    <xf numFmtId="0" fontId="28" fillId="0" borderId="25" xfId="0" applyFont="1" applyBorder="1" applyAlignment="1">
      <alignment horizontal="left" vertical="top" wrapText="1"/>
    </xf>
    <xf numFmtId="0" fontId="28" fillId="0" borderId="25" xfId="0" applyFont="1" applyBorder="1" applyAlignment="1">
      <alignment horizontal="center" vertical="center" wrapText="1"/>
    </xf>
    <xf numFmtId="0" fontId="31" fillId="0" borderId="25" xfId="0" applyFont="1" applyBorder="1" applyAlignment="1">
      <alignment horizontal="justify" vertical="center" wrapText="1"/>
    </xf>
    <xf numFmtId="0" fontId="23" fillId="3" borderId="2" xfId="4" quotePrefix="1" applyFill="1" applyBorder="1" applyAlignment="1">
      <alignment horizontal="left"/>
    </xf>
    <xf numFmtId="3" fontId="5" fillId="2" borderId="0" xfId="6" applyNumberFormat="1" applyFont="1" applyFill="1" applyAlignment="1">
      <alignment horizontal="right"/>
    </xf>
    <xf numFmtId="3" fontId="3" fillId="2" borderId="7" xfId="6" applyNumberFormat="1" applyFont="1" applyFill="1" applyBorder="1" applyAlignment="1">
      <alignment horizontal="right"/>
    </xf>
    <xf numFmtId="0" fontId="28" fillId="3" borderId="0" xfId="0" applyFont="1" applyFill="1" applyBorder="1"/>
    <xf numFmtId="0" fontId="28" fillId="3" borderId="0" xfId="0" applyFont="1" applyFill="1" applyBorder="1" applyAlignment="1">
      <alignment horizontal="justify" vertical="center" wrapText="1"/>
    </xf>
    <xf numFmtId="0" fontId="28" fillId="3" borderId="0" xfId="0" applyFont="1" applyFill="1" applyBorder="1" applyAlignment="1">
      <alignment horizontal="left" vertical="top" wrapText="1"/>
    </xf>
    <xf numFmtId="0" fontId="32" fillId="3" borderId="0" xfId="0" applyFont="1" applyFill="1" applyBorder="1" applyAlignment="1">
      <alignment horizontal="left" vertical="center" wrapText="1"/>
    </xf>
    <xf numFmtId="0" fontId="31" fillId="3" borderId="0" xfId="0" applyFont="1" applyFill="1" applyBorder="1"/>
    <xf numFmtId="0" fontId="28" fillId="3" borderId="0" xfId="0" applyFont="1" applyFill="1" applyBorder="1" applyAlignment="1">
      <alignment horizontal="left" vertical="center" wrapText="1"/>
    </xf>
    <xf numFmtId="0" fontId="31" fillId="3" borderId="0" xfId="0" applyFont="1" applyFill="1" applyBorder="1" applyAlignment="1">
      <alignment horizontal="left" vertical="center" wrapText="1"/>
    </xf>
    <xf numFmtId="0" fontId="31" fillId="3" borderId="0" xfId="0" applyFont="1" applyFill="1" applyBorder="1" applyAlignment="1">
      <alignment horizontal="justify" vertical="center" wrapText="1"/>
    </xf>
    <xf numFmtId="0" fontId="33" fillId="3" borderId="0" xfId="0" applyFont="1" applyFill="1" applyBorder="1" applyAlignment="1">
      <alignment horizontal="left" vertical="center" wrapText="1"/>
    </xf>
    <xf numFmtId="0" fontId="34" fillId="3" borderId="0" xfId="0" applyFont="1" applyFill="1" applyBorder="1"/>
    <xf numFmtId="0" fontId="35" fillId="3" borderId="0" xfId="0" applyFont="1" applyFill="1"/>
    <xf numFmtId="0" fontId="31" fillId="3" borderId="0" xfId="0" applyFont="1" applyFill="1" applyBorder="1" applyAlignment="1">
      <alignment horizontal="left"/>
    </xf>
    <xf numFmtId="0" fontId="36" fillId="7" borderId="0" xfId="0" applyFont="1" applyFill="1" applyAlignment="1">
      <alignment horizontal="left" vertical="center" wrapText="1"/>
    </xf>
    <xf numFmtId="0" fontId="37" fillId="7" borderId="0" xfId="0" applyFont="1" applyFill="1" applyAlignment="1">
      <alignment horizontal="justify" vertical="center" wrapText="1"/>
    </xf>
    <xf numFmtId="0" fontId="37" fillId="7" borderId="0" xfId="0" applyFont="1" applyFill="1" applyAlignment="1">
      <alignment horizontal="right"/>
    </xf>
    <xf numFmtId="0" fontId="36" fillId="7" borderId="4" xfId="0" applyFont="1" applyFill="1" applyBorder="1" applyAlignment="1">
      <alignment horizontal="left" vertical="center" wrapText="1"/>
    </xf>
    <xf numFmtId="169" fontId="37" fillId="7" borderId="7" xfId="0" applyNumberFormat="1" applyFont="1" applyFill="1" applyBorder="1" applyAlignment="1">
      <alignment horizontal="justify" vertical="center" wrapText="1"/>
    </xf>
    <xf numFmtId="0" fontId="37" fillId="7" borderId="7" xfId="0" applyFont="1" applyFill="1" applyBorder="1" applyAlignment="1">
      <alignment horizontal="right"/>
    </xf>
    <xf numFmtId="0" fontId="37" fillId="7" borderId="21" xfId="0" applyFont="1" applyFill="1" applyBorder="1" applyAlignment="1">
      <alignment horizontal="left" wrapText="1"/>
    </xf>
    <xf numFmtId="0" fontId="37" fillId="7" borderId="22" xfId="0" applyFont="1" applyFill="1" applyBorder="1"/>
    <xf numFmtId="0" fontId="37" fillId="7" borderId="21" xfId="0" applyFont="1" applyFill="1" applyBorder="1"/>
    <xf numFmtId="0" fontId="37" fillId="7" borderId="23" xfId="0" applyFont="1" applyFill="1" applyBorder="1"/>
    <xf numFmtId="0" fontId="37" fillId="7" borderId="5" xfId="0" applyFont="1" applyFill="1" applyBorder="1" applyAlignment="1">
      <alignment horizontal="left" vertical="center" wrapText="1"/>
    </xf>
    <xf numFmtId="169" fontId="37" fillId="7" borderId="8" xfId="0" applyNumberFormat="1" applyFont="1" applyFill="1" applyBorder="1" applyAlignment="1">
      <alignment horizontal="justify" vertical="center" wrapText="1"/>
    </xf>
    <xf numFmtId="0" fontId="37" fillId="7" borderId="8" xfId="0" applyFont="1" applyFill="1" applyBorder="1" applyAlignment="1">
      <alignment horizontal="right"/>
    </xf>
    <xf numFmtId="0" fontId="37" fillId="7" borderId="5" xfId="0" applyFont="1" applyFill="1" applyBorder="1"/>
    <xf numFmtId="0" fontId="36" fillId="7" borderId="5" xfId="0" applyFont="1" applyFill="1" applyBorder="1" applyAlignment="1">
      <alignment horizontal="left" vertical="center" wrapText="1"/>
    </xf>
    <xf numFmtId="169" fontId="37" fillId="7" borderId="8" xfId="0" applyNumberFormat="1" applyFont="1" applyFill="1" applyBorder="1" applyAlignment="1">
      <alignment horizontal="right"/>
    </xf>
    <xf numFmtId="0" fontId="36" fillId="7" borderId="5" xfId="0" applyFont="1" applyFill="1" applyBorder="1"/>
    <xf numFmtId="0" fontId="37" fillId="7" borderId="8" xfId="0" applyFont="1" applyFill="1" applyBorder="1"/>
    <xf numFmtId="0" fontId="37" fillId="7" borderId="23" xfId="0" applyFont="1" applyFill="1" applyBorder="1" applyAlignment="1">
      <alignment horizontal="right"/>
    </xf>
    <xf numFmtId="0" fontId="37" fillId="7" borderId="10" xfId="0" applyFont="1" applyFill="1" applyBorder="1"/>
    <xf numFmtId="0" fontId="37" fillId="7" borderId="11" xfId="0" applyFont="1" applyFill="1" applyBorder="1" applyAlignment="1">
      <alignment horizontal="right"/>
    </xf>
    <xf numFmtId="0" fontId="37" fillId="7" borderId="9" xfId="0" applyFont="1" applyFill="1" applyBorder="1" applyAlignment="1">
      <alignment horizontal="right"/>
    </xf>
    <xf numFmtId="0" fontId="37" fillId="7" borderId="10" xfId="0" applyFont="1" applyFill="1" applyBorder="1" applyAlignment="1">
      <alignment horizontal="left" wrapText="1"/>
    </xf>
    <xf numFmtId="169" fontId="37" fillId="7" borderId="9" xfId="0" applyNumberFormat="1" applyFont="1" applyFill="1" applyBorder="1"/>
    <xf numFmtId="0" fontId="37" fillId="7" borderId="9" xfId="0" applyFont="1" applyFill="1" applyBorder="1"/>
    <xf numFmtId="0" fontId="37" fillId="7" borderId="11" xfId="0" applyFont="1" applyFill="1" applyBorder="1"/>
    <xf numFmtId="0" fontId="37" fillId="7" borderId="10" xfId="0" applyFont="1" applyFill="1" applyBorder="1" applyAlignment="1">
      <alignment horizontal="left" vertical="center" wrapText="1"/>
    </xf>
    <xf numFmtId="169" fontId="37" fillId="7" borderId="9" xfId="0" applyNumberFormat="1" applyFont="1" applyFill="1" applyBorder="1" applyAlignment="1">
      <alignment horizontal="right"/>
    </xf>
    <xf numFmtId="0" fontId="37" fillId="7" borderId="0" xfId="0" applyFont="1" applyFill="1"/>
    <xf numFmtId="0" fontId="36" fillId="7" borderId="0" xfId="0" applyFont="1" applyFill="1"/>
    <xf numFmtId="0" fontId="37" fillId="7" borderId="4" xfId="0" applyFont="1" applyFill="1" applyBorder="1"/>
    <xf numFmtId="0" fontId="37" fillId="7" borderId="6" xfId="0" applyFont="1" applyFill="1" applyBorder="1"/>
    <xf numFmtId="0" fontId="37" fillId="7" borderId="7" xfId="0" applyFont="1" applyFill="1" applyBorder="1"/>
    <xf numFmtId="169" fontId="37" fillId="7" borderId="0" xfId="0" applyNumberFormat="1" applyFont="1" applyFill="1"/>
    <xf numFmtId="0" fontId="38" fillId="7" borderId="9" xfId="0" applyFont="1" applyFill="1" applyBorder="1"/>
    <xf numFmtId="0" fontId="38" fillId="7" borderId="0" xfId="0" applyFont="1" applyFill="1"/>
    <xf numFmtId="0" fontId="24" fillId="3" borderId="0" xfId="0" applyFont="1" applyFill="1"/>
    <xf numFmtId="0" fontId="37" fillId="7" borderId="11" xfId="0" applyFont="1" applyFill="1" applyBorder="1" applyAlignment="1">
      <alignment horizontal="justify" vertical="center" wrapText="1"/>
    </xf>
    <xf numFmtId="0" fontId="37" fillId="7" borderId="11" xfId="0" applyFont="1" applyFill="1" applyBorder="1" applyAlignment="1">
      <alignment horizontal="right" vertical="center" wrapText="1"/>
    </xf>
    <xf numFmtId="0" fontId="39" fillId="7" borderId="0" xfId="0" applyFont="1" applyFill="1" applyAlignment="1">
      <alignment horizontal="left" vertical="top" wrapText="1"/>
    </xf>
    <xf numFmtId="0" fontId="37" fillId="7" borderId="0" xfId="0" applyFont="1" applyFill="1" applyAlignment="1">
      <alignment horizontal="left" vertical="top" wrapText="1"/>
    </xf>
    <xf numFmtId="3" fontId="37" fillId="7" borderId="0" xfId="0" applyNumberFormat="1" applyFont="1" applyFill="1" applyAlignment="1">
      <alignment horizontal="right" vertical="center" wrapText="1"/>
    </xf>
    <xf numFmtId="0" fontId="37" fillId="7" borderId="0" xfId="0" applyFont="1" applyFill="1" applyAlignment="1">
      <alignment horizontal="right" vertical="center" wrapText="1"/>
    </xf>
    <xf numFmtId="3" fontId="39" fillId="7" borderId="0" xfId="0" applyNumberFormat="1" applyFont="1" applyFill="1" applyAlignment="1">
      <alignment horizontal="justify" vertical="center" wrapText="1"/>
    </xf>
    <xf numFmtId="0" fontId="37" fillId="7" borderId="0" xfId="0" applyFont="1" applyFill="1" applyAlignment="1">
      <alignment horizontal="left"/>
    </xf>
    <xf numFmtId="0" fontId="37" fillId="7" borderId="0" xfId="0" applyFont="1" applyFill="1" applyAlignment="1" applyProtection="1">
      <alignment horizontal="justify" vertical="center" wrapText="1"/>
      <protection locked="0"/>
    </xf>
    <xf numFmtId="0" fontId="39" fillId="7" borderId="0" xfId="0" applyFont="1" applyFill="1"/>
    <xf numFmtId="0" fontId="37" fillId="7" borderId="26" xfId="0" applyFont="1" applyFill="1" applyBorder="1"/>
    <xf numFmtId="0" fontId="37" fillId="7" borderId="27" xfId="0" applyFont="1" applyFill="1" applyBorder="1"/>
    <xf numFmtId="0" fontId="37" fillId="7" borderId="46" xfId="0" applyFont="1" applyFill="1" applyBorder="1" applyAlignment="1">
      <alignment horizontal="center"/>
    </xf>
    <xf numFmtId="0" fontId="37" fillId="7" borderId="16" xfId="0" applyFont="1" applyFill="1" applyBorder="1"/>
    <xf numFmtId="0" fontId="37" fillId="7" borderId="17" xfId="0" applyFont="1" applyFill="1" applyBorder="1" applyAlignment="1">
      <alignment horizontal="left"/>
    </xf>
    <xf numFmtId="0" fontId="37" fillId="7" borderId="25" xfId="0" applyFont="1" applyFill="1" applyBorder="1"/>
    <xf numFmtId="0" fontId="37" fillId="7" borderId="47" xfId="0" applyFont="1" applyFill="1" applyBorder="1"/>
    <xf numFmtId="0" fontId="37" fillId="7" borderId="18" xfId="0" applyFont="1" applyFill="1" applyBorder="1" applyAlignment="1">
      <alignment horizontal="center" vertical="center"/>
    </xf>
    <xf numFmtId="0" fontId="37" fillId="7" borderId="12" xfId="0" applyFont="1" applyFill="1" applyBorder="1" applyAlignment="1">
      <alignment horizontal="right"/>
    </xf>
    <xf numFmtId="0" fontId="37" fillId="7" borderId="19" xfId="0" applyFont="1" applyFill="1" applyBorder="1"/>
    <xf numFmtId="0" fontId="37" fillId="7" borderId="20" xfId="0" applyFont="1" applyFill="1" applyBorder="1"/>
    <xf numFmtId="0" fontId="37" fillId="7" borderId="0" xfId="0" applyFont="1" applyFill="1" applyAlignment="1">
      <alignment horizontal="center"/>
    </xf>
    <xf numFmtId="0" fontId="39" fillId="7" borderId="27" xfId="0" applyFont="1" applyFill="1" applyBorder="1" applyAlignment="1">
      <alignment horizontal="center"/>
    </xf>
    <xf numFmtId="0" fontId="39" fillId="7" borderId="16" xfId="0" applyFont="1" applyFill="1" applyBorder="1" applyAlignment="1">
      <alignment horizontal="right" vertical="center"/>
    </xf>
    <xf numFmtId="0" fontId="21" fillId="3" borderId="0" xfId="8" applyFill="1"/>
    <xf numFmtId="0" fontId="40" fillId="3" borderId="0" xfId="8" applyFont="1" applyFill="1"/>
    <xf numFmtId="0" fontId="21" fillId="3" borderId="25" xfId="8" applyFill="1" applyBorder="1"/>
    <xf numFmtId="0" fontId="21" fillId="3" borderId="25" xfId="8" applyFill="1" applyBorder="1" applyAlignment="1">
      <alignment horizontal="center"/>
    </xf>
    <xf numFmtId="0" fontId="41" fillId="3" borderId="0" xfId="8" applyFont="1" applyFill="1"/>
    <xf numFmtId="0" fontId="23" fillId="3" borderId="3" xfId="4" quotePrefix="1" applyFill="1" applyBorder="1"/>
    <xf numFmtId="0" fontId="21" fillId="3" borderId="6" xfId="8" applyFill="1" applyBorder="1"/>
    <xf numFmtId="0" fontId="42" fillId="7" borderId="0" xfId="0" applyFont="1" applyFill="1"/>
    <xf numFmtId="0" fontId="43" fillId="7" borderId="11" xfId="0" applyFont="1" applyFill="1" applyBorder="1"/>
    <xf numFmtId="0" fontId="43" fillId="7" borderId="11" xfId="0" applyFont="1" applyFill="1" applyBorder="1" applyAlignment="1">
      <alignment horizontal="center"/>
    </xf>
    <xf numFmtId="0" fontId="43" fillId="7" borderId="9" xfId="0" applyFont="1" applyFill="1" applyBorder="1" applyAlignment="1">
      <alignment horizontal="center"/>
    </xf>
    <xf numFmtId="0" fontId="43" fillId="7" borderId="11" xfId="0" applyFont="1" applyFill="1" applyBorder="1" applyAlignment="1">
      <alignment horizontal="right"/>
    </xf>
    <xf numFmtId="0" fontId="43" fillId="7" borderId="0" xfId="0" applyFont="1" applyFill="1"/>
    <xf numFmtId="0" fontId="42" fillId="7" borderId="8" xfId="0" applyFont="1" applyFill="1" applyBorder="1"/>
    <xf numFmtId="169" fontId="37" fillId="7" borderId="8" xfId="0" applyNumberFormat="1" applyFont="1" applyFill="1" applyBorder="1"/>
    <xf numFmtId="169" fontId="42" fillId="7" borderId="0" xfId="0" applyNumberFormat="1" applyFont="1" applyFill="1"/>
    <xf numFmtId="168" fontId="42" fillId="7" borderId="0" xfId="0" applyNumberFormat="1" applyFont="1" applyFill="1"/>
    <xf numFmtId="168" fontId="43" fillId="7" borderId="0" xfId="0" applyNumberFormat="1" applyFont="1" applyFill="1"/>
    <xf numFmtId="169" fontId="43" fillId="7" borderId="0" xfId="0" applyNumberFormat="1" applyFont="1" applyFill="1"/>
    <xf numFmtId="0" fontId="42" fillId="7" borderId="11" xfId="0" applyFont="1" applyFill="1" applyBorder="1"/>
    <xf numFmtId="0" fontId="44" fillId="7" borderId="0" xfId="0" applyFont="1" applyFill="1"/>
    <xf numFmtId="169" fontId="42" fillId="7" borderId="11" xfId="0" applyNumberFormat="1" applyFont="1" applyFill="1" applyBorder="1"/>
    <xf numFmtId="169" fontId="43" fillId="7" borderId="11" xfId="0" applyNumberFormat="1" applyFont="1" applyFill="1" applyBorder="1"/>
    <xf numFmtId="169" fontId="20" fillId="3" borderId="0" xfId="3" applyNumberFormat="1" applyFont="1" applyFill="1"/>
    <xf numFmtId="0" fontId="40" fillId="3" borderId="0" xfId="8" applyFont="1" applyFill="1" applyAlignment="1">
      <alignment horizontal="center"/>
    </xf>
    <xf numFmtId="0" fontId="21" fillId="3" borderId="11" xfId="8" applyFill="1" applyBorder="1"/>
    <xf numFmtId="169" fontId="21" fillId="3" borderId="0" xfId="8" applyNumberFormat="1" applyFill="1"/>
    <xf numFmtId="0" fontId="28" fillId="3" borderId="0" xfId="0" applyFont="1" applyFill="1" applyAlignment="1">
      <alignment horizontal="left"/>
    </xf>
    <xf numFmtId="0" fontId="28" fillId="3" borderId="0" xfId="0" applyFont="1" applyFill="1" applyBorder="1" applyAlignment="1">
      <alignment horizontal="left"/>
    </xf>
    <xf numFmtId="0" fontId="45" fillId="3" borderId="0" xfId="0" applyFont="1" applyFill="1" applyAlignment="1">
      <alignment horizontal="left"/>
    </xf>
    <xf numFmtId="0" fontId="31" fillId="3" borderId="0" xfId="0" applyFont="1" applyFill="1" applyAlignment="1">
      <alignment horizontal="left"/>
    </xf>
    <xf numFmtId="0" fontId="31" fillId="3" borderId="11" xfId="0" applyFont="1" applyFill="1" applyBorder="1" applyAlignment="1">
      <alignment horizontal="left"/>
    </xf>
    <xf numFmtId="0" fontId="32" fillId="3" borderId="0" xfId="0" applyFont="1" applyFill="1"/>
    <xf numFmtId="0" fontId="32" fillId="3" borderId="11" xfId="0" applyFont="1" applyFill="1" applyBorder="1"/>
    <xf numFmtId="0" fontId="32" fillId="3" borderId="4" xfId="0" applyFont="1" applyFill="1" applyBorder="1"/>
    <xf numFmtId="0" fontId="28" fillId="3" borderId="7" xfId="0" applyFont="1" applyFill="1" applyBorder="1"/>
    <xf numFmtId="0" fontId="28" fillId="3" borderId="5" xfId="0" applyFont="1" applyFill="1" applyBorder="1"/>
    <xf numFmtId="0" fontId="28" fillId="3" borderId="8" xfId="0" applyFont="1" applyFill="1" applyBorder="1"/>
    <xf numFmtId="0" fontId="32" fillId="3" borderId="5" xfId="0" applyFont="1" applyFill="1" applyBorder="1"/>
    <xf numFmtId="0" fontId="28" fillId="3" borderId="0" xfId="0" applyFont="1" applyFill="1" applyAlignment="1">
      <alignment horizontal="right"/>
    </xf>
    <xf numFmtId="0" fontId="30" fillId="3" borderId="10" xfId="0" applyFont="1" applyFill="1" applyBorder="1"/>
    <xf numFmtId="0" fontId="30" fillId="3" borderId="9" xfId="0" applyFont="1" applyFill="1" applyBorder="1"/>
    <xf numFmtId="0" fontId="28" fillId="3" borderId="11" xfId="0" applyFont="1" applyFill="1" applyBorder="1" applyAlignment="1">
      <alignment horizontal="left"/>
    </xf>
    <xf numFmtId="0" fontId="28" fillId="3" borderId="10" xfId="0" applyFont="1" applyFill="1" applyBorder="1"/>
    <xf numFmtId="0" fontId="28" fillId="3" borderId="9" xfId="0" applyFont="1" applyFill="1" applyBorder="1"/>
    <xf numFmtId="0" fontId="28" fillId="3" borderId="11" xfId="0" applyFont="1" applyFill="1" applyBorder="1" applyAlignment="1">
      <alignment horizontal="left" vertical="center"/>
    </xf>
    <xf numFmtId="0" fontId="24" fillId="3" borderId="0" xfId="8" applyFont="1" applyFill="1"/>
    <xf numFmtId="169" fontId="20" fillId="3" borderId="11" xfId="3" applyNumberFormat="1" applyFont="1" applyFill="1" applyBorder="1"/>
    <xf numFmtId="169" fontId="20" fillId="3" borderId="0" xfId="3" applyNumberFormat="1" applyFont="1" applyFill="1" applyBorder="1"/>
    <xf numFmtId="0" fontId="21" fillId="3" borderId="0" xfId="8" applyFill="1" applyBorder="1"/>
    <xf numFmtId="171" fontId="21" fillId="3" borderId="0" xfId="9" applyNumberFormat="1" applyFont="1" applyFill="1"/>
    <xf numFmtId="10" fontId="21" fillId="3" borderId="0" xfId="9" applyNumberFormat="1" applyFont="1" applyFill="1"/>
    <xf numFmtId="0" fontId="46" fillId="3" borderId="0" xfId="8" applyFont="1" applyFill="1"/>
    <xf numFmtId="0" fontId="21" fillId="3" borderId="0" xfId="8" applyFill="1" applyAlignment="1">
      <alignment horizontal="center" vertical="center"/>
    </xf>
    <xf numFmtId="0" fontId="21" fillId="3" borderId="0" xfId="8" quotePrefix="1" applyFill="1"/>
    <xf numFmtId="164" fontId="21" fillId="3" borderId="0" xfId="8" applyNumberFormat="1" applyFill="1"/>
    <xf numFmtId="170" fontId="21" fillId="3" borderId="0" xfId="8" applyNumberFormat="1" applyFill="1"/>
    <xf numFmtId="0" fontId="24" fillId="3" borderId="2" xfId="0" applyFont="1" applyFill="1" applyBorder="1" applyAlignment="1">
      <alignment horizontal="left"/>
    </xf>
    <xf numFmtId="0" fontId="0" fillId="3" borderId="8" xfId="0" applyFont="1" applyFill="1" applyBorder="1"/>
    <xf numFmtId="0" fontId="24" fillId="3" borderId="8" xfId="0" applyFont="1" applyFill="1" applyBorder="1" applyAlignment="1">
      <alignment horizontal="center"/>
    </xf>
    <xf numFmtId="0" fontId="24" fillId="4" borderId="10" xfId="0" applyFont="1" applyFill="1" applyBorder="1"/>
    <xf numFmtId="0" fontId="0" fillId="4" borderId="11" xfId="0" applyFill="1" applyBorder="1"/>
    <xf numFmtId="0" fontId="0" fillId="4" borderId="9" xfId="0" applyFill="1" applyBorder="1"/>
    <xf numFmtId="0" fontId="0" fillId="11" borderId="21" xfId="0" applyFill="1" applyBorder="1"/>
    <xf numFmtId="0" fontId="0" fillId="11" borderId="22" xfId="0" applyFill="1" applyBorder="1"/>
    <xf numFmtId="0" fontId="0" fillId="11" borderId="23" xfId="0" applyFill="1" applyBorder="1"/>
    <xf numFmtId="0" fontId="47" fillId="3" borderId="0" xfId="0" applyFont="1" applyFill="1" applyAlignment="1">
      <alignment horizontal="center"/>
    </xf>
    <xf numFmtId="0" fontId="24" fillId="11" borderId="21" xfId="0" applyFont="1" applyFill="1" applyBorder="1"/>
    <xf numFmtId="0" fontId="0" fillId="3" borderId="2" xfId="0" applyFont="1" applyFill="1" applyBorder="1" applyAlignment="1">
      <alignment horizontal="center"/>
    </xf>
    <xf numFmtId="0" fontId="24" fillId="11" borderId="4" xfId="0" applyFont="1" applyFill="1" applyBorder="1"/>
    <xf numFmtId="0" fontId="0" fillId="11" borderId="6" xfId="0" applyFill="1" applyBorder="1"/>
    <xf numFmtId="0" fontId="0" fillId="11" borderId="7" xfId="0" applyFill="1" applyBorder="1"/>
    <xf numFmtId="165" fontId="0" fillId="3" borderId="0" xfId="0" applyNumberFormat="1" applyFill="1"/>
    <xf numFmtId="9" fontId="20" fillId="3" borderId="0" xfId="9" applyFont="1" applyFill="1"/>
    <xf numFmtId="0" fontId="0" fillId="3" borderId="25" xfId="0" applyFill="1" applyBorder="1"/>
    <xf numFmtId="9" fontId="20" fillId="3" borderId="1" xfId="9" applyFont="1" applyFill="1" applyBorder="1"/>
    <xf numFmtId="166" fontId="20" fillId="3" borderId="25" xfId="10" applyFont="1" applyFill="1" applyBorder="1"/>
    <xf numFmtId="167" fontId="20" fillId="3" borderId="25" xfId="1" applyFont="1" applyFill="1" applyBorder="1"/>
    <xf numFmtId="173" fontId="20" fillId="3" borderId="25" xfId="1" applyNumberFormat="1" applyFont="1" applyFill="1" applyBorder="1"/>
    <xf numFmtId="165" fontId="0" fillId="3" borderId="3" xfId="0" applyNumberFormat="1" applyFill="1" applyBorder="1"/>
    <xf numFmtId="166" fontId="20" fillId="3" borderId="0" xfId="10" applyFont="1" applyFill="1"/>
    <xf numFmtId="0" fontId="0" fillId="3" borderId="21" xfId="0" applyFill="1" applyBorder="1"/>
    <xf numFmtId="0" fontId="0" fillId="3" borderId="23" xfId="0" applyFill="1" applyBorder="1"/>
    <xf numFmtId="167" fontId="20" fillId="3" borderId="0" xfId="1" applyFont="1" applyFill="1"/>
    <xf numFmtId="165" fontId="20" fillId="3" borderId="0" xfId="1" applyNumberFormat="1" applyFont="1" applyFill="1"/>
    <xf numFmtId="10" fontId="20" fillId="3" borderId="0" xfId="1" applyNumberFormat="1" applyFont="1" applyFill="1"/>
    <xf numFmtId="167" fontId="20" fillId="3" borderId="3" xfId="1" applyFont="1" applyFill="1" applyBorder="1"/>
    <xf numFmtId="167" fontId="20" fillId="3" borderId="2" xfId="1" applyFont="1" applyFill="1" applyBorder="1"/>
    <xf numFmtId="167" fontId="20" fillId="3" borderId="1" xfId="1" applyFont="1" applyFill="1" applyBorder="1"/>
    <xf numFmtId="167" fontId="20" fillId="3" borderId="4" xfId="1" applyFont="1" applyFill="1" applyBorder="1"/>
    <xf numFmtId="9" fontId="0" fillId="3" borderId="0" xfId="0" applyNumberFormat="1" applyFill="1"/>
    <xf numFmtId="167" fontId="20" fillId="3" borderId="9" xfId="1" applyFont="1" applyFill="1" applyBorder="1"/>
    <xf numFmtId="167" fontId="20" fillId="3" borderId="8" xfId="1" applyFont="1" applyFill="1" applyBorder="1"/>
    <xf numFmtId="9" fontId="20" fillId="3" borderId="21" xfId="9" applyFont="1" applyFill="1" applyBorder="1"/>
    <xf numFmtId="166" fontId="0" fillId="3" borderId="0" xfId="0" applyNumberFormat="1" applyFill="1"/>
    <xf numFmtId="3" fontId="0" fillId="3" borderId="21" xfId="0" applyNumberFormat="1" applyFill="1" applyBorder="1"/>
    <xf numFmtId="0" fontId="24" fillId="3" borderId="1" xfId="0" applyFont="1" applyFill="1" applyBorder="1" applyAlignment="1">
      <alignment horizontal="left"/>
    </xf>
    <xf numFmtId="0" fontId="23" fillId="3" borderId="1" xfId="4" quotePrefix="1" applyFill="1" applyBorder="1"/>
    <xf numFmtId="174" fontId="3" fillId="2" borderId="0" xfId="6" applyNumberFormat="1" applyFont="1" applyFill="1"/>
    <xf numFmtId="166" fontId="3" fillId="2" borderId="0" xfId="10" applyFont="1" applyFill="1"/>
    <xf numFmtId="0" fontId="13" fillId="2" borderId="0" xfId="6" applyFont="1" applyFill="1"/>
    <xf numFmtId="174" fontId="5" fillId="2" borderId="0" xfId="6" applyNumberFormat="1" applyFont="1" applyFill="1"/>
    <xf numFmtId="9" fontId="3" fillId="2" borderId="0" xfId="6" applyNumberFormat="1" applyFont="1" applyFill="1"/>
    <xf numFmtId="10" fontId="3" fillId="2" borderId="0" xfId="6" applyNumberFormat="1" applyFont="1" applyFill="1"/>
    <xf numFmtId="0" fontId="9" fillId="2" borderId="0" xfId="6" applyFont="1" applyFill="1"/>
    <xf numFmtId="0" fontId="8" fillId="2" borderId="0" xfId="6" applyFont="1" applyFill="1"/>
    <xf numFmtId="175" fontId="3" fillId="2" borderId="0" xfId="6" applyNumberFormat="1" applyFont="1" applyFill="1"/>
    <xf numFmtId="175" fontId="3" fillId="2" borderId="25" xfId="6" applyNumberFormat="1" applyFont="1" applyFill="1" applyBorder="1"/>
    <xf numFmtId="0" fontId="3" fillId="2" borderId="25" xfId="6" applyFont="1" applyFill="1" applyBorder="1"/>
    <xf numFmtId="9" fontId="3" fillId="2" borderId="25" xfId="6" applyNumberFormat="1" applyFont="1" applyFill="1" applyBorder="1"/>
    <xf numFmtId="0" fontId="3" fillId="2" borderId="25" xfId="6" applyNumberFormat="1" applyFont="1" applyFill="1" applyBorder="1"/>
    <xf numFmtId="166" fontId="3" fillId="2" borderId="25" xfId="10" applyFont="1" applyFill="1" applyBorder="1"/>
    <xf numFmtId="0" fontId="3" fillId="2" borderId="0" xfId="10" applyNumberFormat="1" applyFont="1" applyFill="1"/>
    <xf numFmtId="176" fontId="3" fillId="2" borderId="0" xfId="10" applyNumberFormat="1" applyFont="1" applyFill="1"/>
    <xf numFmtId="0" fontId="7" fillId="2" borderId="0" xfId="6" applyFont="1" applyFill="1" applyAlignment="1">
      <alignment horizontal="right"/>
    </xf>
    <xf numFmtId="166" fontId="5" fillId="2" borderId="0" xfId="10" applyFont="1" applyFill="1"/>
    <xf numFmtId="166" fontId="7" fillId="2" borderId="0" xfId="10" applyFont="1" applyFill="1"/>
    <xf numFmtId="0" fontId="7" fillId="2" borderId="0" xfId="6" applyFont="1" applyFill="1"/>
    <xf numFmtId="0" fontId="3" fillId="2" borderId="25" xfId="6" applyFont="1" applyFill="1" applyBorder="1" applyAlignment="1">
      <alignment horizontal="right"/>
    </xf>
    <xf numFmtId="3" fontId="3" fillId="2" borderId="25" xfId="6" applyNumberFormat="1" applyFont="1" applyFill="1" applyBorder="1"/>
    <xf numFmtId="171" fontId="3" fillId="2" borderId="25" xfId="9" applyNumberFormat="1" applyFont="1" applyFill="1" applyBorder="1"/>
    <xf numFmtId="174" fontId="7" fillId="2" borderId="0" xfId="6" applyNumberFormat="1" applyFont="1" applyFill="1"/>
    <xf numFmtId="0" fontId="4" fillId="2" borderId="0" xfId="6" applyFont="1" applyFill="1"/>
    <xf numFmtId="0" fontId="23" fillId="7" borderId="0" xfId="4" applyFill="1" applyAlignment="1" applyProtection="1"/>
    <xf numFmtId="3" fontId="23" fillId="2" borderId="0" xfId="4" applyNumberFormat="1" applyFill="1" applyAlignment="1" applyProtection="1"/>
    <xf numFmtId="177" fontId="3" fillId="2" borderId="0" xfId="6" applyNumberFormat="1" applyFont="1" applyFill="1"/>
    <xf numFmtId="166" fontId="48" fillId="2" borderId="0" xfId="10" applyFont="1" applyFill="1"/>
    <xf numFmtId="166" fontId="3" fillId="2" borderId="11" xfId="10" applyFont="1" applyFill="1" applyBorder="1"/>
    <xf numFmtId="0" fontId="3" fillId="2" borderId="23" xfId="6" applyFont="1" applyFill="1" applyBorder="1"/>
    <xf numFmtId="166" fontId="3" fillId="2" borderId="23" xfId="10" applyFont="1" applyFill="1" applyBorder="1"/>
    <xf numFmtId="165" fontId="3" fillId="2" borderId="22" xfId="6" applyNumberFormat="1" applyFont="1" applyFill="1" applyBorder="1"/>
    <xf numFmtId="175" fontId="3" fillId="2" borderId="0" xfId="10" applyNumberFormat="1" applyFont="1" applyFill="1"/>
    <xf numFmtId="166" fontId="3" fillId="2" borderId="22" xfId="10" applyFont="1" applyFill="1" applyBorder="1"/>
    <xf numFmtId="178" fontId="3" fillId="2" borderId="0" xfId="6" applyNumberFormat="1" applyFont="1" applyFill="1"/>
    <xf numFmtId="0" fontId="49" fillId="7" borderId="0" xfId="0" applyFont="1" applyFill="1"/>
    <xf numFmtId="4" fontId="27" fillId="7" borderId="0" xfId="0" applyNumberFormat="1" applyFont="1" applyFill="1"/>
    <xf numFmtId="4" fontId="27" fillId="7" borderId="0" xfId="0" applyNumberFormat="1" applyFont="1" applyFill="1" applyAlignment="1">
      <alignment horizontal="right"/>
    </xf>
    <xf numFmtId="4" fontId="27" fillId="7" borderId="6" xfId="0" applyNumberFormat="1" applyFont="1" applyFill="1" applyBorder="1"/>
    <xf numFmtId="4" fontId="27" fillId="7" borderId="11" xfId="0" applyNumberFormat="1" applyFont="1" applyFill="1" applyBorder="1"/>
    <xf numFmtId="4" fontId="27" fillId="7" borderId="22" xfId="0" applyNumberFormat="1" applyFont="1" applyFill="1" applyBorder="1"/>
    <xf numFmtId="4" fontId="26" fillId="7" borderId="0" xfId="0" applyNumberFormat="1" applyFont="1" applyFill="1"/>
    <xf numFmtId="0" fontId="27" fillId="7" borderId="0" xfId="0" applyFont="1" applyFill="1" applyAlignment="1">
      <alignment horizontal="right"/>
    </xf>
    <xf numFmtId="0" fontId="27" fillId="7" borderId="21" xfId="0" applyFont="1" applyFill="1" applyBorder="1"/>
    <xf numFmtId="0" fontId="27" fillId="7" borderId="23" xfId="0" applyFont="1" applyFill="1" applyBorder="1"/>
    <xf numFmtId="10" fontId="27" fillId="7" borderId="0" xfId="0" applyNumberFormat="1" applyFont="1" applyFill="1"/>
    <xf numFmtId="0" fontId="27" fillId="7" borderId="10" xfId="0" applyFont="1" applyFill="1" applyBorder="1"/>
    <xf numFmtId="4" fontId="27" fillId="7" borderId="9" xfId="0" applyNumberFormat="1" applyFont="1" applyFill="1" applyBorder="1"/>
    <xf numFmtId="1" fontId="3" fillId="2" borderId="0" xfId="7" applyNumberFormat="1" applyFont="1" applyFill="1"/>
    <xf numFmtId="1" fontId="5" fillId="2" borderId="0" xfId="7" applyNumberFormat="1" applyFont="1" applyFill="1"/>
    <xf numFmtId="0" fontId="3" fillId="2" borderId="0" xfId="7" applyFont="1" applyFill="1"/>
    <xf numFmtId="1" fontId="3" fillId="2" borderId="0" xfId="7" applyNumberFormat="1" applyFont="1" applyFill="1" applyBorder="1"/>
    <xf numFmtId="1" fontId="5" fillId="2" borderId="0" xfId="7" applyNumberFormat="1" applyFont="1" applyFill="1" applyBorder="1"/>
    <xf numFmtId="0" fontId="3" fillId="2" borderId="0" xfId="7" applyFont="1" applyFill="1" applyBorder="1"/>
    <xf numFmtId="0" fontId="3" fillId="2" borderId="22" xfId="7" applyFont="1" applyFill="1" applyBorder="1"/>
    <xf numFmtId="0" fontId="5" fillId="2" borderId="22" xfId="7" applyFont="1" applyFill="1" applyBorder="1"/>
    <xf numFmtId="0" fontId="5" fillId="2" borderId="0" xfId="7" applyFont="1" applyFill="1" applyBorder="1"/>
    <xf numFmtId="0" fontId="5" fillId="2" borderId="0" xfId="7" applyFont="1" applyFill="1"/>
    <xf numFmtId="171" fontId="0" fillId="3" borderId="0" xfId="0" applyNumberFormat="1" applyFill="1"/>
    <xf numFmtId="167" fontId="20" fillId="3" borderId="0" xfId="1" applyNumberFormat="1" applyFont="1" applyFill="1"/>
    <xf numFmtId="172" fontId="20" fillId="3" borderId="0" xfId="1" applyNumberFormat="1" applyFont="1" applyFill="1"/>
    <xf numFmtId="0" fontId="50" fillId="3" borderId="0" xfId="0" applyFont="1" applyFill="1"/>
    <xf numFmtId="0" fontId="23" fillId="7" borderId="0" xfId="4" applyFill="1"/>
    <xf numFmtId="9" fontId="37" fillId="7" borderId="0" xfId="0" applyNumberFormat="1" applyFont="1" applyFill="1"/>
    <xf numFmtId="168" fontId="37" fillId="7" borderId="0" xfId="0" applyNumberFormat="1" applyFont="1" applyFill="1"/>
    <xf numFmtId="168" fontId="39" fillId="7" borderId="0" xfId="0" applyNumberFormat="1" applyFont="1" applyFill="1"/>
    <xf numFmtId="0" fontId="51" fillId="7" borderId="0" xfId="0" applyFont="1" applyFill="1"/>
    <xf numFmtId="10" fontId="37" fillId="7" borderId="0" xfId="0" applyNumberFormat="1" applyFont="1" applyFill="1"/>
    <xf numFmtId="165" fontId="37" fillId="7" borderId="0" xfId="0" applyNumberFormat="1" applyFont="1" applyFill="1"/>
    <xf numFmtId="164" fontId="37" fillId="7" borderId="0" xfId="0" applyNumberFormat="1" applyFont="1" applyFill="1"/>
    <xf numFmtId="172" fontId="37" fillId="7" borderId="0" xfId="0" applyNumberFormat="1" applyFont="1" applyFill="1"/>
    <xf numFmtId="175" fontId="37" fillId="7" borderId="0" xfId="0" applyNumberFormat="1" applyFont="1" applyFill="1"/>
    <xf numFmtId="179" fontId="37" fillId="7" borderId="0" xfId="0" applyNumberFormat="1" applyFont="1" applyFill="1"/>
    <xf numFmtId="2" fontId="37" fillId="7" borderId="0" xfId="0" applyNumberFormat="1" applyFont="1" applyFill="1"/>
    <xf numFmtId="165" fontId="39" fillId="7" borderId="0" xfId="0" applyNumberFormat="1" applyFont="1" applyFill="1"/>
    <xf numFmtId="173" fontId="39" fillId="7" borderId="0" xfId="0" applyNumberFormat="1" applyFont="1" applyFill="1"/>
    <xf numFmtId="171" fontId="37" fillId="7" borderId="0" xfId="0" applyNumberFormat="1" applyFont="1" applyFill="1"/>
    <xf numFmtId="8" fontId="37" fillId="7" borderId="0" xfId="0" applyNumberFormat="1" applyFont="1" applyFill="1"/>
    <xf numFmtId="173" fontId="37" fillId="7" borderId="0" xfId="0" applyNumberFormat="1" applyFont="1" applyFill="1"/>
    <xf numFmtId="166" fontId="20" fillId="10" borderId="0" xfId="10" applyFont="1" applyFill="1"/>
    <xf numFmtId="0" fontId="0" fillId="10" borderId="0" xfId="0" applyFill="1" applyBorder="1"/>
    <xf numFmtId="0" fontId="0" fillId="12" borderId="22" xfId="0" applyFill="1" applyBorder="1"/>
    <xf numFmtId="0" fontId="0" fillId="12" borderId="23" xfId="0" applyFill="1" applyBorder="1"/>
    <xf numFmtId="0" fontId="24" fillId="12" borderId="21" xfId="0" applyFont="1" applyFill="1" applyBorder="1"/>
    <xf numFmtId="167" fontId="0" fillId="3" borderId="0" xfId="0" applyNumberFormat="1" applyFill="1"/>
    <xf numFmtId="3" fontId="0" fillId="3" borderId="0" xfId="0" applyNumberFormat="1" applyFill="1"/>
    <xf numFmtId="166" fontId="20" fillId="3" borderId="6" xfId="10" applyFont="1" applyFill="1" applyBorder="1"/>
    <xf numFmtId="180" fontId="20" fillId="3" borderId="6" xfId="9" applyNumberFormat="1" applyFont="1" applyFill="1" applyBorder="1"/>
    <xf numFmtId="166" fontId="20" fillId="3" borderId="2" xfId="10" applyFont="1" applyFill="1" applyBorder="1"/>
    <xf numFmtId="9" fontId="20" fillId="3" borderId="2" xfId="9" applyFont="1" applyFill="1" applyBorder="1"/>
    <xf numFmtId="10" fontId="20" fillId="3" borderId="3" xfId="9" applyNumberFormat="1" applyFont="1" applyFill="1" applyBorder="1"/>
    <xf numFmtId="166" fontId="20" fillId="3" borderId="0" xfId="1" applyNumberFormat="1" applyFont="1" applyFill="1"/>
    <xf numFmtId="167" fontId="3" fillId="2" borderId="8" xfId="1" applyFont="1" applyFill="1" applyBorder="1"/>
    <xf numFmtId="0" fontId="3" fillId="2" borderId="23" xfId="6" applyFont="1" applyFill="1" applyBorder="1" applyAlignment="1">
      <alignment horizontal="right"/>
    </xf>
    <xf numFmtId="0" fontId="3" fillId="2" borderId="22" xfId="6" applyFont="1" applyFill="1" applyBorder="1" applyAlignment="1">
      <alignment horizontal="right"/>
    </xf>
    <xf numFmtId="0" fontId="3" fillId="2" borderId="21" xfId="6" applyFont="1" applyFill="1" applyBorder="1" applyAlignment="1">
      <alignment horizontal="right"/>
    </xf>
    <xf numFmtId="0" fontId="3" fillId="2" borderId="0" xfId="6" applyFont="1" applyFill="1" applyAlignment="1">
      <alignment horizontal="right"/>
    </xf>
    <xf numFmtId="2" fontId="3" fillId="2" borderId="8" xfId="6" applyNumberFormat="1" applyFont="1" applyFill="1" applyBorder="1"/>
    <xf numFmtId="2" fontId="3" fillId="2" borderId="0" xfId="6" applyNumberFormat="1" applyFont="1" applyFill="1"/>
    <xf numFmtId="165" fontId="3" fillId="2" borderId="0" xfId="6" applyNumberFormat="1" applyFont="1" applyFill="1" applyBorder="1"/>
    <xf numFmtId="10" fontId="3" fillId="2" borderId="0" xfId="9" applyNumberFormat="1" applyFont="1" applyFill="1" applyBorder="1"/>
    <xf numFmtId="0" fontId="3" fillId="2" borderId="7" xfId="6" applyFont="1" applyFill="1" applyBorder="1"/>
    <xf numFmtId="3" fontId="3" fillId="2" borderId="0" xfId="4" applyNumberFormat="1" applyFont="1" applyFill="1" applyBorder="1" applyAlignment="1" applyProtection="1"/>
    <xf numFmtId="10" fontId="3" fillId="2" borderId="9" xfId="9" applyNumberFormat="1" applyFont="1" applyFill="1" applyBorder="1"/>
    <xf numFmtId="9" fontId="3" fillId="2" borderId="8" xfId="6" applyNumberFormat="1" applyFont="1" applyFill="1" applyBorder="1"/>
    <xf numFmtId="10" fontId="3" fillId="2" borderId="9" xfId="6" applyNumberFormat="1" applyFont="1" applyFill="1" applyBorder="1"/>
    <xf numFmtId="0" fontId="16" fillId="2" borderId="5" xfId="6" applyFont="1" applyFill="1" applyBorder="1"/>
    <xf numFmtId="10" fontId="3" fillId="2" borderId="8" xfId="9" applyNumberFormat="1" applyFont="1" applyFill="1" applyBorder="1"/>
    <xf numFmtId="10" fontId="3" fillId="2" borderId="8" xfId="6" applyNumberFormat="1" applyFont="1" applyFill="1" applyBorder="1"/>
    <xf numFmtId="175" fontId="3" fillId="2" borderId="8" xfId="6" applyNumberFormat="1" applyFont="1" applyFill="1" applyBorder="1"/>
    <xf numFmtId="180" fontId="3" fillId="2" borderId="8" xfId="6" applyNumberFormat="1" applyFont="1" applyFill="1" applyBorder="1"/>
    <xf numFmtId="0" fontId="3" fillId="2" borderId="5" xfId="6" quotePrefix="1" applyFont="1" applyFill="1" applyBorder="1"/>
    <xf numFmtId="10" fontId="3" fillId="2" borderId="5" xfId="6" applyNumberFormat="1" applyFont="1" applyFill="1" applyBorder="1"/>
    <xf numFmtId="9" fontId="3" fillId="2" borderId="6" xfId="6" applyNumberFormat="1" applyFont="1" applyFill="1" applyBorder="1"/>
    <xf numFmtId="0" fontId="5" fillId="2" borderId="4" xfId="6" applyFont="1" applyFill="1" applyBorder="1"/>
    <xf numFmtId="10" fontId="5" fillId="2" borderId="9" xfId="9" applyNumberFormat="1" applyFont="1" applyFill="1" applyBorder="1"/>
    <xf numFmtId="3" fontId="5" fillId="2" borderId="10" xfId="6" applyNumberFormat="1" applyFont="1" applyFill="1" applyBorder="1"/>
    <xf numFmtId="171" fontId="3" fillId="2" borderId="5" xfId="9" applyNumberFormat="1" applyFont="1" applyFill="1" applyBorder="1"/>
    <xf numFmtId="3" fontId="5" fillId="2" borderId="7" xfId="6" applyNumberFormat="1" applyFont="1" applyFill="1" applyBorder="1"/>
    <xf numFmtId="3" fontId="3" fillId="2" borderId="0" xfId="6" applyNumberFormat="1" applyFont="1" applyFill="1" applyAlignment="1">
      <alignment horizontal="left"/>
    </xf>
    <xf numFmtId="0" fontId="3" fillId="2" borderId="0" xfId="6" applyFont="1" applyFill="1" applyAlignment="1">
      <alignment horizontal="left"/>
    </xf>
    <xf numFmtId="3" fontId="4" fillId="2" borderId="0" xfId="6" applyNumberFormat="1" applyFont="1" applyFill="1" applyAlignment="1">
      <alignment horizontal="left"/>
    </xf>
    <xf numFmtId="2" fontId="3" fillId="2" borderId="11" xfId="6" applyNumberFormat="1" applyFont="1" applyFill="1" applyBorder="1"/>
    <xf numFmtId="2" fontId="3" fillId="2" borderId="9" xfId="6" applyNumberFormat="1" applyFont="1" applyFill="1" applyBorder="1"/>
    <xf numFmtId="167" fontId="3" fillId="2" borderId="11" xfId="1" applyFont="1" applyFill="1" applyBorder="1"/>
    <xf numFmtId="167" fontId="3" fillId="2" borderId="9" xfId="1" applyFont="1" applyFill="1" applyBorder="1"/>
    <xf numFmtId="0" fontId="27" fillId="3" borderId="0" xfId="0" applyFont="1" applyFill="1"/>
    <xf numFmtId="0" fontId="27" fillId="6" borderId="0" xfId="0" applyFont="1" applyFill="1"/>
    <xf numFmtId="0" fontId="27" fillId="7" borderId="11" xfId="0" applyFont="1" applyFill="1" applyBorder="1" applyAlignment="1">
      <alignment horizontal="right"/>
    </xf>
    <xf numFmtId="165" fontId="3" fillId="2" borderId="8" xfId="1" applyNumberFormat="1" applyFont="1" applyFill="1" applyBorder="1"/>
    <xf numFmtId="0" fontId="26" fillId="7" borderId="0" xfId="0" applyFont="1" applyFill="1" applyAlignment="1">
      <alignment horizontal="center"/>
    </xf>
    <xf numFmtId="3" fontId="3" fillId="2" borderId="6" xfId="6" applyNumberFormat="1" applyFont="1" applyFill="1" applyBorder="1"/>
    <xf numFmtId="0" fontId="3" fillId="2" borderId="8" xfId="6" applyFont="1" applyFill="1" applyBorder="1" applyAlignment="1">
      <alignment horizontal="right"/>
    </xf>
    <xf numFmtId="0" fontId="3" fillId="2" borderId="5" xfId="6" applyFont="1" applyFill="1" applyBorder="1" applyAlignment="1">
      <alignment horizontal="left"/>
    </xf>
    <xf numFmtId="9" fontId="3" fillId="2" borderId="7" xfId="6" applyNumberFormat="1" applyFont="1" applyFill="1" applyBorder="1"/>
    <xf numFmtId="9" fontId="3" fillId="2" borderId="4" xfId="6" applyNumberFormat="1" applyFont="1" applyFill="1" applyBorder="1"/>
    <xf numFmtId="3" fontId="3" fillId="2" borderId="9" xfId="4" applyNumberFormat="1" applyFont="1" applyFill="1" applyBorder="1" applyAlignment="1" applyProtection="1"/>
    <xf numFmtId="3" fontId="3" fillId="2" borderId="8" xfId="4" applyNumberFormat="1" applyFont="1" applyFill="1" applyBorder="1" applyAlignment="1" applyProtection="1"/>
    <xf numFmtId="3" fontId="3" fillId="2" borderId="7" xfId="4" applyNumberFormat="1" applyFont="1" applyFill="1" applyBorder="1" applyAlignment="1" applyProtection="1"/>
    <xf numFmtId="0" fontId="49" fillId="7" borderId="0" xfId="0" applyFont="1" applyFill="1" applyAlignment="1">
      <alignment horizontal="left"/>
    </xf>
    <xf numFmtId="3" fontId="27" fillId="7" borderId="0" xfId="0" applyNumberFormat="1" applyFont="1" applyFill="1" applyAlignment="1">
      <alignment horizontal="left"/>
    </xf>
    <xf numFmtId="0" fontId="27" fillId="7" borderId="21" xfId="0" applyFont="1" applyFill="1" applyBorder="1" applyAlignment="1">
      <alignment horizontal="right"/>
    </xf>
    <xf numFmtId="9" fontId="27" fillId="7" borderId="22" xfId="0" applyNumberFormat="1" applyFont="1" applyFill="1" applyBorder="1" applyAlignment="1">
      <alignment horizontal="right"/>
    </xf>
    <xf numFmtId="3" fontId="27" fillId="7" borderId="22" xfId="0" applyNumberFormat="1" applyFont="1" applyFill="1" applyBorder="1" applyAlignment="1">
      <alignment horizontal="right"/>
    </xf>
    <xf numFmtId="0" fontId="27" fillId="7" borderId="22" xfId="0" applyFont="1" applyFill="1" applyBorder="1" applyAlignment="1">
      <alignment horizontal="right"/>
    </xf>
    <xf numFmtId="0" fontId="27" fillId="7" borderId="23" xfId="0" applyFont="1" applyFill="1" applyBorder="1" applyAlignment="1">
      <alignment horizontal="right"/>
    </xf>
    <xf numFmtId="3" fontId="27" fillId="7" borderId="5" xfId="0" applyNumberFormat="1" applyFont="1" applyFill="1" applyBorder="1" applyAlignment="1">
      <alignment horizontal="right"/>
    </xf>
    <xf numFmtId="2" fontId="27" fillId="7" borderId="0" xfId="0" applyNumberFormat="1" applyFont="1" applyFill="1" applyAlignment="1">
      <alignment horizontal="right"/>
    </xf>
    <xf numFmtId="0" fontId="27" fillId="7" borderId="8" xfId="0" applyFont="1" applyFill="1" applyBorder="1" applyAlignment="1">
      <alignment horizontal="right"/>
    </xf>
    <xf numFmtId="3" fontId="27" fillId="7" borderId="10" xfId="0" applyNumberFormat="1" applyFont="1" applyFill="1" applyBorder="1" applyAlignment="1">
      <alignment horizontal="right"/>
    </xf>
    <xf numFmtId="2" fontId="27" fillId="7" borderId="11" xfId="0" applyNumberFormat="1" applyFont="1" applyFill="1" applyBorder="1" applyAlignment="1">
      <alignment horizontal="right"/>
    </xf>
    <xf numFmtId="0" fontId="27" fillId="7" borderId="9" xfId="0" applyFont="1" applyFill="1" applyBorder="1" applyAlignment="1">
      <alignment horizontal="right"/>
    </xf>
    <xf numFmtId="3" fontId="27" fillId="7" borderId="0" xfId="0" applyNumberFormat="1" applyFont="1" applyFill="1" applyAlignment="1">
      <alignment horizontal="right"/>
    </xf>
    <xf numFmtId="0" fontId="27" fillId="7" borderId="4" xfId="0" applyFont="1" applyFill="1" applyBorder="1" applyAlignment="1">
      <alignment horizontal="left"/>
    </xf>
    <xf numFmtId="2" fontId="27" fillId="7" borderId="7" xfId="0" applyNumberFormat="1" applyFont="1" applyFill="1" applyBorder="1" applyAlignment="1">
      <alignment horizontal="right"/>
    </xf>
    <xf numFmtId="0" fontId="27" fillId="7" borderId="5" xfId="0" applyFont="1" applyFill="1" applyBorder="1" applyAlignment="1">
      <alignment horizontal="left"/>
    </xf>
    <xf numFmtId="2" fontId="27" fillId="7" borderId="8" xfId="0" applyNumberFormat="1" applyFont="1" applyFill="1" applyBorder="1" applyAlignment="1">
      <alignment horizontal="right"/>
    </xf>
    <xf numFmtId="181" fontId="27" fillId="7" borderId="8" xfId="0" applyNumberFormat="1" applyFont="1" applyFill="1" applyBorder="1" applyAlignment="1">
      <alignment horizontal="right"/>
    </xf>
    <xf numFmtId="165" fontId="27" fillId="7" borderId="0" xfId="0" applyNumberFormat="1" applyFont="1" applyFill="1" applyAlignment="1">
      <alignment horizontal="left"/>
    </xf>
    <xf numFmtId="0" fontId="27" fillId="7" borderId="10" xfId="0" applyFont="1" applyFill="1" applyBorder="1" applyAlignment="1">
      <alignment horizontal="left"/>
    </xf>
    <xf numFmtId="2" fontId="27" fillId="7" borderId="9" xfId="0" applyNumberFormat="1" applyFont="1" applyFill="1" applyBorder="1" applyAlignment="1">
      <alignment horizontal="right"/>
    </xf>
    <xf numFmtId="182" fontId="27" fillId="7" borderId="0" xfId="0" applyNumberFormat="1" applyFont="1" applyFill="1" applyAlignment="1">
      <alignment horizontal="right"/>
    </xf>
    <xf numFmtId="0" fontId="26" fillId="7" borderId="0" xfId="0" applyFont="1" applyFill="1" applyAlignment="1">
      <alignment horizontal="left"/>
    </xf>
    <xf numFmtId="0" fontId="26" fillId="7" borderId="0" xfId="0" applyFont="1" applyFill="1" applyAlignment="1">
      <alignment horizontal="right"/>
    </xf>
    <xf numFmtId="3" fontId="26" fillId="7" borderId="0" xfId="0" applyNumberFormat="1" applyFont="1" applyFill="1" applyAlignment="1">
      <alignment horizontal="center"/>
    </xf>
    <xf numFmtId="0" fontId="27" fillId="7" borderId="0" xfId="0" applyFont="1" applyFill="1" applyAlignment="1">
      <alignment horizontal="center"/>
    </xf>
    <xf numFmtId="3" fontId="27" fillId="7" borderId="0" xfId="0" applyNumberFormat="1" applyFont="1" applyFill="1" applyAlignment="1">
      <alignment horizontal="center"/>
    </xf>
    <xf numFmtId="4" fontId="27" fillId="7" borderId="0" xfId="0" applyNumberFormat="1" applyFont="1" applyFill="1" applyAlignment="1">
      <alignment horizontal="center"/>
    </xf>
    <xf numFmtId="180" fontId="27" fillId="7" borderId="0" xfId="0" applyNumberFormat="1" applyFont="1" applyFill="1" applyAlignment="1">
      <alignment horizontal="center"/>
    </xf>
    <xf numFmtId="10" fontId="27" fillId="7" borderId="0" xfId="0" applyNumberFormat="1" applyFont="1" applyFill="1" applyAlignment="1">
      <alignment horizontal="center"/>
    </xf>
    <xf numFmtId="183" fontId="27" fillId="7" borderId="0" xfId="0" applyNumberFormat="1" applyFont="1" applyFill="1" applyAlignment="1">
      <alignment horizontal="center"/>
    </xf>
    <xf numFmtId="183" fontId="27" fillId="7" borderId="0" xfId="0" applyNumberFormat="1" applyFont="1" applyFill="1" applyAlignment="1">
      <alignment horizontal="right"/>
    </xf>
    <xf numFmtId="10" fontId="27" fillId="7" borderId="0" xfId="0" applyNumberFormat="1" applyFont="1" applyFill="1" applyAlignment="1">
      <alignment horizontal="right"/>
    </xf>
    <xf numFmtId="0" fontId="26" fillId="7" borderId="11" xfId="0" applyFont="1" applyFill="1" applyBorder="1" applyAlignment="1">
      <alignment horizontal="left"/>
    </xf>
    <xf numFmtId="3" fontId="26" fillId="7" borderId="11" xfId="0" applyNumberFormat="1" applyFont="1" applyFill="1" applyBorder="1" applyAlignment="1">
      <alignment horizontal="left"/>
    </xf>
    <xf numFmtId="180" fontId="26" fillId="7" borderId="0" xfId="0" applyNumberFormat="1" applyFont="1" applyFill="1" applyAlignment="1">
      <alignment horizontal="center"/>
    </xf>
    <xf numFmtId="165" fontId="27" fillId="7" borderId="0" xfId="0" applyNumberFormat="1" applyFont="1" applyFill="1" applyAlignment="1">
      <alignment horizontal="right"/>
    </xf>
    <xf numFmtId="0" fontId="0" fillId="13" borderId="22" xfId="0" applyFill="1" applyBorder="1"/>
    <xf numFmtId="0" fontId="0" fillId="13" borderId="23" xfId="0" applyFill="1" applyBorder="1"/>
    <xf numFmtId="0" fontId="24" fillId="13" borderId="21" xfId="0" applyFont="1" applyFill="1" applyBorder="1"/>
    <xf numFmtId="165" fontId="0" fillId="3" borderId="2" xfId="0" applyNumberFormat="1" applyFill="1" applyBorder="1"/>
    <xf numFmtId="0" fontId="52" fillId="0" borderId="1" xfId="0" applyFont="1" applyBorder="1"/>
    <xf numFmtId="0" fontId="53" fillId="3" borderId="0" xfId="0" applyFont="1" applyFill="1"/>
    <xf numFmtId="0" fontId="24" fillId="14" borderId="21" xfId="0" applyFont="1" applyFill="1" applyBorder="1"/>
    <xf numFmtId="0" fontId="0" fillId="14" borderId="22" xfId="0" applyFill="1" applyBorder="1"/>
    <xf numFmtId="0" fontId="0" fillId="14" borderId="23" xfId="0" applyFill="1" applyBorder="1"/>
    <xf numFmtId="0" fontId="24" fillId="15" borderId="21" xfId="0" applyFont="1" applyFill="1" applyBorder="1"/>
    <xf numFmtId="0" fontId="0" fillId="15" borderId="22" xfId="0" applyFill="1" applyBorder="1"/>
    <xf numFmtId="0" fontId="0" fillId="15" borderId="23" xfId="0" applyFill="1" applyBorder="1"/>
    <xf numFmtId="0" fontId="0" fillId="16" borderId="22" xfId="0" applyFill="1" applyBorder="1"/>
    <xf numFmtId="0" fontId="0" fillId="16" borderId="23" xfId="0" applyFill="1" applyBorder="1"/>
    <xf numFmtId="0" fontId="24" fillId="16" borderId="21" xfId="0" applyFont="1" applyFill="1" applyBorder="1"/>
    <xf numFmtId="0" fontId="0" fillId="17" borderId="21" xfId="0" applyFill="1" applyBorder="1"/>
    <xf numFmtId="0" fontId="0" fillId="17" borderId="22" xfId="0" applyFill="1" applyBorder="1"/>
    <xf numFmtId="0" fontId="0" fillId="17" borderId="23" xfId="0" applyFill="1" applyBorder="1"/>
    <xf numFmtId="180" fontId="5" fillId="2" borderId="0" xfId="9" applyNumberFormat="1" applyFont="1" applyFill="1" applyBorder="1"/>
    <xf numFmtId="180" fontId="5" fillId="2" borderId="9" xfId="9" applyNumberFormat="1" applyFont="1" applyFill="1" applyBorder="1"/>
    <xf numFmtId="0" fontId="5" fillId="2" borderId="10" xfId="6" applyFont="1" applyFill="1" applyBorder="1"/>
    <xf numFmtId="180" fontId="5" fillId="2" borderId="7" xfId="9" applyNumberFormat="1" applyFont="1" applyFill="1" applyBorder="1"/>
    <xf numFmtId="182" fontId="5" fillId="2" borderId="0" xfId="6" applyNumberFormat="1" applyFont="1" applyFill="1" applyBorder="1"/>
    <xf numFmtId="167" fontId="3" fillId="2" borderId="0" xfId="1" applyFont="1" applyFill="1" applyBorder="1"/>
    <xf numFmtId="0" fontId="3" fillId="2" borderId="11" xfId="6" applyFont="1" applyFill="1" applyBorder="1" applyAlignment="1">
      <alignment horizontal="right"/>
    </xf>
    <xf numFmtId="0" fontId="3" fillId="2" borderId="5" xfId="6" applyFont="1" applyFill="1" applyBorder="1" applyAlignment="1">
      <alignment horizontal="right"/>
    </xf>
    <xf numFmtId="3" fontId="3" fillId="2" borderId="6" xfId="4" applyNumberFormat="1" applyFont="1" applyFill="1" applyBorder="1" applyAlignment="1" applyProtection="1">
      <alignment horizontal="right"/>
    </xf>
    <xf numFmtId="0" fontId="3" fillId="2" borderId="4" xfId="6" applyFont="1" applyFill="1" applyBorder="1" applyAlignment="1">
      <alignment horizontal="right"/>
    </xf>
    <xf numFmtId="3" fontId="3" fillId="2" borderId="0" xfId="6" applyNumberFormat="1" applyFont="1" applyFill="1" applyBorder="1" applyAlignment="1">
      <alignment wrapText="1"/>
    </xf>
    <xf numFmtId="0" fontId="0" fillId="3" borderId="0" xfId="0" applyFill="1" applyAlignment="1">
      <alignment horizontal="center"/>
    </xf>
    <xf numFmtId="0" fontId="3" fillId="2" borderId="10" xfId="6" applyNumberFormat="1" applyFont="1" applyFill="1" applyBorder="1" applyAlignment="1">
      <alignment horizontal="right"/>
    </xf>
    <xf numFmtId="9" fontId="3" fillId="2" borderId="9" xfId="6" applyNumberFormat="1" applyFont="1" applyFill="1" applyBorder="1"/>
    <xf numFmtId="0" fontId="3" fillId="2" borderId="10" xfId="6" applyNumberFormat="1" applyFont="1" applyFill="1" applyBorder="1"/>
    <xf numFmtId="0" fontId="3" fillId="2" borderId="8" xfId="6" applyNumberFormat="1" applyFont="1" applyFill="1" applyBorder="1"/>
    <xf numFmtId="0" fontId="3" fillId="2" borderId="5" xfId="6" applyNumberFormat="1" applyFont="1" applyFill="1" applyBorder="1" applyAlignment="1">
      <alignment horizontal="right"/>
    </xf>
    <xf numFmtId="0" fontId="3" fillId="2" borderId="5" xfId="6" applyNumberFormat="1" applyFont="1" applyFill="1" applyBorder="1"/>
    <xf numFmtId="0" fontId="3" fillId="2" borderId="8" xfId="6" applyNumberFormat="1" applyFont="1" applyFill="1" applyBorder="1" applyAlignment="1">
      <alignment horizontal="right"/>
    </xf>
    <xf numFmtId="0" fontId="3" fillId="2" borderId="5" xfId="6" applyNumberFormat="1" applyFont="1" applyFill="1" applyBorder="1" applyAlignment="1">
      <alignment horizontal="left"/>
    </xf>
    <xf numFmtId="0" fontId="3" fillId="2" borderId="7" xfId="6" applyNumberFormat="1" applyFont="1" applyFill="1" applyBorder="1"/>
    <xf numFmtId="0" fontId="3" fillId="2" borderId="4" xfId="6" applyNumberFormat="1" applyFont="1" applyFill="1" applyBorder="1"/>
    <xf numFmtId="0" fontId="3" fillId="2" borderId="7" xfId="6" applyNumberFormat="1" applyFont="1" applyFill="1" applyBorder="1" applyAlignment="1">
      <alignment horizontal="right"/>
    </xf>
    <xf numFmtId="0" fontId="3" fillId="2" borderId="4" xfId="6" applyNumberFormat="1" applyFont="1" applyFill="1" applyBorder="1" applyAlignment="1">
      <alignment horizontal="right"/>
    </xf>
    <xf numFmtId="10" fontId="3" fillId="2" borderId="8" xfId="9" applyNumberFormat="1" applyFont="1" applyFill="1" applyBorder="1" applyAlignment="1">
      <alignment horizontal="right"/>
    </xf>
    <xf numFmtId="0" fontId="3" fillId="2" borderId="0" xfId="6" applyNumberFormat="1" applyFont="1" applyFill="1" applyBorder="1"/>
    <xf numFmtId="0" fontId="3" fillId="2" borderId="0" xfId="4" applyNumberFormat="1" applyFont="1" applyFill="1" applyBorder="1" applyAlignment="1" applyProtection="1"/>
    <xf numFmtId="0" fontId="5" fillId="2" borderId="0" xfId="6" applyNumberFormat="1" applyFont="1" applyFill="1" applyBorder="1"/>
    <xf numFmtId="0" fontId="3" fillId="2" borderId="0" xfId="6" applyNumberFormat="1" applyFont="1" applyFill="1"/>
    <xf numFmtId="0" fontId="4" fillId="2" borderId="0" xfId="4" applyNumberFormat="1" applyFont="1" applyFill="1" applyAlignment="1" applyProtection="1"/>
    <xf numFmtId="0" fontId="4" fillId="2" borderId="0" xfId="6" applyNumberFormat="1" applyFont="1" applyFill="1"/>
    <xf numFmtId="10" fontId="28" fillId="3" borderId="0" xfId="9" applyNumberFormat="1" applyFont="1" applyFill="1" applyAlignment="1">
      <alignment horizontal="left"/>
    </xf>
    <xf numFmtId="10" fontId="31" fillId="3" borderId="0" xfId="9" applyNumberFormat="1" applyFont="1" applyFill="1" applyBorder="1" applyAlignment="1">
      <alignment horizontal="left"/>
    </xf>
    <xf numFmtId="179" fontId="28" fillId="3" borderId="0" xfId="0" applyNumberFormat="1" applyFont="1" applyFill="1" applyBorder="1" applyAlignment="1">
      <alignment horizontal="left"/>
    </xf>
    <xf numFmtId="10" fontId="28" fillId="3" borderId="0" xfId="9" applyNumberFormat="1" applyFont="1" applyFill="1" applyBorder="1" applyAlignment="1">
      <alignment horizontal="left"/>
    </xf>
    <xf numFmtId="2" fontId="28" fillId="3" borderId="0" xfId="0" applyNumberFormat="1" applyFont="1" applyFill="1" applyBorder="1" applyAlignment="1">
      <alignment horizontal="left"/>
    </xf>
    <xf numFmtId="0" fontId="28" fillId="3" borderId="11" xfId="0" applyFont="1" applyFill="1" applyBorder="1"/>
    <xf numFmtId="179" fontId="28" fillId="3" borderId="0" xfId="0" applyNumberFormat="1" applyFont="1" applyFill="1" applyAlignment="1">
      <alignment horizontal="left"/>
    </xf>
    <xf numFmtId="10" fontId="28" fillId="3" borderId="0" xfId="0" applyNumberFormat="1" applyFont="1" applyFill="1" applyAlignment="1">
      <alignment horizontal="left"/>
    </xf>
    <xf numFmtId="0" fontId="32" fillId="3" borderId="0" xfId="0" applyFont="1" applyFill="1" applyAlignment="1">
      <alignment horizontal="left"/>
    </xf>
    <xf numFmtId="0" fontId="28" fillId="3" borderId="6" xfId="0" applyFont="1" applyFill="1" applyBorder="1"/>
    <xf numFmtId="0" fontId="28" fillId="3" borderId="4" xfId="0" applyFont="1" applyFill="1" applyBorder="1"/>
    <xf numFmtId="0" fontId="28" fillId="3" borderId="23" xfId="0" applyFont="1" applyFill="1" applyBorder="1" applyAlignment="1">
      <alignment horizontal="left"/>
    </xf>
    <xf numFmtId="0" fontId="28" fillId="3" borderId="22" xfId="0" applyFont="1" applyFill="1" applyBorder="1" applyAlignment="1">
      <alignment horizontal="left"/>
    </xf>
    <xf numFmtId="0" fontId="28" fillId="3" borderId="21" xfId="0" applyFont="1" applyFill="1" applyBorder="1" applyAlignment="1">
      <alignment horizontal="left"/>
    </xf>
    <xf numFmtId="0" fontId="28" fillId="3" borderId="0" xfId="0" applyFont="1" applyFill="1" applyBorder="1" applyAlignment="1">
      <alignment horizontal="left" vertical="center"/>
    </xf>
    <xf numFmtId="49" fontId="28" fillId="3" borderId="0" xfId="2" applyNumberFormat="1" applyFont="1" applyFill="1" applyAlignment="1">
      <alignment horizontal="left"/>
    </xf>
    <xf numFmtId="0" fontId="35" fillId="3" borderId="0" xfId="0" applyFont="1" applyFill="1" applyAlignment="1">
      <alignment horizontal="left"/>
    </xf>
    <xf numFmtId="10" fontId="31" fillId="3" borderId="0" xfId="9" applyNumberFormat="1" applyFont="1" applyFill="1" applyAlignment="1">
      <alignment horizontal="left"/>
    </xf>
    <xf numFmtId="10" fontId="28" fillId="3" borderId="0" xfId="9" applyNumberFormat="1" applyFont="1" applyFill="1" applyBorder="1" applyAlignment="1">
      <alignment horizontal="left" vertical="center"/>
    </xf>
    <xf numFmtId="0" fontId="31" fillId="3" borderId="0" xfId="0" applyFont="1" applyFill="1" applyBorder="1" applyAlignment="1">
      <alignment horizontal="left" vertical="center"/>
    </xf>
    <xf numFmtId="0" fontId="28" fillId="3" borderId="9" xfId="0" applyFont="1" applyFill="1" applyBorder="1" applyAlignment="1">
      <alignment horizontal="left" vertical="center"/>
    </xf>
    <xf numFmtId="0" fontId="28" fillId="3" borderId="10" xfId="0" applyFont="1" applyFill="1" applyBorder="1" applyAlignment="1">
      <alignment horizontal="left" vertical="center"/>
    </xf>
    <xf numFmtId="0" fontId="28" fillId="3" borderId="7" xfId="0" applyFont="1" applyFill="1" applyBorder="1" applyAlignment="1">
      <alignment horizontal="left" vertical="center"/>
    </xf>
    <xf numFmtId="0" fontId="28" fillId="3" borderId="6" xfId="0" applyFont="1" applyFill="1" applyBorder="1" applyAlignment="1">
      <alignment horizontal="left" vertical="center"/>
    </xf>
    <xf numFmtId="0" fontId="28" fillId="3" borderId="4" xfId="0" applyFont="1" applyFill="1" applyBorder="1" applyAlignment="1">
      <alignment horizontal="left" vertical="center"/>
    </xf>
    <xf numFmtId="0" fontId="28" fillId="3" borderId="0" xfId="0" applyFont="1" applyFill="1" applyBorder="1" applyAlignment="1">
      <alignment horizontal="left" vertical="top"/>
    </xf>
    <xf numFmtId="179" fontId="31" fillId="3" borderId="0" xfId="0" applyNumberFormat="1" applyFont="1" applyFill="1" applyAlignment="1">
      <alignment horizontal="right"/>
    </xf>
    <xf numFmtId="171" fontId="28" fillId="3" borderId="0" xfId="9" applyNumberFormat="1" applyFont="1" applyFill="1" applyAlignment="1">
      <alignment horizontal="left"/>
    </xf>
    <xf numFmtId="0" fontId="28" fillId="3" borderId="0" xfId="0" applyNumberFormat="1" applyFont="1" applyFill="1" applyAlignment="1">
      <alignment horizontal="left"/>
    </xf>
    <xf numFmtId="184" fontId="28" fillId="3" borderId="0" xfId="1" applyNumberFormat="1" applyFont="1" applyFill="1" applyBorder="1" applyAlignment="1">
      <alignment horizontal="left" vertical="center"/>
    </xf>
    <xf numFmtId="0" fontId="28" fillId="3" borderId="0" xfId="0" applyNumberFormat="1" applyFont="1" applyFill="1" applyBorder="1" applyAlignment="1">
      <alignment horizontal="left" vertical="center"/>
    </xf>
    <xf numFmtId="179" fontId="0" fillId="3" borderId="0" xfId="0" applyNumberFormat="1" applyFill="1" applyBorder="1" applyAlignment="1">
      <alignment horizontal="right"/>
    </xf>
    <xf numFmtId="0" fontId="0" fillId="3" borderId="0" xfId="0" applyFill="1" applyBorder="1" applyAlignment="1">
      <alignment horizontal="right"/>
    </xf>
    <xf numFmtId="179" fontId="28" fillId="3" borderId="0" xfId="0" applyNumberFormat="1" applyFont="1" applyFill="1" applyBorder="1" applyAlignment="1">
      <alignment horizontal="left" vertical="center"/>
    </xf>
    <xf numFmtId="179" fontId="0" fillId="3" borderId="9" xfId="0" applyNumberFormat="1" applyFill="1" applyBorder="1" applyAlignment="1">
      <alignment horizontal="right"/>
    </xf>
    <xf numFmtId="179" fontId="0" fillId="3" borderId="11" xfId="0" applyNumberFormat="1" applyFill="1" applyBorder="1" applyAlignment="1">
      <alignment horizontal="right"/>
    </xf>
    <xf numFmtId="0" fontId="0" fillId="3" borderId="10" xfId="0" applyFill="1" applyBorder="1" applyAlignment="1">
      <alignment horizontal="right"/>
    </xf>
    <xf numFmtId="179" fontId="0" fillId="3" borderId="8" xfId="0" applyNumberFormat="1" applyFill="1" applyBorder="1" applyAlignment="1">
      <alignment horizontal="right"/>
    </xf>
    <xf numFmtId="0" fontId="0" fillId="3" borderId="5" xfId="0" applyFill="1" applyBorder="1" applyAlignment="1">
      <alignment horizontal="right"/>
    </xf>
    <xf numFmtId="0" fontId="28" fillId="3" borderId="23" xfId="0" applyFont="1" applyFill="1" applyBorder="1" applyAlignment="1">
      <alignment horizontal="right"/>
    </xf>
    <xf numFmtId="0" fontId="28" fillId="3" borderId="22" xfId="0" applyFont="1" applyFill="1" applyBorder="1" applyAlignment="1">
      <alignment horizontal="right"/>
    </xf>
    <xf numFmtId="0" fontId="28" fillId="3" borderId="21" xfId="0" applyFont="1" applyFill="1" applyBorder="1" applyAlignment="1">
      <alignment horizontal="right"/>
    </xf>
    <xf numFmtId="0" fontId="28" fillId="3" borderId="0" xfId="0" applyFont="1" applyFill="1" applyBorder="1" applyAlignment="1">
      <alignment horizontal="center" vertical="center"/>
    </xf>
    <xf numFmtId="0" fontId="28" fillId="3" borderId="0" xfId="0" applyFont="1" applyFill="1" applyBorder="1" applyAlignment="1"/>
    <xf numFmtId="0" fontId="3" fillId="2" borderId="0" xfId="6" applyFont="1" applyFill="1" applyBorder="1" applyAlignment="1">
      <alignment horizontal="left"/>
    </xf>
    <xf numFmtId="3" fontId="3" fillId="2" borderId="0" xfId="4" applyNumberFormat="1" applyFont="1" applyFill="1" applyBorder="1" applyAlignment="1" applyProtection="1">
      <alignment horizontal="left"/>
    </xf>
    <xf numFmtId="9" fontId="3" fillId="2" borderId="0" xfId="6" applyNumberFormat="1" applyFont="1" applyFill="1" applyBorder="1" applyAlignment="1">
      <alignment horizontal="left"/>
    </xf>
    <xf numFmtId="0" fontId="5" fillId="2" borderId="0" xfId="6" applyFont="1" applyFill="1" applyBorder="1" applyAlignment="1">
      <alignment horizontal="left" wrapText="1"/>
    </xf>
    <xf numFmtId="165" fontId="3" fillId="2" borderId="0" xfId="6" applyNumberFormat="1" applyFont="1" applyFill="1" applyBorder="1" applyAlignment="1">
      <alignment horizontal="left"/>
    </xf>
    <xf numFmtId="0" fontId="0" fillId="2" borderId="0" xfId="0" applyFont="1" applyFill="1" applyBorder="1" applyAlignment="1">
      <alignment horizontal="left"/>
    </xf>
    <xf numFmtId="0" fontId="3" fillId="2" borderId="10" xfId="4" applyFont="1" applyFill="1" applyBorder="1" applyAlignment="1" applyProtection="1">
      <alignment horizontal="left" wrapText="1"/>
    </xf>
    <xf numFmtId="0" fontId="3" fillId="2" borderId="5" xfId="4" applyFont="1" applyFill="1" applyBorder="1" applyAlignment="1" applyProtection="1">
      <alignment horizontal="left" wrapText="1"/>
    </xf>
    <xf numFmtId="3" fontId="3" fillId="2" borderId="23" xfId="4" applyNumberFormat="1" applyFont="1" applyFill="1" applyBorder="1" applyAlignment="1" applyProtection="1">
      <alignment horizontal="right"/>
    </xf>
    <xf numFmtId="0" fontId="3" fillId="2" borderId="21" xfId="6" applyFont="1" applyFill="1" applyBorder="1" applyAlignment="1">
      <alignment horizontal="left"/>
    </xf>
    <xf numFmtId="0" fontId="4" fillId="2" borderId="0" xfId="6" applyFont="1" applyFill="1" applyBorder="1" applyAlignment="1">
      <alignment horizontal="left"/>
    </xf>
    <xf numFmtId="2" fontId="3" fillId="2" borderId="0" xfId="6" applyNumberFormat="1" applyFont="1" applyFill="1" applyBorder="1"/>
    <xf numFmtId="2" fontId="3" fillId="2" borderId="3" xfId="6" applyNumberFormat="1" applyFont="1" applyFill="1" applyBorder="1"/>
    <xf numFmtId="2" fontId="3" fillId="2" borderId="10" xfId="6" applyNumberFormat="1" applyFont="1" applyFill="1" applyBorder="1" applyAlignment="1">
      <alignment horizontal="left"/>
    </xf>
    <xf numFmtId="2" fontId="3" fillId="2" borderId="2" xfId="6" applyNumberFormat="1" applyFont="1" applyFill="1" applyBorder="1"/>
    <xf numFmtId="2" fontId="3" fillId="2" borderId="5" xfId="6" applyNumberFormat="1" applyFont="1" applyFill="1" applyBorder="1" applyAlignment="1">
      <alignment horizontal="left"/>
    </xf>
    <xf numFmtId="2" fontId="3" fillId="2" borderId="0" xfId="6" applyNumberFormat="1" applyFont="1" applyFill="1" applyBorder="1" applyAlignment="1">
      <alignment horizontal="right"/>
    </xf>
    <xf numFmtId="2" fontId="8" fillId="2" borderId="2" xfId="6" applyNumberFormat="1" applyFont="1" applyFill="1" applyBorder="1"/>
    <xf numFmtId="2" fontId="8" fillId="2" borderId="0" xfId="6" applyNumberFormat="1" applyFont="1" applyFill="1" applyBorder="1"/>
    <xf numFmtId="2" fontId="8" fillId="2" borderId="5" xfId="6" applyNumberFormat="1" applyFont="1" applyFill="1" applyBorder="1" applyAlignment="1">
      <alignment horizontal="left"/>
    </xf>
    <xf numFmtId="2" fontId="3" fillId="2" borderId="0" xfId="4" applyNumberFormat="1" applyFont="1" applyFill="1" applyBorder="1" applyAlignment="1" applyProtection="1"/>
    <xf numFmtId="2" fontId="8" fillId="2" borderId="0" xfId="4" applyNumberFormat="1" applyFont="1" applyFill="1" applyBorder="1" applyAlignment="1" applyProtection="1"/>
    <xf numFmtId="2" fontId="3" fillId="2" borderId="1" xfId="6" applyNumberFormat="1" applyFont="1" applyFill="1" applyBorder="1"/>
    <xf numFmtId="2" fontId="3" fillId="2" borderId="6" xfId="4" applyNumberFormat="1" applyFont="1" applyFill="1" applyBorder="1" applyAlignment="1" applyProtection="1"/>
    <xf numFmtId="2" fontId="3" fillId="2" borderId="6" xfId="6" applyNumberFormat="1" applyFont="1" applyFill="1" applyBorder="1"/>
    <xf numFmtId="2" fontId="3" fillId="2" borderId="4" xfId="6" applyNumberFormat="1" applyFont="1" applyFill="1" applyBorder="1"/>
    <xf numFmtId="2" fontId="3" fillId="2" borderId="7" xfId="6" applyNumberFormat="1" applyFont="1" applyFill="1" applyBorder="1" applyAlignment="1">
      <alignment horizontal="right"/>
    </xf>
    <xf numFmtId="2" fontId="3" fillId="2" borderId="22" xfId="4" applyNumberFormat="1" applyFont="1" applyFill="1" applyBorder="1" applyAlignment="1" applyProtection="1">
      <alignment horizontal="right"/>
    </xf>
    <xf numFmtId="2" fontId="3" fillId="2" borderId="22" xfId="6" applyNumberFormat="1" applyFont="1" applyFill="1" applyBorder="1" applyAlignment="1">
      <alignment horizontal="right"/>
    </xf>
    <xf numFmtId="2" fontId="3" fillId="2" borderId="21" xfId="6" applyNumberFormat="1" applyFont="1" applyFill="1" applyBorder="1"/>
    <xf numFmtId="2" fontId="3" fillId="2" borderId="23" xfId="6" applyNumberFormat="1" applyFont="1" applyFill="1" applyBorder="1"/>
    <xf numFmtId="2" fontId="5" fillId="2" borderId="0" xfId="6" applyNumberFormat="1" applyFont="1" applyFill="1" applyBorder="1"/>
    <xf numFmtId="2" fontId="4" fillId="2" borderId="0" xfId="4" applyNumberFormat="1" applyFont="1" applyFill="1" applyAlignment="1" applyProtection="1"/>
    <xf numFmtId="2" fontId="4" fillId="2" borderId="0" xfId="6" applyNumberFormat="1" applyFont="1" applyFill="1"/>
    <xf numFmtId="3" fontId="27" fillId="7" borderId="0" xfId="0" applyNumberFormat="1" applyFont="1" applyFill="1"/>
    <xf numFmtId="3" fontId="3" fillId="2" borderId="0" xfId="6" applyNumberFormat="1" applyFont="1" applyFill="1" applyAlignment="1">
      <alignment horizontal="right"/>
    </xf>
    <xf numFmtId="167" fontId="5" fillId="2" borderId="0" xfId="1" applyFont="1" applyFill="1"/>
    <xf numFmtId="2" fontId="5" fillId="2" borderId="23" xfId="6" applyNumberFormat="1" applyFont="1" applyFill="1" applyBorder="1"/>
    <xf numFmtId="4" fontId="3" fillId="2" borderId="9" xfId="6" applyNumberFormat="1" applyFont="1" applyFill="1" applyBorder="1"/>
    <xf numFmtId="0" fontId="3" fillId="2" borderId="10" xfId="6" applyFont="1" applyFill="1" applyBorder="1" applyAlignment="1">
      <alignment horizontal="left"/>
    </xf>
    <xf numFmtId="4" fontId="3" fillId="2" borderId="8" xfId="6" applyNumberFormat="1" applyFont="1" applyFill="1" applyBorder="1"/>
    <xf numFmtId="0" fontId="3" fillId="2" borderId="4" xfId="6" applyFont="1" applyFill="1" applyBorder="1" applyAlignment="1">
      <alignment horizontal="left"/>
    </xf>
    <xf numFmtId="3" fontId="4" fillId="2" borderId="11" xfId="4" applyNumberFormat="1" applyFont="1" applyFill="1" applyBorder="1" applyAlignment="1" applyProtection="1"/>
    <xf numFmtId="3" fontId="4" fillId="2" borderId="0" xfId="4" applyNumberFormat="1" applyFont="1" applyFill="1" applyBorder="1" applyAlignment="1" applyProtection="1"/>
    <xf numFmtId="3" fontId="4" fillId="2" borderId="6" xfId="4" applyNumberFormat="1" applyFont="1" applyFill="1" applyBorder="1" applyAlignment="1" applyProtection="1"/>
    <xf numFmtId="3" fontId="49" fillId="7" borderId="0" xfId="0" applyNumberFormat="1" applyFont="1" applyFill="1"/>
    <xf numFmtId="0" fontId="26" fillId="7" borderId="21" xfId="0" applyFont="1" applyFill="1" applyBorder="1"/>
    <xf numFmtId="0" fontId="26" fillId="7" borderId="22" xfId="0" applyFont="1" applyFill="1" applyBorder="1" applyAlignment="1">
      <alignment horizontal="right"/>
    </xf>
    <xf numFmtId="3" fontId="26" fillId="7" borderId="23" xfId="0" applyNumberFormat="1" applyFont="1" applyFill="1" applyBorder="1" applyAlignment="1">
      <alignment horizontal="right"/>
    </xf>
    <xf numFmtId="0" fontId="27" fillId="7" borderId="5" xfId="0" applyFont="1" applyFill="1" applyBorder="1"/>
    <xf numFmtId="2" fontId="27" fillId="7" borderId="0" xfId="0" applyNumberFormat="1" applyFont="1" applyFill="1"/>
    <xf numFmtId="2" fontId="26" fillId="7" borderId="8" xfId="0" applyNumberFormat="1" applyFont="1" applyFill="1" applyBorder="1"/>
    <xf numFmtId="0" fontId="27" fillId="7" borderId="11" xfId="0" applyFont="1" applyFill="1" applyBorder="1"/>
    <xf numFmtId="4" fontId="26" fillId="7" borderId="9" xfId="0" applyNumberFormat="1" applyFont="1" applyFill="1" applyBorder="1"/>
    <xf numFmtId="3" fontId="27" fillId="7" borderId="23" xfId="0" applyNumberFormat="1" applyFont="1" applyFill="1" applyBorder="1" applyAlignment="1">
      <alignment horizontal="right"/>
    </xf>
    <xf numFmtId="3" fontId="27" fillId="7" borderId="8" xfId="0" applyNumberFormat="1" applyFont="1" applyFill="1" applyBorder="1"/>
    <xf numFmtId="3" fontId="27" fillId="7" borderId="9" xfId="0" applyNumberFormat="1" applyFont="1" applyFill="1" applyBorder="1"/>
    <xf numFmtId="0" fontId="37" fillId="7" borderId="1" xfId="0" applyFont="1" applyFill="1" applyBorder="1"/>
    <xf numFmtId="0" fontId="37" fillId="7" borderId="2" xfId="0" applyFont="1" applyFill="1" applyBorder="1"/>
    <xf numFmtId="0" fontId="39" fillId="7" borderId="8" xfId="0" applyFont="1" applyFill="1" applyBorder="1"/>
    <xf numFmtId="0" fontId="23" fillId="7" borderId="8" xfId="4" applyFill="1" applyBorder="1"/>
    <xf numFmtId="0" fontId="39" fillId="7" borderId="2" xfId="0" applyFont="1" applyFill="1" applyBorder="1" applyAlignment="1">
      <alignment horizontal="center"/>
    </xf>
    <xf numFmtId="0" fontId="37" fillId="7" borderId="3" xfId="0" applyFont="1" applyFill="1" applyBorder="1"/>
    <xf numFmtId="0" fontId="23" fillId="7" borderId="8" xfId="4" quotePrefix="1" applyFill="1" applyBorder="1"/>
    <xf numFmtId="4" fontId="3" fillId="2" borderId="0" xfId="6" applyNumberFormat="1" applyFont="1" applyFill="1" applyBorder="1"/>
    <xf numFmtId="178" fontId="3" fillId="2" borderId="0" xfId="6" applyNumberFormat="1" applyFont="1" applyFill="1" applyBorder="1"/>
    <xf numFmtId="4" fontId="3" fillId="2" borderId="0" xfId="4" applyNumberFormat="1" applyFont="1" applyFill="1" applyBorder="1" applyAlignment="1" applyProtection="1"/>
    <xf numFmtId="185" fontId="3" fillId="2" borderId="9" xfId="9" applyNumberFormat="1" applyFont="1" applyFill="1" applyBorder="1"/>
    <xf numFmtId="185" fontId="3" fillId="2" borderId="11" xfId="9" applyNumberFormat="1" applyFont="1" applyFill="1" applyBorder="1"/>
    <xf numFmtId="185" fontId="3" fillId="2" borderId="11" xfId="9" applyNumberFormat="1" applyFont="1" applyFill="1" applyBorder="1" applyAlignment="1" applyProtection="1"/>
    <xf numFmtId="185" fontId="3" fillId="2" borderId="8" xfId="9" applyNumberFormat="1" applyFont="1" applyFill="1" applyBorder="1"/>
    <xf numFmtId="185" fontId="3" fillId="2" borderId="0" xfId="9" applyNumberFormat="1" applyFont="1" applyFill="1" applyBorder="1"/>
    <xf numFmtId="185" fontId="3" fillId="2" borderId="0" xfId="9" applyNumberFormat="1" applyFont="1" applyFill="1" applyBorder="1" applyAlignment="1" applyProtection="1"/>
    <xf numFmtId="0" fontId="3" fillId="2" borderId="0" xfId="6" applyFont="1" applyFill="1" applyBorder="1" applyAlignment="1">
      <alignment horizontal="left" vertical="top"/>
    </xf>
    <xf numFmtId="3" fontId="3" fillId="2" borderId="0" xfId="4" applyNumberFormat="1" applyFont="1" applyFill="1" applyBorder="1" applyAlignment="1" applyProtection="1">
      <alignment horizontal="right"/>
    </xf>
    <xf numFmtId="170" fontId="3" fillId="2" borderId="0" xfId="6" applyNumberFormat="1" applyFont="1" applyFill="1" applyBorder="1" applyAlignment="1"/>
    <xf numFmtId="4" fontId="3" fillId="2" borderId="8" xfId="6" applyNumberFormat="1" applyFont="1" applyFill="1" applyBorder="1" applyAlignment="1">
      <alignment horizontal="right"/>
    </xf>
    <xf numFmtId="4" fontId="3" fillId="2" borderId="0" xfId="6" applyNumberFormat="1" applyFont="1" applyFill="1" applyBorder="1" applyAlignment="1">
      <alignment horizontal="right"/>
    </xf>
    <xf numFmtId="4" fontId="3" fillId="2" borderId="0" xfId="4" applyNumberFormat="1" applyFont="1" applyFill="1" applyBorder="1" applyAlignment="1" applyProtection="1">
      <alignment horizontal="right"/>
    </xf>
    <xf numFmtId="3" fontId="3" fillId="2" borderId="8" xfId="4" applyNumberFormat="1" applyFont="1" applyFill="1" applyBorder="1" applyAlignment="1" applyProtection="1">
      <alignment horizontal="right"/>
    </xf>
    <xf numFmtId="0" fontId="22" fillId="3" borderId="0" xfId="0" applyFont="1" applyFill="1"/>
    <xf numFmtId="179" fontId="0" fillId="3" borderId="0" xfId="0" applyNumberFormat="1" applyFill="1"/>
    <xf numFmtId="179" fontId="22" fillId="3" borderId="0" xfId="0" applyNumberFormat="1" applyFont="1" applyFill="1"/>
    <xf numFmtId="0" fontId="0" fillId="3" borderId="11" xfId="0" applyFill="1" applyBorder="1" applyAlignment="1">
      <alignment horizontal="center"/>
    </xf>
    <xf numFmtId="3" fontId="3" fillId="2" borderId="0" xfId="6" applyNumberFormat="1" applyFont="1" applyFill="1" applyBorder="1" applyAlignment="1">
      <alignment horizontal="center"/>
    </xf>
    <xf numFmtId="0" fontId="24" fillId="17" borderId="21" xfId="0" applyFont="1" applyFill="1" applyBorder="1"/>
    <xf numFmtId="0" fontId="23" fillId="3" borderId="0" xfId="4" applyFill="1" applyAlignment="1">
      <alignment horizontal="left"/>
    </xf>
    <xf numFmtId="0" fontId="54" fillId="3" borderId="2" xfId="0" applyFont="1" applyFill="1" applyBorder="1" applyAlignment="1">
      <alignment horizontal="center"/>
    </xf>
    <xf numFmtId="1" fontId="3" fillId="2" borderId="0" xfId="6" applyNumberFormat="1" applyFont="1" applyFill="1"/>
    <xf numFmtId="2" fontId="3" fillId="2" borderId="9" xfId="6" applyNumberFormat="1" applyFont="1" applyFill="1" applyBorder="1" applyAlignment="1">
      <alignment horizontal="center"/>
    </xf>
    <xf numFmtId="0" fontId="3" fillId="2" borderId="8" xfId="6" applyFont="1" applyFill="1" applyBorder="1" applyAlignment="1">
      <alignment horizontal="center"/>
    </xf>
    <xf numFmtId="0" fontId="2" fillId="3" borderId="0" xfId="6" applyFill="1"/>
    <xf numFmtId="0" fontId="2" fillId="3" borderId="0" xfId="6" applyNumberFormat="1" applyFill="1"/>
    <xf numFmtId="186" fontId="2" fillId="3" borderId="0" xfId="6" applyNumberFormat="1" applyFill="1"/>
    <xf numFmtId="186" fontId="2" fillId="3" borderId="0" xfId="10" applyNumberFormat="1" applyFont="1" applyFill="1"/>
    <xf numFmtId="0" fontId="2" fillId="3" borderId="0" xfId="6" applyFill="1" applyAlignment="1">
      <alignment wrapText="1"/>
    </xf>
    <xf numFmtId="0" fontId="23" fillId="18" borderId="0" xfId="4" applyFill="1" applyAlignment="1" applyProtection="1"/>
    <xf numFmtId="0" fontId="2" fillId="7" borderId="0" xfId="0" applyFont="1" applyFill="1"/>
    <xf numFmtId="1" fontId="2" fillId="7" borderId="0" xfId="0" applyNumberFormat="1" applyFont="1" applyFill="1"/>
    <xf numFmtId="0" fontId="2" fillId="19" borderId="0" xfId="0" applyFont="1" applyFill="1"/>
    <xf numFmtId="0" fontId="37" fillId="0" borderId="0" xfId="0" applyFont="1" applyFill="1"/>
    <xf numFmtId="0" fontId="24" fillId="3" borderId="0" xfId="0" applyFont="1" applyFill="1" applyAlignment="1">
      <alignment horizontal="left" vertical="top" wrapText="1"/>
    </xf>
    <xf numFmtId="0" fontId="37" fillId="3" borderId="0" xfId="0" applyFont="1" applyFill="1"/>
    <xf numFmtId="0" fontId="37" fillId="3" borderId="8" xfId="0" applyFont="1" applyFill="1" applyBorder="1"/>
    <xf numFmtId="0" fontId="37" fillId="3" borderId="6" xfId="0" applyFont="1" applyFill="1" applyBorder="1"/>
    <xf numFmtId="0" fontId="0" fillId="12" borderId="2" xfId="0" applyFill="1" applyBorder="1"/>
    <xf numFmtId="0" fontId="27" fillId="7" borderId="4" xfId="0" applyFont="1" applyFill="1" applyBorder="1"/>
    <xf numFmtId="4" fontId="27" fillId="7" borderId="7" xfId="0" applyNumberFormat="1" applyFont="1" applyFill="1" applyBorder="1"/>
    <xf numFmtId="4" fontId="27" fillId="7" borderId="8" xfId="0" applyNumberFormat="1" applyFont="1" applyFill="1" applyBorder="1"/>
    <xf numFmtId="0" fontId="3" fillId="12" borderId="0" xfId="6" applyFont="1" applyFill="1" applyAlignment="1">
      <alignment horizontal="left"/>
    </xf>
    <xf numFmtId="0" fontId="3" fillId="20" borderId="1" xfId="6" applyFont="1" applyFill="1" applyBorder="1" applyAlignment="1">
      <alignment horizontal="center"/>
    </xf>
    <xf numFmtId="0" fontId="3" fillId="12" borderId="1" xfId="6" applyFont="1" applyFill="1" applyBorder="1" applyAlignment="1">
      <alignment horizontal="center"/>
    </xf>
    <xf numFmtId="0" fontId="3" fillId="21" borderId="2" xfId="6" applyFont="1" applyFill="1" applyBorder="1" applyAlignment="1">
      <alignment horizontal="center"/>
    </xf>
    <xf numFmtId="0" fontId="3" fillId="22" borderId="1" xfId="6" applyFont="1" applyFill="1" applyBorder="1" applyAlignment="1">
      <alignment horizontal="center"/>
    </xf>
    <xf numFmtId="0" fontId="3" fillId="23" borderId="0" xfId="6" applyFont="1" applyFill="1" applyAlignment="1">
      <alignment horizontal="center"/>
    </xf>
    <xf numFmtId="0" fontId="3" fillId="24" borderId="1" xfId="6" applyFont="1" applyFill="1" applyBorder="1" applyAlignment="1">
      <alignment horizontal="center"/>
    </xf>
    <xf numFmtId="0" fontId="3" fillId="10" borderId="0" xfId="6" applyFont="1" applyFill="1" applyAlignment="1">
      <alignment horizontal="left"/>
    </xf>
    <xf numFmtId="0" fontId="3" fillId="15" borderId="2" xfId="6" applyFont="1" applyFill="1" applyBorder="1" applyAlignment="1">
      <alignment horizontal="center"/>
    </xf>
    <xf numFmtId="0" fontId="3" fillId="10" borderId="2" xfId="6" applyFont="1" applyFill="1" applyBorder="1" applyAlignment="1">
      <alignment horizontal="center"/>
    </xf>
    <xf numFmtId="0" fontId="3" fillId="25" borderId="2" xfId="6" applyFont="1" applyFill="1" applyBorder="1" applyAlignment="1">
      <alignment horizontal="center"/>
    </xf>
    <xf numFmtId="0" fontId="3" fillId="26" borderId="2" xfId="6" applyFont="1" applyFill="1" applyBorder="1" applyAlignment="1">
      <alignment horizontal="center"/>
    </xf>
    <xf numFmtId="0" fontId="3" fillId="5" borderId="0" xfId="6" applyFont="1" applyFill="1" applyAlignment="1">
      <alignment horizontal="center"/>
    </xf>
    <xf numFmtId="0" fontId="3" fillId="27" borderId="2" xfId="6" applyFont="1" applyFill="1" applyBorder="1" applyAlignment="1">
      <alignment horizontal="center"/>
    </xf>
    <xf numFmtId="0" fontId="3" fillId="24" borderId="0" xfId="6" applyFont="1" applyFill="1" applyAlignment="1">
      <alignment horizontal="left"/>
    </xf>
    <xf numFmtId="0" fontId="3" fillId="28" borderId="2" xfId="6" applyFont="1" applyFill="1" applyBorder="1" applyAlignment="1">
      <alignment horizontal="center"/>
    </xf>
    <xf numFmtId="0" fontId="3" fillId="2" borderId="0" xfId="6" applyFont="1" applyFill="1" applyAlignment="1">
      <alignment horizontal="center"/>
    </xf>
    <xf numFmtId="0" fontId="3" fillId="29" borderId="0" xfId="6" applyFont="1" applyFill="1" applyAlignment="1">
      <alignment horizontal="center"/>
    </xf>
    <xf numFmtId="0" fontId="3" fillId="20" borderId="0" xfId="6" applyFont="1" applyFill="1" applyAlignment="1">
      <alignment horizontal="left"/>
    </xf>
    <xf numFmtId="0" fontId="3" fillId="30" borderId="2" xfId="6" applyFont="1" applyFill="1" applyBorder="1" applyAlignment="1">
      <alignment horizontal="center"/>
    </xf>
    <xf numFmtId="0" fontId="3" fillId="31" borderId="2" xfId="6" applyFont="1" applyFill="1" applyBorder="1" applyAlignment="1">
      <alignment horizontal="center"/>
    </xf>
    <xf numFmtId="0" fontId="3" fillId="28" borderId="0" xfId="6" applyFont="1" applyFill="1" applyAlignment="1">
      <alignment horizontal="left"/>
    </xf>
    <xf numFmtId="0" fontId="3" fillId="15" borderId="0" xfId="6" applyFont="1" applyFill="1" applyAlignment="1">
      <alignment horizontal="left"/>
    </xf>
    <xf numFmtId="0" fontId="3" fillId="30" borderId="0" xfId="6" applyFont="1" applyFill="1" applyAlignment="1">
      <alignment horizontal="left"/>
    </xf>
    <xf numFmtId="0" fontId="3" fillId="23" borderId="0" xfId="6" applyFont="1" applyFill="1" applyAlignment="1">
      <alignment horizontal="left"/>
    </xf>
    <xf numFmtId="0" fontId="3" fillId="27" borderId="0" xfId="6" applyFont="1" applyFill="1" applyAlignment="1">
      <alignment horizontal="left"/>
    </xf>
    <xf numFmtId="0" fontId="3" fillId="22" borderId="0" xfId="6" applyFont="1" applyFill="1" applyAlignment="1">
      <alignment horizontal="left"/>
    </xf>
    <xf numFmtId="0" fontId="3" fillId="5" borderId="0" xfId="6" applyFont="1" applyFill="1" applyAlignment="1">
      <alignment horizontal="left"/>
    </xf>
    <xf numFmtId="0" fontId="3" fillId="26" borderId="0" xfId="6" applyFont="1" applyFill="1" applyAlignment="1">
      <alignment horizontal="left"/>
    </xf>
    <xf numFmtId="0" fontId="3" fillId="29" borderId="0" xfId="6" applyFont="1" applyFill="1" applyAlignment="1">
      <alignment horizontal="left"/>
    </xf>
    <xf numFmtId="0" fontId="3" fillId="31" borderId="0" xfId="6" applyFont="1" applyFill="1" applyAlignment="1">
      <alignment horizontal="left"/>
    </xf>
    <xf numFmtId="0" fontId="3" fillId="21" borderId="0" xfId="6" applyFont="1" applyFill="1" applyAlignment="1">
      <alignment horizontal="left"/>
    </xf>
    <xf numFmtId="0" fontId="3" fillId="25" borderId="0" xfId="6" applyFont="1" applyFill="1" applyAlignment="1">
      <alignment horizontal="left"/>
    </xf>
    <xf numFmtId="0" fontId="3" fillId="2" borderId="3" xfId="6" applyFont="1" applyFill="1" applyBorder="1" applyAlignment="1">
      <alignment horizontal="center"/>
    </xf>
    <xf numFmtId="0" fontId="3" fillId="2" borderId="0" xfId="6" applyFont="1" applyFill="1" applyBorder="1" applyAlignment="1">
      <alignment horizontal="center"/>
    </xf>
    <xf numFmtId="0" fontId="37" fillId="7" borderId="21" xfId="0" applyFont="1" applyFill="1" applyBorder="1" applyAlignment="1">
      <alignment horizontal="justify" vertical="center" wrapText="1"/>
    </xf>
    <xf numFmtId="0" fontId="37" fillId="7" borderId="22" xfId="0" applyFont="1" applyFill="1" applyBorder="1" applyAlignment="1">
      <alignment horizontal="left" vertical="top" wrapText="1"/>
    </xf>
    <xf numFmtId="0" fontId="37" fillId="7" borderId="21" xfId="0" applyFont="1" applyFill="1" applyBorder="1" applyAlignment="1">
      <alignment horizontal="left" vertical="top" wrapText="1"/>
    </xf>
    <xf numFmtId="0" fontId="37" fillId="7" borderId="23" xfId="0" applyFont="1" applyFill="1" applyBorder="1" applyAlignment="1">
      <alignment horizontal="left" vertical="top" wrapText="1"/>
    </xf>
    <xf numFmtId="0" fontId="37" fillId="7" borderId="5" xfId="0" applyFont="1" applyFill="1" applyBorder="1" applyAlignment="1">
      <alignment horizontal="justify" vertical="center" wrapText="1"/>
    </xf>
    <xf numFmtId="3" fontId="37" fillId="7" borderId="8" xfId="0" applyNumberFormat="1" applyFont="1" applyFill="1" applyBorder="1" applyAlignment="1">
      <alignment horizontal="right" vertical="center" wrapText="1"/>
    </xf>
    <xf numFmtId="0" fontId="37" fillId="7" borderId="0" xfId="0" applyFont="1" applyFill="1" applyAlignment="1">
      <alignment horizontal="left" vertical="center"/>
    </xf>
    <xf numFmtId="3" fontId="37" fillId="7" borderId="22" xfId="0" applyNumberFormat="1" applyFont="1" applyFill="1" applyBorder="1" applyAlignment="1">
      <alignment horizontal="right" vertical="center" wrapText="1"/>
    </xf>
    <xf numFmtId="0" fontId="37" fillId="7" borderId="21" xfId="0" applyFont="1" applyFill="1" applyBorder="1" applyAlignment="1">
      <alignment horizontal="left" vertical="center" wrapText="1"/>
    </xf>
    <xf numFmtId="3" fontId="37" fillId="7" borderId="23" xfId="0" applyNumberFormat="1" applyFont="1" applyFill="1" applyBorder="1" applyAlignment="1">
      <alignment horizontal="right" vertical="center" wrapText="1"/>
    </xf>
    <xf numFmtId="3" fontId="39" fillId="7" borderId="0" xfId="0" applyNumberFormat="1" applyFont="1" applyFill="1" applyAlignment="1">
      <alignment horizontal="center"/>
    </xf>
    <xf numFmtId="3" fontId="55" fillId="7" borderId="0" xfId="0" applyNumberFormat="1" applyFont="1" applyFill="1" applyAlignment="1">
      <alignment horizontal="right" vertical="center" wrapText="1"/>
    </xf>
    <xf numFmtId="3" fontId="39" fillId="7" borderId="0" xfId="0" applyNumberFormat="1" applyFont="1" applyFill="1"/>
    <xf numFmtId="0" fontId="31" fillId="3" borderId="0" xfId="0" applyFont="1" applyFill="1"/>
    <xf numFmtId="3" fontId="31" fillId="3" borderId="0" xfId="0" applyNumberFormat="1" applyFont="1" applyFill="1"/>
    <xf numFmtId="3" fontId="28" fillId="3" borderId="23" xfId="0" applyNumberFormat="1" applyFont="1" applyFill="1" applyBorder="1" applyAlignment="1">
      <alignment horizontal="right" vertical="center" wrapText="1"/>
    </xf>
    <xf numFmtId="0" fontId="28" fillId="3" borderId="21" xfId="0" applyFont="1" applyFill="1" applyBorder="1" applyAlignment="1">
      <alignment horizontal="left" vertical="center" wrapText="1"/>
    </xf>
    <xf numFmtId="3" fontId="28" fillId="3" borderId="22" xfId="0" applyNumberFormat="1" applyFont="1" applyFill="1" applyBorder="1" applyAlignment="1">
      <alignment horizontal="right" vertical="center" wrapText="1"/>
    </xf>
    <xf numFmtId="0" fontId="28" fillId="3" borderId="21" xfId="0" applyFont="1" applyFill="1" applyBorder="1" applyAlignment="1">
      <alignment horizontal="justify" vertical="center" wrapText="1"/>
    </xf>
    <xf numFmtId="3" fontId="28" fillId="3" borderId="8" xfId="0" applyNumberFormat="1" applyFont="1" applyFill="1" applyBorder="1" applyAlignment="1">
      <alignment horizontal="right" vertical="center" wrapText="1"/>
    </xf>
    <xf numFmtId="0" fontId="28" fillId="3" borderId="5" xfId="0" applyFont="1" applyFill="1" applyBorder="1" applyAlignment="1">
      <alignment horizontal="justify" vertical="center" wrapText="1"/>
    </xf>
    <xf numFmtId="3" fontId="28" fillId="3" borderId="0" xfId="0" applyNumberFormat="1" applyFont="1" applyFill="1" applyBorder="1" applyAlignment="1">
      <alignment horizontal="right" vertical="center" wrapText="1"/>
    </xf>
    <xf numFmtId="3" fontId="56" fillId="3" borderId="0" xfId="0" applyNumberFormat="1" applyFont="1" applyFill="1" applyBorder="1" applyAlignment="1">
      <alignment horizontal="right" vertical="center" wrapText="1"/>
    </xf>
    <xf numFmtId="0" fontId="28" fillId="3" borderId="5" xfId="0" applyFont="1" applyFill="1" applyBorder="1" applyAlignment="1">
      <alignment horizontal="left" vertical="center" wrapText="1"/>
    </xf>
    <xf numFmtId="0" fontId="28" fillId="3" borderId="23" xfId="0" applyFont="1" applyFill="1" applyBorder="1" applyAlignment="1">
      <alignment horizontal="left" vertical="top" wrapText="1"/>
    </xf>
    <xf numFmtId="0" fontId="28" fillId="3" borderId="21" xfId="0" applyFont="1" applyFill="1" applyBorder="1" applyAlignment="1">
      <alignment horizontal="left" vertical="top" wrapText="1"/>
    </xf>
    <xf numFmtId="0" fontId="28" fillId="3" borderId="22" xfId="0" applyFont="1" applyFill="1" applyBorder="1" applyAlignment="1">
      <alignment horizontal="left" vertical="top" wrapText="1"/>
    </xf>
    <xf numFmtId="3" fontId="31" fillId="3" borderId="0" xfId="0" applyNumberFormat="1" applyFont="1" applyFill="1" applyBorder="1" applyAlignment="1">
      <alignment horizontal="center"/>
    </xf>
    <xf numFmtId="0" fontId="57" fillId="7" borderId="0" xfId="0" applyFont="1" applyFill="1"/>
    <xf numFmtId="0" fontId="23" fillId="3" borderId="3" xfId="4" applyFill="1" applyBorder="1"/>
    <xf numFmtId="0" fontId="43" fillId="7" borderId="25" xfId="0" applyFont="1" applyFill="1" applyBorder="1"/>
    <xf numFmtId="0" fontId="43" fillId="7" borderId="23" xfId="0" applyFont="1" applyFill="1" applyBorder="1"/>
    <xf numFmtId="164" fontId="42" fillId="7" borderId="9" xfId="0" applyNumberFormat="1" applyFont="1" applyFill="1" applyBorder="1"/>
    <xf numFmtId="0" fontId="43" fillId="7" borderId="3" xfId="0" applyFont="1" applyFill="1" applyBorder="1"/>
    <xf numFmtId="164" fontId="42" fillId="7" borderId="9" xfId="0" applyNumberFormat="1" applyFont="1" applyFill="1" applyBorder="1" applyAlignment="1">
      <alignment horizontal="center"/>
    </xf>
    <xf numFmtId="169" fontId="37" fillId="7" borderId="0" xfId="0" applyNumberFormat="1" applyFont="1" applyFill="1" applyAlignment="1">
      <alignment horizontal="left" vertical="top"/>
    </xf>
    <xf numFmtId="181" fontId="5" fillId="2" borderId="0" xfId="6" applyNumberFormat="1" applyFont="1" applyFill="1" applyAlignment="1">
      <alignment horizontal="center"/>
    </xf>
    <xf numFmtId="181" fontId="3" fillId="2" borderId="0" xfId="6" applyNumberFormat="1" applyFont="1" applyFill="1"/>
    <xf numFmtId="0" fontId="5" fillId="2" borderId="0" xfId="6" applyFont="1" applyFill="1" applyAlignment="1">
      <alignment horizontal="center"/>
    </xf>
    <xf numFmtId="181" fontId="5" fillId="2" borderId="0" xfId="6" applyNumberFormat="1" applyFont="1" applyFill="1" applyBorder="1" applyAlignment="1">
      <alignment horizontal="center"/>
    </xf>
    <xf numFmtId="10" fontId="3" fillId="2" borderId="7" xfId="9" applyNumberFormat="1" applyFont="1" applyFill="1" applyBorder="1"/>
    <xf numFmtId="0" fontId="3" fillId="2" borderId="7" xfId="6" applyFont="1" applyFill="1" applyBorder="1" applyAlignment="1">
      <alignment horizontal="center"/>
    </xf>
    <xf numFmtId="0" fontId="3" fillId="2" borderId="6" xfId="6" applyFont="1" applyFill="1" applyBorder="1" applyAlignment="1">
      <alignment horizontal="center"/>
    </xf>
    <xf numFmtId="181" fontId="5" fillId="2" borderId="9" xfId="6" applyNumberFormat="1" applyFont="1" applyFill="1" applyBorder="1" applyAlignment="1">
      <alignment horizontal="center"/>
    </xf>
    <xf numFmtId="181" fontId="3" fillId="2" borderId="11" xfId="6" applyNumberFormat="1" applyFont="1" applyFill="1" applyBorder="1" applyAlignment="1">
      <alignment horizontal="center"/>
    </xf>
    <xf numFmtId="181" fontId="3" fillId="2" borderId="8" xfId="6" applyNumberFormat="1" applyFont="1" applyFill="1" applyBorder="1" applyAlignment="1">
      <alignment horizontal="center"/>
    </xf>
    <xf numFmtId="181" fontId="3" fillId="2" borderId="0" xfId="6" applyNumberFormat="1" applyFont="1" applyFill="1" applyBorder="1" applyAlignment="1">
      <alignment horizontal="center"/>
    </xf>
    <xf numFmtId="10" fontId="3" fillId="2" borderId="11" xfId="9" applyNumberFormat="1" applyFont="1" applyFill="1" applyBorder="1"/>
    <xf numFmtId="10" fontId="3" fillId="2" borderId="6" xfId="9" applyNumberFormat="1" applyFont="1" applyFill="1" applyBorder="1"/>
    <xf numFmtId="0" fontId="3" fillId="2" borderId="9" xfId="6" applyNumberFormat="1" applyFont="1" applyFill="1" applyBorder="1"/>
    <xf numFmtId="0" fontId="3" fillId="2" borderId="11" xfId="6" applyNumberFormat="1" applyFont="1" applyFill="1" applyBorder="1"/>
    <xf numFmtId="0" fontId="3" fillId="2" borderId="9" xfId="6" applyFont="1" applyFill="1" applyBorder="1" applyAlignment="1">
      <alignment horizontal="right"/>
    </xf>
    <xf numFmtId="0" fontId="27" fillId="7" borderId="4" xfId="0" applyFont="1" applyFill="1" applyBorder="1" applyAlignment="1">
      <alignment horizontal="right"/>
    </xf>
    <xf numFmtId="0" fontId="27" fillId="7" borderId="6" xfId="0" applyFont="1" applyFill="1" applyBorder="1" applyAlignment="1">
      <alignment horizontal="right"/>
    </xf>
    <xf numFmtId="0" fontId="27" fillId="7" borderId="7" xfId="0" applyFont="1" applyFill="1" applyBorder="1" applyAlignment="1">
      <alignment horizontal="right"/>
    </xf>
    <xf numFmtId="10" fontId="27" fillId="7" borderId="5" xfId="0" applyNumberFormat="1" applyFont="1" applyFill="1" applyBorder="1"/>
    <xf numFmtId="0" fontId="27" fillId="7" borderId="8" xfId="0" applyFont="1" applyFill="1" applyBorder="1"/>
    <xf numFmtId="10" fontId="27" fillId="7" borderId="11" xfId="0" applyNumberFormat="1" applyFont="1" applyFill="1" applyBorder="1"/>
    <xf numFmtId="0" fontId="27" fillId="7" borderId="6" xfId="0" applyFont="1" applyFill="1" applyBorder="1"/>
    <xf numFmtId="0" fontId="27" fillId="7" borderId="6" xfId="0" applyFont="1" applyFill="1" applyBorder="1" applyAlignment="1">
      <alignment horizontal="center"/>
    </xf>
    <xf numFmtId="0" fontId="27" fillId="7" borderId="7" xfId="0" applyFont="1" applyFill="1" applyBorder="1" applyAlignment="1">
      <alignment horizontal="center"/>
    </xf>
    <xf numFmtId="181" fontId="26" fillId="7" borderId="0" xfId="0" applyNumberFormat="1" applyFont="1" applyFill="1" applyAlignment="1">
      <alignment horizontal="center"/>
    </xf>
    <xf numFmtId="181" fontId="27" fillId="7" borderId="0" xfId="0" applyNumberFormat="1" applyFont="1" applyFill="1" applyAlignment="1">
      <alignment horizontal="center"/>
    </xf>
    <xf numFmtId="181" fontId="27" fillId="7" borderId="8" xfId="0" applyNumberFormat="1" applyFont="1" applyFill="1" applyBorder="1" applyAlignment="1">
      <alignment horizontal="center"/>
    </xf>
    <xf numFmtId="181" fontId="27" fillId="7" borderId="11" xfId="0" applyNumberFormat="1" applyFont="1" applyFill="1" applyBorder="1" applyAlignment="1">
      <alignment horizontal="center"/>
    </xf>
    <xf numFmtId="181" fontId="26" fillId="7" borderId="9" xfId="0" applyNumberFormat="1" applyFont="1" applyFill="1" applyBorder="1" applyAlignment="1">
      <alignment horizontal="center"/>
    </xf>
    <xf numFmtId="10" fontId="27" fillId="7" borderId="7" xfId="0" applyNumberFormat="1" applyFont="1" applyFill="1" applyBorder="1"/>
    <xf numFmtId="10" fontId="27" fillId="7" borderId="9" xfId="0" applyNumberFormat="1" applyFont="1" applyFill="1" applyBorder="1"/>
    <xf numFmtId="181" fontId="27" fillId="7" borderId="0" xfId="0" applyNumberFormat="1" applyFont="1" applyFill="1"/>
    <xf numFmtId="187" fontId="27" fillId="7" borderId="0" xfId="0" applyNumberFormat="1" applyFont="1" applyFill="1"/>
    <xf numFmtId="10" fontId="27" fillId="7" borderId="8" xfId="0" applyNumberFormat="1" applyFont="1" applyFill="1" applyBorder="1"/>
    <xf numFmtId="10" fontId="27" fillId="7" borderId="10" xfId="0" applyNumberFormat="1" applyFont="1" applyFill="1" applyBorder="1"/>
    <xf numFmtId="185" fontId="3" fillId="2" borderId="0" xfId="9" applyNumberFormat="1" applyFont="1" applyFill="1"/>
    <xf numFmtId="10" fontId="3" fillId="2" borderId="6" xfId="6" applyNumberFormat="1" applyFont="1" applyFill="1" applyBorder="1"/>
    <xf numFmtId="9" fontId="3" fillId="2" borderId="9" xfId="9" applyNumberFormat="1" applyFont="1" applyFill="1" applyBorder="1"/>
    <xf numFmtId="9" fontId="3" fillId="2" borderId="11" xfId="9" applyNumberFormat="1" applyFont="1" applyFill="1" applyBorder="1"/>
    <xf numFmtId="9" fontId="3" fillId="2" borderId="8" xfId="9" applyNumberFormat="1" applyFont="1" applyFill="1" applyBorder="1"/>
    <xf numFmtId="9" fontId="3" fillId="2" borderId="0" xfId="9" applyNumberFormat="1" applyFont="1" applyFill="1" applyBorder="1"/>
    <xf numFmtId="9" fontId="3" fillId="2" borderId="0" xfId="9" applyNumberFormat="1" applyFont="1" applyFill="1"/>
    <xf numFmtId="10" fontId="5" fillId="2" borderId="6" xfId="6" applyNumberFormat="1" applyFont="1" applyFill="1" applyBorder="1"/>
    <xf numFmtId="171" fontId="3" fillId="2" borderId="0" xfId="9" applyNumberFormat="1" applyFont="1" applyFill="1"/>
    <xf numFmtId="0" fontId="5" fillId="2" borderId="9" xfId="6" applyFont="1" applyFill="1" applyBorder="1"/>
    <xf numFmtId="10" fontId="3" fillId="2" borderId="0" xfId="9" applyNumberFormat="1" applyFont="1" applyFill="1" applyAlignment="1">
      <alignment horizontal="center"/>
    </xf>
    <xf numFmtId="10" fontId="3" fillId="2" borderId="0" xfId="9" applyNumberFormat="1" applyFont="1" applyFill="1" applyBorder="1" applyAlignment="1">
      <alignment horizontal="center"/>
    </xf>
    <xf numFmtId="3" fontId="9" fillId="2" borderId="0" xfId="4" applyNumberFormat="1" applyFont="1" applyFill="1" applyBorder="1" applyAlignment="1" applyProtection="1"/>
    <xf numFmtId="0" fontId="9" fillId="2" borderId="0" xfId="6" applyFont="1" applyFill="1" applyBorder="1"/>
    <xf numFmtId="10" fontId="3" fillId="2" borderId="0" xfId="6" applyNumberFormat="1" applyFont="1" applyFill="1" applyBorder="1" applyAlignment="1">
      <alignment horizontal="left" vertical="top"/>
    </xf>
    <xf numFmtId="10" fontId="5" fillId="2" borderId="0" xfId="6" applyNumberFormat="1" applyFont="1" applyFill="1" applyBorder="1" applyAlignment="1">
      <alignment horizontal="left" vertical="top"/>
    </xf>
    <xf numFmtId="0" fontId="3" fillId="2" borderId="0" xfId="6" applyFont="1" applyFill="1" applyBorder="1" applyAlignment="1">
      <alignment horizontal="left" vertical="top" wrapText="1"/>
    </xf>
    <xf numFmtId="0" fontId="5" fillId="2" borderId="0" xfId="6" applyFont="1" applyFill="1" applyBorder="1" applyAlignment="1">
      <alignment horizontal="left" vertical="top" wrapText="1"/>
    </xf>
    <xf numFmtId="0" fontId="3" fillId="2" borderId="0" xfId="6" applyFont="1" applyFill="1" applyBorder="1" applyAlignment="1">
      <alignment vertical="top"/>
    </xf>
    <xf numFmtId="0" fontId="5" fillId="2" borderId="0" xfId="6" applyFont="1" applyFill="1" applyBorder="1" applyAlignment="1">
      <alignment vertical="top"/>
    </xf>
    <xf numFmtId="0" fontId="53" fillId="3" borderId="1" xfId="0" applyFont="1" applyFill="1" applyBorder="1" applyAlignment="1">
      <alignment horizontal="center"/>
    </xf>
    <xf numFmtId="0" fontId="27" fillId="7" borderId="0" xfId="0" applyFont="1" applyFill="1" applyBorder="1" applyAlignment="1">
      <alignment horizontal="center"/>
    </xf>
    <xf numFmtId="181" fontId="26" fillId="7" borderId="0" xfId="0" applyNumberFormat="1" applyFont="1" applyFill="1" applyBorder="1" applyAlignment="1">
      <alignment horizontal="center"/>
    </xf>
    <xf numFmtId="181" fontId="26" fillId="7" borderId="8" xfId="0" applyNumberFormat="1" applyFont="1" applyFill="1" applyBorder="1" applyAlignment="1">
      <alignment horizontal="center"/>
    </xf>
    <xf numFmtId="181" fontId="26" fillId="7" borderId="11" xfId="0" applyNumberFormat="1" applyFont="1" applyFill="1" applyBorder="1" applyAlignment="1">
      <alignment horizontal="center"/>
    </xf>
    <xf numFmtId="0" fontId="27" fillId="7" borderId="7" xfId="0" applyFont="1" applyFill="1" applyBorder="1"/>
    <xf numFmtId="3" fontId="3" fillId="2" borderId="0" xfId="6" applyNumberFormat="1" applyFont="1" applyFill="1" applyBorder="1" applyAlignment="1">
      <alignment horizontal="left" wrapText="1"/>
    </xf>
    <xf numFmtId="0" fontId="58" fillId="0" borderId="0" xfId="0" applyFont="1" applyAlignment="1">
      <alignment horizontal="justify"/>
    </xf>
    <xf numFmtId="0" fontId="58" fillId="0" borderId="0" xfId="0" applyFont="1" applyAlignment="1">
      <alignment horizontal="center"/>
    </xf>
    <xf numFmtId="173" fontId="20" fillId="3" borderId="0" xfId="1" applyNumberFormat="1" applyFont="1" applyFill="1" applyBorder="1"/>
    <xf numFmtId="173" fontId="0" fillId="3" borderId="0" xfId="0" applyNumberFormat="1" applyFill="1"/>
    <xf numFmtId="10" fontId="0" fillId="3" borderId="0" xfId="0" applyNumberFormat="1" applyFill="1"/>
    <xf numFmtId="0" fontId="0" fillId="3" borderId="0" xfId="0" applyNumberFormat="1" applyFill="1"/>
    <xf numFmtId="0" fontId="58" fillId="0" borderId="0" xfId="0" applyFont="1"/>
    <xf numFmtId="9" fontId="20" fillId="3" borderId="0" xfId="9" applyFont="1" applyFill="1"/>
    <xf numFmtId="9" fontId="20" fillId="3" borderId="0" xfId="9" applyNumberFormat="1" applyFont="1" applyFill="1"/>
    <xf numFmtId="0" fontId="59" fillId="3" borderId="2" xfId="4" quotePrefix="1" applyFont="1" applyFill="1" applyBorder="1"/>
    <xf numFmtId="0" fontId="0" fillId="3" borderId="2" xfId="0" applyFont="1" applyFill="1" applyBorder="1" applyAlignment="1">
      <alignment horizontal="left"/>
    </xf>
    <xf numFmtId="0" fontId="0" fillId="3" borderId="0" xfId="0" applyFont="1" applyFill="1" applyBorder="1" applyAlignment="1">
      <alignment horizontal="left"/>
    </xf>
    <xf numFmtId="2" fontId="0" fillId="3" borderId="0" xfId="0" applyNumberFormat="1" applyFill="1"/>
    <xf numFmtId="188" fontId="0" fillId="3" borderId="0" xfId="0" applyNumberFormat="1" applyFill="1"/>
    <xf numFmtId="2" fontId="0" fillId="3" borderId="5" xfId="0" applyNumberFormat="1" applyFill="1" applyBorder="1"/>
    <xf numFmtId="10" fontId="0" fillId="3" borderId="5" xfId="0" applyNumberFormat="1" applyFill="1" applyBorder="1"/>
    <xf numFmtId="0" fontId="60" fillId="0" borderId="48" xfId="0" applyFont="1" applyBorder="1" applyAlignment="1">
      <alignment horizontal="justify" vertical="top" wrapText="1"/>
    </xf>
    <xf numFmtId="0" fontId="60" fillId="0" borderId="15" xfId="0" applyFont="1" applyBorder="1" applyAlignment="1">
      <alignment horizontal="justify" vertical="top" wrapText="1"/>
    </xf>
    <xf numFmtId="0" fontId="61" fillId="0" borderId="49" xfId="0" applyFont="1" applyBorder="1" applyAlignment="1">
      <alignment horizontal="justify" vertical="top" wrapText="1"/>
    </xf>
    <xf numFmtId="0" fontId="61" fillId="0" borderId="20" xfId="0" applyFont="1" applyBorder="1" applyAlignment="1">
      <alignment horizontal="justify" vertical="top" wrapText="1"/>
    </xf>
    <xf numFmtId="0" fontId="62" fillId="0" borderId="0" xfId="0" applyFont="1"/>
    <xf numFmtId="10" fontId="20" fillId="3" borderId="0" xfId="9" applyNumberFormat="1" applyFont="1" applyFill="1"/>
    <xf numFmtId="0" fontId="60" fillId="0" borderId="48" xfId="0" applyFont="1" applyBorder="1" applyAlignment="1">
      <alignment vertical="top" wrapText="1"/>
    </xf>
    <xf numFmtId="0" fontId="60" fillId="0" borderId="15" xfId="0" applyFont="1" applyBorder="1" applyAlignment="1">
      <alignment vertical="top" wrapText="1"/>
    </xf>
    <xf numFmtId="0" fontId="61" fillId="0" borderId="49" xfId="0" applyFont="1" applyBorder="1" applyAlignment="1">
      <alignment vertical="top" wrapText="1"/>
    </xf>
    <xf numFmtId="0" fontId="61" fillId="0" borderId="20" xfId="0" applyFont="1" applyBorder="1" applyAlignment="1">
      <alignment vertical="top" wrapText="1"/>
    </xf>
    <xf numFmtId="167" fontId="20" fillId="3" borderId="0" xfId="1" applyFont="1" applyFill="1"/>
    <xf numFmtId="10" fontId="61" fillId="0" borderId="20" xfId="9" applyNumberFormat="1" applyFont="1" applyBorder="1" applyAlignment="1">
      <alignment vertical="top" wrapText="1"/>
    </xf>
    <xf numFmtId="0" fontId="24" fillId="5" borderId="21" xfId="0" applyFont="1" applyFill="1" applyBorder="1" applyAlignment="1">
      <alignment horizontal="center"/>
    </xf>
    <xf numFmtId="0" fontId="24" fillId="5" borderId="22" xfId="0" applyFont="1" applyFill="1" applyBorder="1" applyAlignment="1">
      <alignment horizontal="center"/>
    </xf>
    <xf numFmtId="0" fontId="24" fillId="5" borderId="23" xfId="0" applyFont="1" applyFill="1" applyBorder="1" applyAlignment="1">
      <alignment horizontal="center"/>
    </xf>
    <xf numFmtId="0" fontId="24" fillId="4" borderId="21" xfId="0" applyFont="1" applyFill="1" applyBorder="1" applyAlignment="1">
      <alignment horizontal="center"/>
    </xf>
    <xf numFmtId="0" fontId="24" fillId="4" borderId="22" xfId="0" applyFont="1" applyFill="1" applyBorder="1" applyAlignment="1">
      <alignment horizontal="center"/>
    </xf>
    <xf numFmtId="0" fontId="24" fillId="4" borderId="23" xfId="0" applyFont="1" applyFill="1" applyBorder="1" applyAlignment="1">
      <alignment horizontal="center"/>
    </xf>
    <xf numFmtId="0" fontId="63" fillId="3" borderId="0" xfId="0" applyFont="1" applyFill="1" applyAlignment="1">
      <alignment horizontal="center" vertical="center"/>
    </xf>
    <xf numFmtId="0" fontId="47" fillId="3" borderId="0" xfId="0" applyFont="1" applyFill="1" applyAlignment="1">
      <alignment horizontal="center"/>
    </xf>
    <xf numFmtId="0" fontId="0" fillId="3" borderId="0" xfId="0" applyFill="1" applyAlignment="1">
      <alignment horizontal="center" vertical="center"/>
    </xf>
    <xf numFmtId="0" fontId="23" fillId="3" borderId="0" xfId="4" quotePrefix="1" applyFill="1" applyAlignment="1">
      <alignment horizontal="center"/>
    </xf>
    <xf numFmtId="0" fontId="23" fillId="3" borderId="0" xfId="4" applyFill="1" applyAlignment="1">
      <alignment horizontal="center"/>
    </xf>
    <xf numFmtId="0" fontId="3" fillId="2" borderId="12" xfId="6" applyFont="1" applyFill="1" applyBorder="1"/>
    <xf numFmtId="0" fontId="27" fillId="32" borderId="11" xfId="0" applyFont="1" applyFill="1" applyBorder="1" applyAlignment="1">
      <alignment horizontal="center"/>
    </xf>
    <xf numFmtId="0" fontId="27" fillId="33" borderId="11" xfId="0" applyFont="1" applyFill="1" applyBorder="1" applyAlignment="1">
      <alignment horizontal="center"/>
    </xf>
    <xf numFmtId="0" fontId="3" fillId="2" borderId="37" xfId="6" applyFont="1" applyFill="1" applyBorder="1"/>
    <xf numFmtId="0" fontId="3" fillId="2" borderId="22" xfId="6" applyFont="1" applyFill="1" applyBorder="1"/>
    <xf numFmtId="0" fontId="5" fillId="2" borderId="44" xfId="6" applyFont="1" applyFill="1" applyBorder="1" applyAlignment="1">
      <alignment horizontal="left"/>
    </xf>
    <xf numFmtId="0" fontId="5" fillId="2" borderId="43" xfId="6" applyFont="1" applyFill="1" applyBorder="1" applyAlignment="1">
      <alignment horizontal="left"/>
    </xf>
    <xf numFmtId="0" fontId="5" fillId="2" borderId="50" xfId="6" applyFont="1" applyFill="1" applyBorder="1" applyAlignment="1">
      <alignment horizontal="left"/>
    </xf>
    <xf numFmtId="0" fontId="3" fillId="2" borderId="21" xfId="6" applyFont="1" applyFill="1" applyBorder="1"/>
    <xf numFmtId="0" fontId="39" fillId="7" borderId="0" xfId="0" applyFont="1" applyFill="1" applyAlignment="1">
      <alignment horizontal="center" vertical="center" wrapText="1"/>
    </xf>
    <xf numFmtId="0" fontId="43" fillId="7" borderId="0" xfId="0" applyFont="1" applyFill="1" applyAlignment="1">
      <alignment horizontal="center"/>
    </xf>
    <xf numFmtId="0" fontId="5" fillId="2" borderId="0" xfId="6" applyFont="1" applyFill="1" applyAlignment="1">
      <alignment horizontal="left"/>
    </xf>
    <xf numFmtId="0" fontId="4" fillId="2" borderId="0" xfId="6" applyFont="1" applyFill="1" applyAlignment="1">
      <alignment horizontal="left"/>
    </xf>
    <xf numFmtId="0" fontId="3" fillId="26" borderId="0" xfId="6" applyFont="1" applyFill="1" applyAlignment="1">
      <alignment horizontal="left"/>
    </xf>
    <xf numFmtId="3" fontId="3" fillId="2" borderId="0" xfId="6" applyNumberFormat="1" applyFont="1" applyFill="1" applyBorder="1" applyAlignment="1">
      <alignment horizontal="left" wrapText="1"/>
    </xf>
    <xf numFmtId="0" fontId="3" fillId="2" borderId="11" xfId="6" applyFont="1" applyFill="1" applyBorder="1" applyAlignment="1">
      <alignment horizontal="center" wrapText="1"/>
    </xf>
    <xf numFmtId="0" fontId="0" fillId="3" borderId="11" xfId="0" applyFill="1" applyBorder="1" applyAlignment="1">
      <alignment horizontal="center"/>
    </xf>
    <xf numFmtId="0" fontId="27" fillId="7" borderId="11" xfId="0" applyFont="1" applyFill="1" applyBorder="1" applyAlignment="1">
      <alignment horizontal="center" wrapText="1"/>
    </xf>
    <xf numFmtId="0" fontId="5" fillId="2" borderId="0" xfId="6" applyFont="1" applyFill="1" applyBorder="1" applyAlignment="1">
      <alignment horizontal="left" vertical="top" wrapText="1"/>
    </xf>
    <xf numFmtId="10" fontId="5" fillId="2" borderId="0" xfId="6" applyNumberFormat="1" applyFont="1" applyFill="1" applyBorder="1" applyAlignment="1">
      <alignment horizontal="left" vertical="top" wrapText="1"/>
    </xf>
    <xf numFmtId="0" fontId="3" fillId="2" borderId="0" xfId="6" applyFont="1" applyFill="1" applyBorder="1" applyAlignment="1">
      <alignment horizontal="left" vertical="top" wrapText="1"/>
    </xf>
    <xf numFmtId="3" fontId="3" fillId="2" borderId="0" xfId="6" applyNumberFormat="1" applyFont="1" applyFill="1" applyBorder="1" applyAlignment="1">
      <alignment horizontal="center"/>
    </xf>
    <xf numFmtId="0" fontId="39" fillId="3" borderId="0" xfId="0" applyFont="1" applyFill="1" applyAlignment="1">
      <alignment horizontal="left" vertical="top" wrapText="1"/>
    </xf>
    <xf numFmtId="0" fontId="39" fillId="3" borderId="0" xfId="0" applyFont="1" applyFill="1" applyAlignment="1">
      <alignment horizontal="center" vertical="top" wrapText="1"/>
    </xf>
    <xf numFmtId="0" fontId="3" fillId="2" borderId="0" xfId="6" applyFont="1" applyFill="1" applyBorder="1" applyAlignment="1">
      <alignment horizontal="center"/>
    </xf>
    <xf numFmtId="0" fontId="3" fillId="2" borderId="11" xfId="6" applyFont="1" applyFill="1" applyBorder="1" applyAlignment="1">
      <alignment horizontal="center"/>
    </xf>
    <xf numFmtId="0" fontId="3" fillId="2" borderId="9" xfId="6" applyFont="1" applyFill="1" applyBorder="1" applyAlignment="1">
      <alignment horizontal="center"/>
    </xf>
    <xf numFmtId="0" fontId="3" fillId="2" borderId="0" xfId="6" applyFont="1" applyFill="1" applyAlignment="1">
      <alignment horizontal="left" vertical="top" wrapText="1"/>
    </xf>
    <xf numFmtId="0" fontId="3" fillId="2" borderId="8" xfId="6" applyFont="1" applyFill="1" applyBorder="1" applyAlignment="1">
      <alignment horizontal="center"/>
    </xf>
    <xf numFmtId="0" fontId="3" fillId="2" borderId="5" xfId="6" applyFont="1" applyFill="1" applyBorder="1" applyAlignment="1">
      <alignment horizontal="center"/>
    </xf>
    <xf numFmtId="0" fontId="2" fillId="7" borderId="0" xfId="0" applyFont="1" applyFill="1"/>
    <xf numFmtId="0" fontId="24" fillId="3" borderId="0" xfId="0" applyFont="1" applyFill="1" applyAlignment="1">
      <alignment horizontal="left" vertical="top" wrapText="1"/>
    </xf>
    <xf numFmtId="0" fontId="5" fillId="2" borderId="21" xfId="6" applyFont="1" applyFill="1" applyBorder="1" applyAlignment="1">
      <alignment horizontal="center"/>
    </xf>
    <xf numFmtId="0" fontId="3" fillId="2" borderId="22" xfId="6" applyFont="1" applyFill="1" applyBorder="1" applyAlignment="1">
      <alignment horizontal="center"/>
    </xf>
    <xf numFmtId="0" fontId="3" fillId="2" borderId="23" xfId="6" applyFont="1" applyFill="1" applyBorder="1" applyAlignment="1">
      <alignment horizontal="center"/>
    </xf>
  </cellXfs>
  <cellStyles count="11">
    <cellStyle name="1000-sep (2 dec) 2" xfId="2" xr:uid="{00000000-0005-0000-0000-000000000000}"/>
    <cellStyle name="1000-sep (2 dec) 3" xfId="3" xr:uid="{00000000-0005-0000-0000-000001000000}"/>
    <cellStyle name="Hyperlink 2" xfId="5" xr:uid="{00000000-0005-0000-0000-000003000000}"/>
    <cellStyle name="Komma" xfId="1" builtinId="3"/>
    <cellStyle name="Link" xfId="4" builtinId="8"/>
    <cellStyle name="Normal" xfId="0" builtinId="0"/>
    <cellStyle name="Normal 2" xfId="6" xr:uid="{00000000-0005-0000-0000-000006000000}"/>
    <cellStyle name="Normal 2 2" xfId="7" xr:uid="{00000000-0005-0000-0000-000007000000}"/>
    <cellStyle name="Normal 3" xfId="8" xr:uid="{00000000-0005-0000-0000-000008000000}"/>
    <cellStyle name="Procent" xfId="9" builtinId="5"/>
    <cellStyle name="Valuta" xfId="10" builtinId="4"/>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spPr>
            <a:ln w="38100">
              <a:solidFill>
                <a:srgbClr val="666699"/>
              </a:solidFill>
              <a:prstDash val="solid"/>
            </a:ln>
          </c:spPr>
          <c:marker>
            <c:symbol val="none"/>
          </c:marker>
          <c:val>
            <c:numRef>
              <c:f>'Afskrivning - eksempel'!$D$30:$D$39</c:f>
              <c:numCache>
                <c:formatCode>General</c:formatCode>
                <c:ptCount val="10"/>
                <c:pt idx="0">
                  <c:v>107500</c:v>
                </c:pt>
                <c:pt idx="1">
                  <c:v>79550</c:v>
                </c:pt>
                <c:pt idx="2" formatCode="0.0">
                  <c:v>59125</c:v>
                </c:pt>
                <c:pt idx="3" formatCode="0.0">
                  <c:v>44139.5</c:v>
                </c:pt>
                <c:pt idx="4" formatCode="0.0">
                  <c:v>33099.25</c:v>
                </c:pt>
                <c:pt idx="5" formatCode="0.0">
                  <c:v>24930.754999999997</c:v>
                </c:pt>
                <c:pt idx="6" formatCode="0.0">
                  <c:v>18860.552499999998</c:v>
                </c:pt>
                <c:pt idx="7" formatCode="0.0">
                  <c:v>14329.605950000001</c:v>
                </c:pt>
                <c:pt idx="8" formatCode="0.0">
                  <c:v>10932.499524999999</c:v>
                </c:pt>
                <c:pt idx="9" formatCode="0.0">
                  <c:v>37532.837025000015</c:v>
                </c:pt>
              </c:numCache>
            </c:numRef>
          </c:val>
          <c:smooth val="0"/>
          <c:extLst>
            <c:ext xmlns:c16="http://schemas.microsoft.com/office/drawing/2014/chart" uri="{C3380CC4-5D6E-409C-BE32-E72D297353CC}">
              <c16:uniqueId val="{00000000-8AE7-49A1-9FD4-BF6100ACE541}"/>
            </c:ext>
          </c:extLst>
        </c:ser>
        <c:ser>
          <c:idx val="1"/>
          <c:order val="1"/>
          <c:spPr>
            <a:ln w="38100">
              <a:solidFill>
                <a:srgbClr val="DD2D32"/>
              </a:solidFill>
              <a:prstDash val="solid"/>
            </a:ln>
          </c:spPr>
          <c:marker>
            <c:symbol val="none"/>
          </c:marker>
          <c:val>
            <c:numRef>
              <c:f>'Afskrivning - eksempel'!$E$30:$E$39</c:f>
              <c:numCache>
                <c:formatCode>General</c:formatCode>
                <c:ptCount val="10"/>
                <c:pt idx="0">
                  <c:v>107500</c:v>
                </c:pt>
                <c:pt idx="1">
                  <c:v>80625</c:v>
                </c:pt>
                <c:pt idx="2" formatCode="0.0">
                  <c:v>60468.75</c:v>
                </c:pt>
                <c:pt idx="3" formatCode="0.0">
                  <c:v>45351.5625</c:v>
                </c:pt>
                <c:pt idx="4" formatCode="0.0">
                  <c:v>34013.671875</c:v>
                </c:pt>
                <c:pt idx="5" formatCode="0.0">
                  <c:v>25510.25390625</c:v>
                </c:pt>
                <c:pt idx="6" formatCode="0.0">
                  <c:v>19132.6904296875</c:v>
                </c:pt>
                <c:pt idx="7" formatCode="0.0">
                  <c:v>14349.517822265625</c:v>
                </c:pt>
                <c:pt idx="8" formatCode="0.0">
                  <c:v>10762.138366699219</c:v>
                </c:pt>
                <c:pt idx="9" formatCode="0.0">
                  <c:v>32286.415100097656</c:v>
                </c:pt>
              </c:numCache>
            </c:numRef>
          </c:val>
          <c:smooth val="0"/>
          <c:extLst>
            <c:ext xmlns:c16="http://schemas.microsoft.com/office/drawing/2014/chart" uri="{C3380CC4-5D6E-409C-BE32-E72D297353CC}">
              <c16:uniqueId val="{00000001-8AE7-49A1-9FD4-BF6100ACE541}"/>
            </c:ext>
          </c:extLst>
        </c:ser>
        <c:dLbls>
          <c:showLegendKey val="0"/>
          <c:showVal val="0"/>
          <c:showCatName val="0"/>
          <c:showSerName val="0"/>
          <c:showPercent val="0"/>
          <c:showBubbleSize val="0"/>
        </c:dLbls>
        <c:smooth val="0"/>
        <c:axId val="-1131316000"/>
        <c:axId val="-1230509232"/>
      </c:lineChart>
      <c:catAx>
        <c:axId val="-1131316000"/>
        <c:scaling>
          <c:orientation val="minMax"/>
        </c:scaling>
        <c:delete val="0"/>
        <c:axPos val="b"/>
        <c:numFmt formatCode="General" sourceLinked="1"/>
        <c:majorTickMark val="out"/>
        <c:minorTickMark val="none"/>
        <c:tickLblPos val="nextTo"/>
        <c:spPr>
          <a:ln w="3175">
            <a:solidFill>
              <a:srgbClr val="808080"/>
            </a:solidFill>
            <a:prstDash val="solid"/>
          </a:ln>
        </c:spPr>
        <c:crossAx val="-1230509232"/>
        <c:crosses val="autoZero"/>
        <c:auto val="1"/>
        <c:lblAlgn val="ctr"/>
        <c:lblOffset val="100"/>
        <c:noMultiLvlLbl val="0"/>
      </c:catAx>
      <c:valAx>
        <c:axId val="-1230509232"/>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131316000"/>
        <c:crosses val="autoZero"/>
        <c:crossBetween val="between"/>
      </c:valAx>
      <c:spPr>
        <a:solidFill>
          <a:srgbClr val="FFFFFF"/>
        </a:solidFill>
        <a:ln w="25400">
          <a:noFill/>
        </a:ln>
      </c:spPr>
    </c:plotArea>
    <c:legend>
      <c:legendPos val="r"/>
      <c:layout>
        <c:manualLayout>
          <c:xMode val="edge"/>
          <c:yMode val="edge"/>
          <c:x val="0.84377776177671604"/>
          <c:y val="0.41972137567592599"/>
          <c:w val="0.13702373909194501"/>
          <c:h val="0.14599004371336599"/>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spPr>
            <a:ln w="38100">
              <a:solidFill>
                <a:srgbClr val="DD2D32"/>
              </a:solidFill>
              <a:prstDash val="solid"/>
            </a:ln>
          </c:spPr>
          <c:marker>
            <c:symbol val="none"/>
          </c:marker>
          <c:cat>
            <c:numRef>
              <c:f>'Konsistens - eksempel'!$B$9:$E$9</c:f>
              <c:numCache>
                <c:formatCode>General</c:formatCode>
                <c:ptCount val="4"/>
                <c:pt idx="0">
                  <c:v>2006</c:v>
                </c:pt>
                <c:pt idx="1">
                  <c:v>2007</c:v>
                </c:pt>
                <c:pt idx="2">
                  <c:v>2008</c:v>
                </c:pt>
                <c:pt idx="3">
                  <c:v>2009</c:v>
                </c:pt>
              </c:numCache>
            </c:numRef>
          </c:cat>
          <c:val>
            <c:numRef>
              <c:f>'Konsistens - eksempel'!$B$10:$E$10</c:f>
              <c:numCache>
                <c:formatCode>_ * #,##0_ ;_ * \-#,##0_ ;_ * "-"??_ ;_ @_ </c:formatCode>
                <c:ptCount val="4"/>
                <c:pt idx="0">
                  <c:v>21000</c:v>
                </c:pt>
                <c:pt idx="1">
                  <c:v>19000</c:v>
                </c:pt>
                <c:pt idx="2">
                  <c:v>18000</c:v>
                </c:pt>
                <c:pt idx="3">
                  <c:v>15000</c:v>
                </c:pt>
              </c:numCache>
            </c:numRef>
          </c:val>
          <c:smooth val="0"/>
          <c:extLst>
            <c:ext xmlns:c16="http://schemas.microsoft.com/office/drawing/2014/chart" uri="{C3380CC4-5D6E-409C-BE32-E72D297353CC}">
              <c16:uniqueId val="{00000000-0E5C-4CF6-8E8E-A80CE1507AF0}"/>
            </c:ext>
          </c:extLst>
        </c:ser>
        <c:ser>
          <c:idx val="0"/>
          <c:order val="1"/>
          <c:spPr>
            <a:ln w="38100">
              <a:solidFill>
                <a:srgbClr val="666699"/>
              </a:solidFill>
              <a:prstDash val="solid"/>
            </a:ln>
          </c:spPr>
          <c:marker>
            <c:symbol val="none"/>
          </c:marker>
          <c:cat>
            <c:numRef>
              <c:f>'Konsistens - eksempel'!$B$9:$E$9</c:f>
              <c:numCache>
                <c:formatCode>General</c:formatCode>
                <c:ptCount val="4"/>
                <c:pt idx="0">
                  <c:v>2006</c:v>
                </c:pt>
                <c:pt idx="1">
                  <c:v>2007</c:v>
                </c:pt>
                <c:pt idx="2">
                  <c:v>2008</c:v>
                </c:pt>
                <c:pt idx="3">
                  <c:v>2009</c:v>
                </c:pt>
              </c:numCache>
            </c:numRef>
          </c:cat>
          <c:val>
            <c:numRef>
              <c:f>'Konsistens - eksempel'!$C$29:$F$29</c:f>
              <c:numCache>
                <c:formatCode>_ * #,##0_ ;_ * \-#,##0_ ;_ * "-"??_ ;_ @_ </c:formatCode>
                <c:ptCount val="4"/>
                <c:pt idx="0">
                  <c:v>21000</c:v>
                </c:pt>
                <c:pt idx="1">
                  <c:v>24000</c:v>
                </c:pt>
                <c:pt idx="2">
                  <c:v>23000</c:v>
                </c:pt>
                <c:pt idx="3">
                  <c:v>29000</c:v>
                </c:pt>
              </c:numCache>
            </c:numRef>
          </c:val>
          <c:smooth val="0"/>
          <c:extLst>
            <c:ext xmlns:c16="http://schemas.microsoft.com/office/drawing/2014/chart" uri="{C3380CC4-5D6E-409C-BE32-E72D297353CC}">
              <c16:uniqueId val="{00000001-0E5C-4CF6-8E8E-A80CE1507AF0}"/>
            </c:ext>
          </c:extLst>
        </c:ser>
        <c:dLbls>
          <c:showLegendKey val="0"/>
          <c:showVal val="0"/>
          <c:showCatName val="0"/>
          <c:showSerName val="0"/>
          <c:showPercent val="0"/>
          <c:showBubbleSize val="0"/>
        </c:dLbls>
        <c:smooth val="0"/>
        <c:axId val="-1128463104"/>
        <c:axId val="-1638281680"/>
      </c:lineChart>
      <c:catAx>
        <c:axId val="-1128463104"/>
        <c:scaling>
          <c:orientation val="minMax"/>
        </c:scaling>
        <c:delete val="0"/>
        <c:axPos val="b"/>
        <c:numFmt formatCode="General" sourceLinked="1"/>
        <c:majorTickMark val="out"/>
        <c:minorTickMark val="none"/>
        <c:tickLblPos val="nextTo"/>
        <c:spPr>
          <a:ln w="3175">
            <a:solidFill>
              <a:srgbClr val="808080"/>
            </a:solidFill>
            <a:prstDash val="solid"/>
          </a:ln>
        </c:spPr>
        <c:crossAx val="-1638281680"/>
        <c:crosses val="autoZero"/>
        <c:auto val="1"/>
        <c:lblAlgn val="ctr"/>
        <c:lblOffset val="100"/>
        <c:noMultiLvlLbl val="0"/>
      </c:catAx>
      <c:valAx>
        <c:axId val="-1638281680"/>
        <c:scaling>
          <c:orientation val="minMax"/>
        </c:scaling>
        <c:delete val="0"/>
        <c:axPos val="l"/>
        <c:majorGridlines>
          <c:spPr>
            <a:ln w="3175">
              <a:solidFill>
                <a:srgbClr val="808080"/>
              </a:solidFill>
              <a:prstDash val="solid"/>
            </a:ln>
          </c:spPr>
        </c:majorGridlines>
        <c:numFmt formatCode="_ * #,##0_ ;_ * \-#,##0_ ;_ * &quot;-&quot;??_ ;_ @_ " sourceLinked="1"/>
        <c:majorTickMark val="out"/>
        <c:minorTickMark val="none"/>
        <c:tickLblPos val="nextTo"/>
        <c:spPr>
          <a:ln w="3175">
            <a:solidFill>
              <a:srgbClr val="808080"/>
            </a:solidFill>
            <a:prstDash val="solid"/>
          </a:ln>
        </c:spPr>
        <c:crossAx val="-1128463104"/>
        <c:crosses val="autoZero"/>
        <c:crossBetween val="between"/>
      </c:valAx>
      <c:spPr>
        <a:solidFill>
          <a:srgbClr val="FFFFFF"/>
        </a:solidFill>
        <a:ln w="25400">
          <a:noFill/>
        </a:ln>
      </c:spPr>
    </c:plotArea>
    <c:legend>
      <c:legendPos val="r"/>
      <c:layout>
        <c:manualLayout>
          <c:xMode val="edge"/>
          <c:yMode val="edge"/>
          <c:x val="0.82019022301343203"/>
          <c:y val="0.37363812073888097"/>
          <c:w val="0.15531841432480301"/>
          <c:h val="0.2197871298464"/>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446850393700801E-2"/>
          <c:y val="6.4814814814814797E-2"/>
          <c:w val="0.88477537182852095"/>
          <c:h val="0.72183836395450596"/>
        </c:manualLayout>
      </c:layout>
      <c:barChart>
        <c:barDir val="col"/>
        <c:grouping val="stacked"/>
        <c:varyColors val="0"/>
        <c:ser>
          <c:idx val="0"/>
          <c:order val="0"/>
          <c:tx>
            <c:strRef>
              <c:f>'Effektiv rente - eks'!$L$16</c:f>
              <c:strCache>
                <c:ptCount val="1"/>
                <c:pt idx="0">
                  <c:v>RENTER</c:v>
                </c:pt>
              </c:strCache>
            </c:strRef>
          </c:tx>
          <c:spPr>
            <a:gradFill rotWithShape="0">
              <a:gsLst>
                <a:gs pos="0">
                  <a:srgbClr val="9BC1FF"/>
                </a:gs>
                <a:gs pos="100000">
                  <a:srgbClr val="3F80CD"/>
                </a:gs>
              </a:gsLst>
              <a:lin ang="5400000"/>
            </a:gradFill>
            <a:ln w="25400">
              <a:noFill/>
            </a:ln>
            <a:effectLst>
              <a:outerShdw dist="35921" dir="2700000" algn="br">
                <a:srgbClr val="000000"/>
              </a:outerShdw>
            </a:effectLst>
          </c:spPr>
          <c:invertIfNegative val="0"/>
          <c:val>
            <c:numRef>
              <c:f>'Effektiv rente - eks'!$L$18:$L$23</c:f>
              <c:numCache>
                <c:formatCode>General</c:formatCode>
                <c:ptCount val="6"/>
                <c:pt idx="0">
                  <c:v>2.5</c:v>
                </c:pt>
                <c:pt idx="1">
                  <c:v>2.5</c:v>
                </c:pt>
                <c:pt idx="2">
                  <c:v>2.5</c:v>
                </c:pt>
                <c:pt idx="3">
                  <c:v>2.5</c:v>
                </c:pt>
                <c:pt idx="4">
                  <c:v>2.5</c:v>
                </c:pt>
                <c:pt idx="5">
                  <c:v>2.5</c:v>
                </c:pt>
              </c:numCache>
            </c:numRef>
          </c:val>
          <c:extLst>
            <c:ext xmlns:c16="http://schemas.microsoft.com/office/drawing/2014/chart" uri="{C3380CC4-5D6E-409C-BE32-E72D297353CC}">
              <c16:uniqueId val="{00000000-F869-4180-AA3A-A5D6D437C62F}"/>
            </c:ext>
          </c:extLst>
        </c:ser>
        <c:ser>
          <c:idx val="1"/>
          <c:order val="1"/>
          <c:tx>
            <c:strRef>
              <c:f>'Effektiv rente - eks'!$M$16</c:f>
              <c:strCache>
                <c:ptCount val="1"/>
                <c:pt idx="0">
                  <c:v>AFDRAG</c:v>
                </c:pt>
              </c:strCache>
            </c:strRef>
          </c:tx>
          <c:spPr>
            <a:gradFill rotWithShape="0">
              <a:gsLst>
                <a:gs pos="0">
                  <a:srgbClr val="FF9A99"/>
                </a:gs>
                <a:gs pos="100000">
                  <a:srgbClr val="D1403C"/>
                </a:gs>
              </a:gsLst>
              <a:lin ang="5400000"/>
            </a:gradFill>
            <a:ln w="25400">
              <a:noFill/>
            </a:ln>
            <a:effectLst>
              <a:outerShdw dist="35921" dir="2700000" algn="br">
                <a:srgbClr val="000000"/>
              </a:outerShdw>
            </a:effectLst>
          </c:spPr>
          <c:invertIfNegative val="0"/>
          <c:val>
            <c:numRef>
              <c:f>'Effektiv rente - eks'!$M$18:$M$23</c:f>
              <c:numCache>
                <c:formatCode>General</c:formatCode>
                <c:ptCount val="6"/>
                <c:pt idx="0">
                  <c:v>0</c:v>
                </c:pt>
                <c:pt idx="1">
                  <c:v>0</c:v>
                </c:pt>
                <c:pt idx="2">
                  <c:v>0</c:v>
                </c:pt>
                <c:pt idx="3">
                  <c:v>0</c:v>
                </c:pt>
                <c:pt idx="4">
                  <c:v>0</c:v>
                </c:pt>
                <c:pt idx="5">
                  <c:v>100</c:v>
                </c:pt>
              </c:numCache>
            </c:numRef>
          </c:val>
          <c:extLst>
            <c:ext xmlns:c16="http://schemas.microsoft.com/office/drawing/2014/chart" uri="{C3380CC4-5D6E-409C-BE32-E72D297353CC}">
              <c16:uniqueId val="{00000001-F869-4180-AA3A-A5D6D437C62F}"/>
            </c:ext>
          </c:extLst>
        </c:ser>
        <c:dLbls>
          <c:showLegendKey val="0"/>
          <c:showVal val="0"/>
          <c:showCatName val="0"/>
          <c:showSerName val="0"/>
          <c:showPercent val="0"/>
          <c:showBubbleSize val="0"/>
        </c:dLbls>
        <c:gapWidth val="150"/>
        <c:overlap val="100"/>
        <c:axId val="-1181081296"/>
        <c:axId val="-1132101680"/>
      </c:barChart>
      <c:catAx>
        <c:axId val="-1181081296"/>
        <c:scaling>
          <c:orientation val="minMax"/>
        </c:scaling>
        <c:delete val="0"/>
        <c:axPos val="b"/>
        <c:numFmt formatCode="General" sourceLinked="1"/>
        <c:majorTickMark val="out"/>
        <c:minorTickMark val="none"/>
        <c:tickLblPos val="nextTo"/>
        <c:spPr>
          <a:ln w="3175">
            <a:solidFill>
              <a:srgbClr val="808080"/>
            </a:solidFill>
            <a:prstDash val="solid"/>
          </a:ln>
        </c:spPr>
        <c:crossAx val="-1132101680"/>
        <c:crosses val="autoZero"/>
        <c:auto val="1"/>
        <c:lblAlgn val="ctr"/>
        <c:lblOffset val="100"/>
        <c:noMultiLvlLbl val="0"/>
      </c:catAx>
      <c:valAx>
        <c:axId val="-1132101680"/>
        <c:scaling>
          <c:orientation val="minMax"/>
          <c:max val="110"/>
          <c:min val="0"/>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181081296"/>
        <c:crosses val="autoZero"/>
        <c:crossBetween val="between"/>
      </c:valAx>
      <c:spPr>
        <a:solidFill>
          <a:srgbClr val="FFFFFF"/>
        </a:solidFill>
        <a:ln w="25400">
          <a:noFill/>
        </a:ln>
      </c:spPr>
    </c:plotArea>
    <c:legend>
      <c:legendPos val="r"/>
      <c:layout>
        <c:manualLayout>
          <c:xMode val="edge"/>
          <c:yMode val="edge"/>
          <c:x val="0.23077648633872"/>
          <c:y val="0.83940597863857103"/>
          <c:w val="0.58243589409296104"/>
          <c:h val="0.10363036773315699"/>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1" l="0.75" r="0.75" t="1" header="0.5" footer="0.5"/>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stacked"/>
        <c:varyColors val="0"/>
        <c:ser>
          <c:idx val="0"/>
          <c:order val="0"/>
          <c:tx>
            <c:strRef>
              <c:f>'Effektiv rente - eks'!$L$26</c:f>
              <c:strCache>
                <c:ptCount val="1"/>
                <c:pt idx="0">
                  <c:v>RENTER</c:v>
                </c:pt>
              </c:strCache>
            </c:strRef>
          </c:tx>
          <c:spPr>
            <a:gradFill rotWithShape="0">
              <a:gsLst>
                <a:gs pos="0">
                  <a:srgbClr val="9BC1FF"/>
                </a:gs>
                <a:gs pos="100000">
                  <a:srgbClr val="3F80CD"/>
                </a:gs>
              </a:gsLst>
              <a:lin ang="5400000"/>
            </a:gradFill>
            <a:ln w="25400">
              <a:noFill/>
            </a:ln>
            <a:effectLst>
              <a:outerShdw dist="35921" dir="2700000" algn="br">
                <a:srgbClr val="000000"/>
              </a:outerShdw>
            </a:effectLst>
          </c:spPr>
          <c:invertIfNegative val="0"/>
          <c:val>
            <c:numRef>
              <c:f>'Effektiv rente - eks'!$L$28:$L$33</c:f>
              <c:numCache>
                <c:formatCode>0.00</c:formatCode>
                <c:ptCount val="6"/>
                <c:pt idx="0">
                  <c:v>2.5</c:v>
                </c:pt>
                <c:pt idx="1">
                  <c:v>2.0833333333333335</c:v>
                </c:pt>
                <c:pt idx="2">
                  <c:v>1.6666666666666665</c:v>
                </c:pt>
                <c:pt idx="3">
                  <c:v>1.2499999999999998</c:v>
                </c:pt>
                <c:pt idx="4">
                  <c:v>0.83333333333333293</c:v>
                </c:pt>
                <c:pt idx="5">
                  <c:v>0.41666666666666619</c:v>
                </c:pt>
              </c:numCache>
            </c:numRef>
          </c:val>
          <c:extLst>
            <c:ext xmlns:c16="http://schemas.microsoft.com/office/drawing/2014/chart" uri="{C3380CC4-5D6E-409C-BE32-E72D297353CC}">
              <c16:uniqueId val="{00000000-B6BD-418F-A85B-5B9AFDE89397}"/>
            </c:ext>
          </c:extLst>
        </c:ser>
        <c:ser>
          <c:idx val="1"/>
          <c:order val="1"/>
          <c:tx>
            <c:strRef>
              <c:f>'Effektiv rente - eks'!$M$26</c:f>
              <c:strCache>
                <c:ptCount val="1"/>
                <c:pt idx="0">
                  <c:v>AFDRAG</c:v>
                </c:pt>
              </c:strCache>
            </c:strRef>
          </c:tx>
          <c:spPr>
            <a:gradFill rotWithShape="0">
              <a:gsLst>
                <a:gs pos="0">
                  <a:srgbClr val="FF9A99"/>
                </a:gs>
                <a:gs pos="100000">
                  <a:srgbClr val="D1403C"/>
                </a:gs>
              </a:gsLst>
              <a:lin ang="5400000"/>
            </a:gradFill>
            <a:ln w="25400">
              <a:noFill/>
            </a:ln>
            <a:effectLst>
              <a:outerShdw dist="35921" dir="2700000" algn="br">
                <a:srgbClr val="000000"/>
              </a:outerShdw>
            </a:effectLst>
          </c:spPr>
          <c:invertIfNegative val="0"/>
          <c:val>
            <c:numRef>
              <c:f>'Effektiv rente - eks'!$M$28:$M$33</c:f>
              <c:numCache>
                <c:formatCode>0.00</c:formatCode>
                <c:ptCount val="6"/>
                <c:pt idx="0">
                  <c:v>16.666666666666668</c:v>
                </c:pt>
                <c:pt idx="1">
                  <c:v>16.666666666666668</c:v>
                </c:pt>
                <c:pt idx="2">
                  <c:v>16.666666666666668</c:v>
                </c:pt>
                <c:pt idx="3">
                  <c:v>16.666666666666668</c:v>
                </c:pt>
                <c:pt idx="4">
                  <c:v>16.666666666666668</c:v>
                </c:pt>
                <c:pt idx="5">
                  <c:v>16.666666666666668</c:v>
                </c:pt>
              </c:numCache>
            </c:numRef>
          </c:val>
          <c:extLst>
            <c:ext xmlns:c16="http://schemas.microsoft.com/office/drawing/2014/chart" uri="{C3380CC4-5D6E-409C-BE32-E72D297353CC}">
              <c16:uniqueId val="{00000001-B6BD-418F-A85B-5B9AFDE89397}"/>
            </c:ext>
          </c:extLst>
        </c:ser>
        <c:dLbls>
          <c:showLegendKey val="0"/>
          <c:showVal val="0"/>
          <c:showCatName val="0"/>
          <c:showSerName val="0"/>
          <c:showPercent val="0"/>
          <c:showBubbleSize val="0"/>
        </c:dLbls>
        <c:gapWidth val="150"/>
        <c:overlap val="100"/>
        <c:axId val="-1224772816"/>
        <c:axId val="-1226170288"/>
      </c:barChart>
      <c:catAx>
        <c:axId val="-1224772816"/>
        <c:scaling>
          <c:orientation val="minMax"/>
        </c:scaling>
        <c:delete val="0"/>
        <c:axPos val="b"/>
        <c:numFmt formatCode="General" sourceLinked="1"/>
        <c:majorTickMark val="out"/>
        <c:minorTickMark val="none"/>
        <c:tickLblPos val="nextTo"/>
        <c:spPr>
          <a:ln w="3175">
            <a:solidFill>
              <a:srgbClr val="808080"/>
            </a:solidFill>
            <a:prstDash val="solid"/>
          </a:ln>
        </c:spPr>
        <c:crossAx val="-1226170288"/>
        <c:crosses val="autoZero"/>
        <c:auto val="1"/>
        <c:lblAlgn val="ctr"/>
        <c:lblOffset val="100"/>
        <c:noMultiLvlLbl val="0"/>
      </c:catAx>
      <c:valAx>
        <c:axId val="-1226170288"/>
        <c:scaling>
          <c:orientation val="minMax"/>
          <c:max val="20"/>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crossAx val="-1224772816"/>
        <c:crosses val="autoZero"/>
        <c:crossBetween val="between"/>
      </c:valAx>
      <c:spPr>
        <a:solidFill>
          <a:srgbClr val="FFFFFF"/>
        </a:solidFill>
        <a:ln w="25400">
          <a:noFill/>
        </a:ln>
      </c:spPr>
    </c:plotArea>
    <c:legend>
      <c:legendPos val="r"/>
      <c:layout>
        <c:manualLayout>
          <c:xMode val="edge"/>
          <c:yMode val="edge"/>
          <c:x val="0.20930880602222701"/>
          <c:y val="0.82567022884610997"/>
          <c:w val="0.61629815106544705"/>
          <c:h val="0.10256773029144201"/>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1" l="0.75" r="0.75" t="1" header="0.5" footer="0.5"/>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stacked"/>
        <c:varyColors val="0"/>
        <c:ser>
          <c:idx val="0"/>
          <c:order val="0"/>
          <c:tx>
            <c:strRef>
              <c:f>'Effektiv rente - eks'!$L$36</c:f>
              <c:strCache>
                <c:ptCount val="1"/>
                <c:pt idx="0">
                  <c:v>RENTER</c:v>
                </c:pt>
              </c:strCache>
            </c:strRef>
          </c:tx>
          <c:spPr>
            <a:gradFill rotWithShape="0">
              <a:gsLst>
                <a:gs pos="0">
                  <a:srgbClr val="9BC1FF"/>
                </a:gs>
                <a:gs pos="100000">
                  <a:srgbClr val="3F80CD"/>
                </a:gs>
              </a:gsLst>
              <a:lin ang="5400000"/>
            </a:gradFill>
            <a:ln w="25400">
              <a:noFill/>
            </a:ln>
            <a:effectLst>
              <a:outerShdw dist="35921" dir="2700000" algn="br">
                <a:srgbClr val="000000"/>
              </a:outerShdw>
            </a:effectLst>
          </c:spPr>
          <c:invertIfNegative val="0"/>
          <c:val>
            <c:numRef>
              <c:f>'Effektiv rente - eks'!$L$38:$L$43</c:f>
              <c:numCache>
                <c:formatCode>_-* #,##0.00\ _k_r_-;\-* #,##0.00\ _k_r_-;_-* "-"??\ _k_r_-;_-@_-</c:formatCode>
                <c:ptCount val="6"/>
                <c:pt idx="0">
                  <c:v>2.5</c:v>
                </c:pt>
                <c:pt idx="1">
                  <c:v>2.1086250723453115</c:v>
                </c:pt>
                <c:pt idx="2">
                  <c:v>1.7074657714992556</c:v>
                </c:pt>
                <c:pt idx="3">
                  <c:v>1.2962774881320482</c:v>
                </c:pt>
                <c:pt idx="4">
                  <c:v>0.87480949768066074</c:v>
                </c:pt>
                <c:pt idx="5">
                  <c:v>0.44280480746798867</c:v>
                </c:pt>
              </c:numCache>
            </c:numRef>
          </c:val>
          <c:extLst>
            <c:ext xmlns:c16="http://schemas.microsoft.com/office/drawing/2014/chart" uri="{C3380CC4-5D6E-409C-BE32-E72D297353CC}">
              <c16:uniqueId val="{00000000-A8BB-4FD6-847A-B8759352B6AB}"/>
            </c:ext>
          </c:extLst>
        </c:ser>
        <c:ser>
          <c:idx val="1"/>
          <c:order val="1"/>
          <c:tx>
            <c:strRef>
              <c:f>'Effektiv rente - eks'!$M$36</c:f>
              <c:strCache>
                <c:ptCount val="1"/>
                <c:pt idx="0">
                  <c:v>AFDRAG</c:v>
                </c:pt>
              </c:strCache>
            </c:strRef>
          </c:tx>
          <c:spPr>
            <a:gradFill rotWithShape="0">
              <a:gsLst>
                <a:gs pos="0">
                  <a:srgbClr val="FF9A99"/>
                </a:gs>
                <a:gs pos="100000">
                  <a:srgbClr val="D1403C"/>
                </a:gs>
              </a:gsLst>
              <a:lin ang="5400000"/>
            </a:gradFill>
            <a:ln w="25400">
              <a:noFill/>
            </a:ln>
            <a:effectLst>
              <a:outerShdw dist="35921" dir="2700000" algn="br">
                <a:srgbClr val="000000"/>
              </a:outerShdw>
            </a:effectLst>
          </c:spPr>
          <c:invertIfNegative val="0"/>
          <c:val>
            <c:numRef>
              <c:f>'Effektiv rente - eks'!$M$38:$M$43</c:f>
              <c:numCache>
                <c:formatCode>_-* #,##0.00\ _k_r_-;\-* #,##0.00\ _k_r_-;_-* "-"??\ _k_r_-;_-@_-</c:formatCode>
                <c:ptCount val="6"/>
                <c:pt idx="0">
                  <c:v>15.654997106187544</c:v>
                </c:pt>
                <c:pt idx="1">
                  <c:v>16.046372033842232</c:v>
                </c:pt>
                <c:pt idx="2">
                  <c:v>16.447531334688289</c:v>
                </c:pt>
                <c:pt idx="3">
                  <c:v>16.858719618055495</c:v>
                </c:pt>
                <c:pt idx="4">
                  <c:v>17.280187608506882</c:v>
                </c:pt>
                <c:pt idx="5">
                  <c:v>17.712192298719554</c:v>
                </c:pt>
              </c:numCache>
            </c:numRef>
          </c:val>
          <c:extLst>
            <c:ext xmlns:c16="http://schemas.microsoft.com/office/drawing/2014/chart" uri="{C3380CC4-5D6E-409C-BE32-E72D297353CC}">
              <c16:uniqueId val="{00000001-A8BB-4FD6-847A-B8759352B6AB}"/>
            </c:ext>
          </c:extLst>
        </c:ser>
        <c:dLbls>
          <c:showLegendKey val="0"/>
          <c:showVal val="0"/>
          <c:showCatName val="0"/>
          <c:showSerName val="0"/>
          <c:showPercent val="0"/>
          <c:showBubbleSize val="0"/>
        </c:dLbls>
        <c:gapWidth val="150"/>
        <c:overlap val="100"/>
        <c:axId val="-1638794720"/>
        <c:axId val="-1638792944"/>
      </c:barChart>
      <c:catAx>
        <c:axId val="-1638794720"/>
        <c:scaling>
          <c:orientation val="minMax"/>
        </c:scaling>
        <c:delete val="0"/>
        <c:axPos val="b"/>
        <c:numFmt formatCode="General" sourceLinked="1"/>
        <c:majorTickMark val="out"/>
        <c:minorTickMark val="none"/>
        <c:tickLblPos val="nextTo"/>
        <c:spPr>
          <a:ln w="3175">
            <a:solidFill>
              <a:srgbClr val="808080"/>
            </a:solidFill>
            <a:prstDash val="solid"/>
          </a:ln>
        </c:spPr>
        <c:crossAx val="-1638792944"/>
        <c:crosses val="autoZero"/>
        <c:auto val="1"/>
        <c:lblAlgn val="ctr"/>
        <c:lblOffset val="100"/>
        <c:noMultiLvlLbl val="0"/>
      </c:catAx>
      <c:valAx>
        <c:axId val="-1638792944"/>
        <c:scaling>
          <c:orientation val="minMax"/>
          <c:max val="18"/>
        </c:scaling>
        <c:delete val="0"/>
        <c:axPos val="l"/>
        <c:majorGridlines>
          <c:spPr>
            <a:ln w="3175">
              <a:solidFill>
                <a:srgbClr val="808080"/>
              </a:solidFill>
              <a:prstDash val="solid"/>
            </a:ln>
          </c:spPr>
        </c:majorGridlines>
        <c:numFmt formatCode="_-* #,##0.00\ _k_r_-;\-* #,##0.00\ _k_r_-;_-* &quot;-&quot;??\ _k_r_-;_-@_-" sourceLinked="1"/>
        <c:majorTickMark val="out"/>
        <c:minorTickMark val="none"/>
        <c:tickLblPos val="nextTo"/>
        <c:spPr>
          <a:ln w="3175">
            <a:solidFill>
              <a:srgbClr val="808080"/>
            </a:solidFill>
            <a:prstDash val="solid"/>
          </a:ln>
        </c:spPr>
        <c:crossAx val="-1638794720"/>
        <c:crosses val="autoZero"/>
        <c:crossBetween val="between"/>
      </c:valAx>
      <c:spPr>
        <a:solidFill>
          <a:srgbClr val="FFFFFF"/>
        </a:solidFill>
        <a:ln w="25400">
          <a:noFill/>
        </a:ln>
      </c:spPr>
    </c:plotArea>
    <c:legend>
      <c:legendPos val="r"/>
      <c:layout>
        <c:manualLayout>
          <c:xMode val="edge"/>
          <c:yMode val="edge"/>
          <c:x val="0.197746284110277"/>
          <c:y val="0.78464313672953301"/>
          <c:w val="0.59888874616255305"/>
          <c:h val="0.10256773029144201"/>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1" l="0.75" r="0.75" t="1" header="0.5" footer="0.5"/>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lineMarker"/>
        <c:varyColors val="0"/>
        <c:ser>
          <c:idx val="0"/>
          <c:order val="0"/>
          <c:tx>
            <c:strRef>
              <c:f>'Aktie sammenligning'!$E$38</c:f>
              <c:strCache>
                <c:ptCount val="1"/>
                <c:pt idx="0">
                  <c:v>Micro</c:v>
                </c:pt>
              </c:strCache>
            </c:strRef>
          </c:tx>
          <c:spPr>
            <a:ln w="47625">
              <a:noFill/>
            </a:ln>
          </c:spPr>
          <c:marker>
            <c:spPr>
              <a:gradFill rotWithShape="0">
                <a:gsLst>
                  <a:gs pos="0">
                    <a:srgbClr val="9BC1FF"/>
                  </a:gs>
                  <a:gs pos="100000">
                    <a:srgbClr val="3F80CD"/>
                  </a:gs>
                </a:gsLst>
                <a:lin ang="5400000"/>
              </a:gradFill>
              <a:ln>
                <a:solidFill>
                  <a:srgbClr val="666699"/>
                </a:solidFill>
                <a:prstDash val="solid"/>
              </a:ln>
              <a:effectLst>
                <a:outerShdw dist="35921" dir="2700000" algn="br">
                  <a:srgbClr val="000000"/>
                </a:outerShdw>
              </a:effectLst>
            </c:spPr>
          </c:marker>
          <c:xVal>
            <c:numRef>
              <c:f>'Aktie sammenligning'!$E$43</c:f>
              <c:numCache>
                <c:formatCode>0.00%</c:formatCode>
                <c:ptCount val="1"/>
                <c:pt idx="0">
                  <c:v>0.50249714022491754</c:v>
                </c:pt>
              </c:numCache>
            </c:numRef>
          </c:xVal>
          <c:yVal>
            <c:numRef>
              <c:f>'Aktie sammenligning'!$E$39</c:f>
              <c:numCache>
                <c:formatCode>0.00%</c:formatCode>
                <c:ptCount val="1"/>
                <c:pt idx="0">
                  <c:v>0.41648746409643084</c:v>
                </c:pt>
              </c:numCache>
            </c:numRef>
          </c:yVal>
          <c:smooth val="0"/>
          <c:extLst>
            <c:ext xmlns:c16="http://schemas.microsoft.com/office/drawing/2014/chart" uri="{C3380CC4-5D6E-409C-BE32-E72D297353CC}">
              <c16:uniqueId val="{00000000-D9A3-4653-91B9-C24C05216208}"/>
            </c:ext>
          </c:extLst>
        </c:ser>
        <c:ser>
          <c:idx val="1"/>
          <c:order val="1"/>
          <c:tx>
            <c:strRef>
              <c:f>'Aktie sammenligning'!$D$38</c:f>
              <c:strCache>
                <c:ptCount val="1"/>
                <c:pt idx="0">
                  <c:v>CocaCola</c:v>
                </c:pt>
              </c:strCache>
            </c:strRef>
          </c:tx>
          <c:spPr>
            <a:ln w="47625">
              <a:noFill/>
            </a:ln>
          </c:spPr>
          <c:marker>
            <c:spPr>
              <a:gradFill rotWithShape="0">
                <a:gsLst>
                  <a:gs pos="0">
                    <a:srgbClr val="FF9A99"/>
                  </a:gs>
                  <a:gs pos="100000">
                    <a:srgbClr val="D1403C"/>
                  </a:gs>
                </a:gsLst>
                <a:lin ang="5400000"/>
              </a:gradFill>
              <a:ln>
                <a:solidFill>
                  <a:srgbClr val="DD2D32"/>
                </a:solidFill>
                <a:prstDash val="solid"/>
              </a:ln>
              <a:effectLst>
                <a:outerShdw dist="35921" dir="2700000" algn="br">
                  <a:srgbClr val="000000"/>
                </a:outerShdw>
              </a:effectLst>
            </c:spPr>
          </c:marker>
          <c:xVal>
            <c:numRef>
              <c:f>'Aktie sammenligning'!$D$43</c:f>
              <c:numCache>
                <c:formatCode>0.00%</c:formatCode>
                <c:ptCount val="1"/>
                <c:pt idx="0">
                  <c:v>0.26354285619123946</c:v>
                </c:pt>
              </c:numCache>
            </c:numRef>
          </c:xVal>
          <c:yVal>
            <c:numRef>
              <c:f>'Aktie sammenligning'!$D$39</c:f>
              <c:numCache>
                <c:formatCode>0.00%</c:formatCode>
                <c:ptCount val="1"/>
                <c:pt idx="0">
                  <c:v>0.16229451932251446</c:v>
                </c:pt>
              </c:numCache>
            </c:numRef>
          </c:yVal>
          <c:smooth val="0"/>
          <c:extLst>
            <c:ext xmlns:c16="http://schemas.microsoft.com/office/drawing/2014/chart" uri="{C3380CC4-5D6E-409C-BE32-E72D297353CC}">
              <c16:uniqueId val="{00000001-D9A3-4653-91B9-C24C05216208}"/>
            </c:ext>
          </c:extLst>
        </c:ser>
        <c:ser>
          <c:idx val="2"/>
          <c:order val="2"/>
          <c:tx>
            <c:v>Portefølje</c:v>
          </c:tx>
          <c:spPr>
            <a:ln w="47625">
              <a:noFill/>
            </a:ln>
          </c:spPr>
          <c:marker>
            <c:spPr>
              <a:gradFill rotWithShape="0">
                <a:gsLst>
                  <a:gs pos="0">
                    <a:srgbClr val="DCFFA0"/>
                  </a:gs>
                  <a:gs pos="100000">
                    <a:srgbClr val="A0CA4A"/>
                  </a:gs>
                </a:gsLst>
                <a:lin ang="5400000"/>
              </a:gradFill>
              <a:ln>
                <a:solidFill>
                  <a:srgbClr val="A2BD90"/>
                </a:solidFill>
                <a:prstDash val="solid"/>
              </a:ln>
              <a:effectLst>
                <a:outerShdw dist="35921" dir="2700000" algn="br">
                  <a:srgbClr val="000000"/>
                </a:outerShdw>
              </a:effectLst>
            </c:spPr>
          </c:marker>
          <c:xVal>
            <c:numRef>
              <c:f>'Aktie sammenligning'!$E$64</c:f>
              <c:numCache>
                <c:formatCode>0.000%</c:formatCode>
                <c:ptCount val="1"/>
                <c:pt idx="0">
                  <c:v>0.32918126273410281</c:v>
                </c:pt>
              </c:numCache>
            </c:numRef>
          </c:xVal>
          <c:yVal>
            <c:numRef>
              <c:f>'Aktie sammenligning'!$D$55</c:f>
              <c:numCache>
                <c:formatCode>0.00%</c:formatCode>
                <c:ptCount val="1"/>
                <c:pt idx="0">
                  <c:v>0.28939099170947263</c:v>
                </c:pt>
              </c:numCache>
            </c:numRef>
          </c:yVal>
          <c:smooth val="0"/>
          <c:extLst>
            <c:ext xmlns:c16="http://schemas.microsoft.com/office/drawing/2014/chart" uri="{C3380CC4-5D6E-409C-BE32-E72D297353CC}">
              <c16:uniqueId val="{00000002-D9A3-4653-91B9-C24C05216208}"/>
            </c:ext>
          </c:extLst>
        </c:ser>
        <c:dLbls>
          <c:showLegendKey val="0"/>
          <c:showVal val="0"/>
          <c:showCatName val="0"/>
          <c:showSerName val="0"/>
          <c:showPercent val="0"/>
          <c:showBubbleSize val="0"/>
        </c:dLbls>
        <c:axId val="-1636101424"/>
        <c:axId val="-1636099376"/>
      </c:scatterChart>
      <c:valAx>
        <c:axId val="-1636101424"/>
        <c:scaling>
          <c:orientation val="minMax"/>
          <c:min val="0.2"/>
        </c:scaling>
        <c:delete val="0"/>
        <c:axPos val="b"/>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da-DK"/>
          </a:p>
        </c:txPr>
        <c:crossAx val="-1636099376"/>
        <c:crosses val="autoZero"/>
        <c:crossBetween val="midCat"/>
      </c:valAx>
      <c:valAx>
        <c:axId val="-1636099376"/>
        <c:scaling>
          <c:orientation val="minMax"/>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crossAx val="-1636101424"/>
        <c:crosses val="autoZero"/>
        <c:crossBetween val="midCat"/>
      </c:valAx>
      <c:spPr>
        <a:solidFill>
          <a:srgbClr val="FFFFFF"/>
        </a:solidFill>
        <a:ln w="25400">
          <a:noFill/>
        </a:ln>
      </c:spPr>
    </c:plotArea>
    <c:legend>
      <c:legendPos val="r"/>
      <c:layout>
        <c:manualLayout>
          <c:xMode val="edge"/>
          <c:yMode val="edge"/>
          <c:x val="0.11330427401670699"/>
          <c:y val="0.87757814356924502"/>
          <c:w val="0.79312991811695099"/>
          <c:h val="0.10204397018247"/>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1" l="0.75" r="0.75" t="1" header="0.5" footer="0.5"/>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stacked"/>
        <c:varyColors val="0"/>
        <c:ser>
          <c:idx val="0"/>
          <c:order val="0"/>
          <c:tx>
            <c:strRef>
              <c:f>'Aktie sammenligning'!$Q$119</c:f>
              <c:strCache>
                <c:ptCount val="1"/>
                <c:pt idx="0">
                  <c:v>B&amp;O</c:v>
                </c:pt>
              </c:strCache>
            </c:strRef>
          </c:tx>
          <c:spPr>
            <a:gradFill rotWithShape="0">
              <a:gsLst>
                <a:gs pos="0">
                  <a:srgbClr val="9BC1FF"/>
                </a:gs>
                <a:gs pos="100000">
                  <a:srgbClr val="3F80CD"/>
                </a:gs>
              </a:gsLst>
              <a:lin ang="5400000"/>
            </a:gradFill>
            <a:ln w="25400">
              <a:noFill/>
            </a:ln>
            <a:effectLst>
              <a:outerShdw dist="35921" dir="2700000" algn="br">
                <a:srgbClr val="000000"/>
              </a:outerShdw>
            </a:effectLst>
          </c:spPr>
          <c:invertIfNegative val="0"/>
          <c:cat>
            <c:strRef>
              <c:f>'Aktie sammenligning'!$R$133:$W$133</c:f>
              <c:strCache>
                <c:ptCount val="6"/>
                <c:pt idx="0">
                  <c:v>Minimumsvarians</c:v>
                </c:pt>
                <c:pt idx="1">
                  <c:v>10,50%</c:v>
                </c:pt>
                <c:pt idx="2">
                  <c:v>10,80%</c:v>
                </c:pt>
                <c:pt idx="3">
                  <c:v>11%</c:v>
                </c:pt>
                <c:pt idx="4">
                  <c:v>11,50%</c:v>
                </c:pt>
                <c:pt idx="5">
                  <c:v>12%</c:v>
                </c:pt>
              </c:strCache>
            </c:strRef>
          </c:cat>
          <c:val>
            <c:numRef>
              <c:f>'Aktie sammenligning'!$R$134:$W$134</c:f>
              <c:numCache>
                <c:formatCode>0%</c:formatCode>
                <c:ptCount val="6"/>
                <c:pt idx="0">
                  <c:v>0.31812818304607932</c:v>
                </c:pt>
                <c:pt idx="1">
                  <c:v>0.3201180295361104</c:v>
                </c:pt>
                <c:pt idx="2">
                  <c:v>0.32206101250843938</c:v>
                </c:pt>
                <c:pt idx="3">
                  <c:v>0.32335629474452177</c:v>
                </c:pt>
                <c:pt idx="4">
                  <c:v>0.22008211837054947</c:v>
                </c:pt>
                <c:pt idx="5">
                  <c:v>5.0592236783611855E-2</c:v>
                </c:pt>
              </c:numCache>
            </c:numRef>
          </c:val>
          <c:extLst>
            <c:ext xmlns:c16="http://schemas.microsoft.com/office/drawing/2014/chart" uri="{C3380CC4-5D6E-409C-BE32-E72D297353CC}">
              <c16:uniqueId val="{00000000-90FE-4FE9-A0E0-8E3F2C0F3CF8}"/>
            </c:ext>
          </c:extLst>
        </c:ser>
        <c:ser>
          <c:idx val="1"/>
          <c:order val="1"/>
          <c:tx>
            <c:strRef>
              <c:f>'Aktie sammenligning'!$Q$120</c:f>
              <c:strCache>
                <c:ptCount val="1"/>
                <c:pt idx="0">
                  <c:v>VESTAS</c:v>
                </c:pt>
              </c:strCache>
            </c:strRef>
          </c:tx>
          <c:spPr>
            <a:gradFill rotWithShape="0">
              <a:gsLst>
                <a:gs pos="0">
                  <a:srgbClr val="FF9A99"/>
                </a:gs>
                <a:gs pos="100000">
                  <a:srgbClr val="D1403C"/>
                </a:gs>
              </a:gsLst>
              <a:lin ang="5400000"/>
            </a:gradFill>
            <a:ln w="25400">
              <a:noFill/>
            </a:ln>
            <a:effectLst>
              <a:outerShdw dist="35921" dir="2700000" algn="br">
                <a:srgbClr val="000000"/>
              </a:outerShdw>
            </a:effectLst>
          </c:spPr>
          <c:invertIfNegative val="0"/>
          <c:cat>
            <c:strRef>
              <c:f>'Aktie sammenligning'!$R$133:$W$133</c:f>
              <c:strCache>
                <c:ptCount val="6"/>
                <c:pt idx="0">
                  <c:v>Minimumsvarians</c:v>
                </c:pt>
                <c:pt idx="1">
                  <c:v>10,50%</c:v>
                </c:pt>
                <c:pt idx="2">
                  <c:v>10,80%</c:v>
                </c:pt>
                <c:pt idx="3">
                  <c:v>11%</c:v>
                </c:pt>
                <c:pt idx="4">
                  <c:v>11,50%</c:v>
                </c:pt>
                <c:pt idx="5">
                  <c:v>12%</c:v>
                </c:pt>
              </c:strCache>
            </c:strRef>
          </c:cat>
          <c:val>
            <c:numRef>
              <c:f>'Aktie sammenligning'!$R$135:$W$135</c:f>
              <c:numCache>
                <c:formatCode>0%</c:formatCode>
                <c:ptCount val="6"/>
                <c:pt idx="0">
                  <c:v>0.2188941136068486</c:v>
                </c:pt>
                <c:pt idx="1">
                  <c:v>0.1515658213609466</c:v>
                </c:pt>
                <c:pt idx="2">
                  <c:v>8.582864174910855E-2</c:v>
                </c:pt>
                <c:pt idx="3">
                  <c:v>4.200230029158785E-2</c:v>
                </c:pt>
                <c:pt idx="4">
                  <c:v>0</c:v>
                </c:pt>
                <c:pt idx="5">
                  <c:v>0</c:v>
                </c:pt>
              </c:numCache>
            </c:numRef>
          </c:val>
          <c:extLst>
            <c:ext xmlns:c16="http://schemas.microsoft.com/office/drawing/2014/chart" uri="{C3380CC4-5D6E-409C-BE32-E72D297353CC}">
              <c16:uniqueId val="{00000001-90FE-4FE9-A0E0-8E3F2C0F3CF8}"/>
            </c:ext>
          </c:extLst>
        </c:ser>
        <c:ser>
          <c:idx val="2"/>
          <c:order val="2"/>
          <c:tx>
            <c:strRef>
              <c:f>'Aktie sammenligning'!$Q$121</c:f>
              <c:strCache>
                <c:ptCount val="1"/>
                <c:pt idx="0">
                  <c:v>MÆRSK</c:v>
                </c:pt>
              </c:strCache>
            </c:strRef>
          </c:tx>
          <c:spPr>
            <a:gradFill rotWithShape="0">
              <a:gsLst>
                <a:gs pos="0">
                  <a:srgbClr val="DCFFA0"/>
                </a:gs>
                <a:gs pos="100000">
                  <a:srgbClr val="A0CA4A"/>
                </a:gs>
              </a:gsLst>
              <a:lin ang="5400000"/>
            </a:gradFill>
            <a:ln w="25400">
              <a:noFill/>
            </a:ln>
            <a:effectLst>
              <a:outerShdw dist="35921" dir="2700000" algn="br">
                <a:srgbClr val="000000"/>
              </a:outerShdw>
            </a:effectLst>
          </c:spPr>
          <c:invertIfNegative val="0"/>
          <c:cat>
            <c:strRef>
              <c:f>'Aktie sammenligning'!$R$133:$W$133</c:f>
              <c:strCache>
                <c:ptCount val="6"/>
                <c:pt idx="0">
                  <c:v>Minimumsvarians</c:v>
                </c:pt>
                <c:pt idx="1">
                  <c:v>10,50%</c:v>
                </c:pt>
                <c:pt idx="2">
                  <c:v>10,80%</c:v>
                </c:pt>
                <c:pt idx="3">
                  <c:v>11%</c:v>
                </c:pt>
                <c:pt idx="4">
                  <c:v>11,50%</c:v>
                </c:pt>
                <c:pt idx="5">
                  <c:v>12%</c:v>
                </c:pt>
              </c:strCache>
            </c:strRef>
          </c:cat>
          <c:val>
            <c:numRef>
              <c:f>'Aktie sammenligning'!$R$136:$W$136</c:f>
              <c:numCache>
                <c:formatCode>0%</c:formatCode>
                <c:ptCount val="6"/>
                <c:pt idx="0">
                  <c:v>0.29629878849843566</c:v>
                </c:pt>
                <c:pt idx="1">
                  <c:v>0.38425351139651737</c:v>
                </c:pt>
                <c:pt idx="2">
                  <c:v>0.47013005730538093</c:v>
                </c:pt>
                <c:pt idx="3">
                  <c:v>0.52738290521074749</c:v>
                </c:pt>
                <c:pt idx="4">
                  <c:v>0.70922692300663059</c:v>
                </c:pt>
                <c:pt idx="5">
                  <c:v>0.91513697561030838</c:v>
                </c:pt>
              </c:numCache>
            </c:numRef>
          </c:val>
          <c:extLst>
            <c:ext xmlns:c16="http://schemas.microsoft.com/office/drawing/2014/chart" uri="{C3380CC4-5D6E-409C-BE32-E72D297353CC}">
              <c16:uniqueId val="{00000002-90FE-4FE9-A0E0-8E3F2C0F3CF8}"/>
            </c:ext>
          </c:extLst>
        </c:ser>
        <c:ser>
          <c:idx val="3"/>
          <c:order val="3"/>
          <c:tx>
            <c:strRef>
              <c:f>'Aktie sammenligning'!$Q$122</c:f>
              <c:strCache>
                <c:ptCount val="1"/>
                <c:pt idx="0">
                  <c:v>CARLSBERG</c:v>
                </c:pt>
              </c:strCache>
            </c:strRef>
          </c:tx>
          <c:spPr>
            <a:gradFill rotWithShape="0">
              <a:gsLst>
                <a:gs pos="0">
                  <a:srgbClr val="C8B0ED"/>
                </a:gs>
                <a:gs pos="100000">
                  <a:srgbClr val="7F5BAB"/>
                </a:gs>
              </a:gsLst>
              <a:lin ang="5400000"/>
            </a:gradFill>
            <a:ln w="25400">
              <a:noFill/>
            </a:ln>
            <a:effectLst>
              <a:outerShdw dist="35921" dir="2700000" algn="br">
                <a:srgbClr val="000000"/>
              </a:outerShdw>
            </a:effectLst>
          </c:spPr>
          <c:invertIfNegative val="0"/>
          <c:cat>
            <c:strRef>
              <c:f>'Aktie sammenligning'!$R$133:$W$133</c:f>
              <c:strCache>
                <c:ptCount val="6"/>
                <c:pt idx="0">
                  <c:v>Minimumsvarians</c:v>
                </c:pt>
                <c:pt idx="1">
                  <c:v>10,50%</c:v>
                </c:pt>
                <c:pt idx="2">
                  <c:v>10,80%</c:v>
                </c:pt>
                <c:pt idx="3">
                  <c:v>11%</c:v>
                </c:pt>
                <c:pt idx="4">
                  <c:v>11,50%</c:v>
                </c:pt>
                <c:pt idx="5">
                  <c:v>12%</c:v>
                </c:pt>
              </c:strCache>
            </c:strRef>
          </c:cat>
          <c:val>
            <c:numRef>
              <c:f>'Aktie sammenligning'!$R$137:$W$137</c:f>
              <c:numCache>
                <c:formatCode>0%</c:formatCode>
                <c:ptCount val="6"/>
                <c:pt idx="0">
                  <c:v>0.16667891484863634</c:v>
                </c:pt>
                <c:pt idx="1">
                  <c:v>0.14406263770642574</c:v>
                </c:pt>
                <c:pt idx="2">
                  <c:v>0.1219802884370712</c:v>
                </c:pt>
                <c:pt idx="3">
                  <c:v>0.10725849975314294</c:v>
                </c:pt>
                <c:pt idx="4">
                  <c:v>7.0690958622819933E-2</c:v>
                </c:pt>
                <c:pt idx="5">
                  <c:v>3.4270787606079822E-2</c:v>
                </c:pt>
              </c:numCache>
            </c:numRef>
          </c:val>
          <c:extLst>
            <c:ext xmlns:c16="http://schemas.microsoft.com/office/drawing/2014/chart" uri="{C3380CC4-5D6E-409C-BE32-E72D297353CC}">
              <c16:uniqueId val="{00000003-90FE-4FE9-A0E0-8E3F2C0F3CF8}"/>
            </c:ext>
          </c:extLst>
        </c:ser>
        <c:dLbls>
          <c:showLegendKey val="0"/>
          <c:showVal val="0"/>
          <c:showCatName val="0"/>
          <c:showSerName val="0"/>
          <c:showPercent val="0"/>
          <c:showBubbleSize val="0"/>
        </c:dLbls>
        <c:gapWidth val="150"/>
        <c:overlap val="100"/>
        <c:axId val="-1177192304"/>
        <c:axId val="-1177188848"/>
      </c:barChart>
      <c:catAx>
        <c:axId val="-1177192304"/>
        <c:scaling>
          <c:orientation val="minMax"/>
        </c:scaling>
        <c:delete val="0"/>
        <c:axPos val="b"/>
        <c:numFmt formatCode="General" sourceLinked="0"/>
        <c:majorTickMark val="out"/>
        <c:minorTickMark val="none"/>
        <c:tickLblPos val="nextTo"/>
        <c:spPr>
          <a:ln w="3175">
            <a:solidFill>
              <a:srgbClr val="808080"/>
            </a:solidFill>
            <a:prstDash val="solid"/>
          </a:ln>
        </c:spPr>
        <c:crossAx val="-1177188848"/>
        <c:crosses val="autoZero"/>
        <c:auto val="1"/>
        <c:lblAlgn val="ctr"/>
        <c:lblOffset val="100"/>
        <c:noMultiLvlLbl val="0"/>
      </c:catAx>
      <c:valAx>
        <c:axId val="-1177188848"/>
        <c:scaling>
          <c:orientation val="minMax"/>
          <c:max val="1"/>
        </c:scaling>
        <c:delete val="0"/>
        <c:axPos val="l"/>
        <c:majorGridlines>
          <c:spPr>
            <a:ln w="3175">
              <a:solidFill>
                <a:srgbClr val="808080"/>
              </a:solidFill>
              <a:prstDash val="solid"/>
            </a:ln>
          </c:spPr>
        </c:majorGridlines>
        <c:numFmt formatCode="0%" sourceLinked="1"/>
        <c:majorTickMark val="out"/>
        <c:minorTickMark val="none"/>
        <c:tickLblPos val="nextTo"/>
        <c:spPr>
          <a:ln w="3175">
            <a:solidFill>
              <a:srgbClr val="808080"/>
            </a:solidFill>
            <a:prstDash val="solid"/>
          </a:ln>
        </c:spPr>
        <c:crossAx val="-1177192304"/>
        <c:crosses val="autoZero"/>
        <c:crossBetween val="between"/>
      </c:valAx>
      <c:spPr>
        <a:solidFill>
          <a:srgbClr val="FFFFFF"/>
        </a:solidFill>
        <a:ln w="25400">
          <a:noFill/>
        </a:ln>
      </c:spPr>
    </c:plotArea>
    <c:legend>
      <c:legendPos val="r"/>
      <c:layout>
        <c:manualLayout>
          <c:xMode val="edge"/>
          <c:yMode val="edge"/>
          <c:x val="0.20063356194526"/>
          <c:y val="0.86724814042493803"/>
          <c:w val="0.64892417691670101"/>
          <c:h val="8.2990252672242804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1" l="0.75" r="0.75" t="1" header="0.5" footer="0.5"/>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spPr>
            <a:ln w="38100">
              <a:solidFill>
                <a:srgbClr val="666699"/>
              </a:solidFill>
              <a:prstDash val="solid"/>
            </a:ln>
          </c:spPr>
          <c:marker>
            <c:spPr>
              <a:gradFill rotWithShape="0">
                <a:gsLst>
                  <a:gs pos="0">
                    <a:srgbClr val="9BC1FF"/>
                  </a:gs>
                  <a:gs pos="100000">
                    <a:srgbClr val="3F80CD"/>
                  </a:gs>
                </a:gsLst>
                <a:lin ang="5400000"/>
              </a:gradFill>
              <a:ln>
                <a:solidFill>
                  <a:srgbClr val="666699"/>
                </a:solidFill>
                <a:prstDash val="solid"/>
              </a:ln>
              <a:effectLst>
                <a:outerShdw dist="35921" dir="2700000" algn="br">
                  <a:srgbClr val="000000"/>
                </a:outerShdw>
              </a:effectLst>
            </c:spPr>
          </c:marker>
          <c:xVal>
            <c:numRef>
              <c:f>'Aktie sammenligning'!$R$142:$W$142</c:f>
              <c:numCache>
                <c:formatCode>0.0%</c:formatCode>
                <c:ptCount val="6"/>
                <c:pt idx="0">
                  <c:v>4.2733733643964683E-2</c:v>
                </c:pt>
                <c:pt idx="1">
                  <c:v>4.4073335695538174E-2</c:v>
                </c:pt>
                <c:pt idx="2">
                  <c:v>4.7753457970397532E-2</c:v>
                </c:pt>
                <c:pt idx="3">
                  <c:v>5.12724952561028E-2</c:v>
                </c:pt>
                <c:pt idx="4">
                  <c:v>6.4341575660086456E-2</c:v>
                </c:pt>
                <c:pt idx="5">
                  <c:v>8.534324115529536E-2</c:v>
                </c:pt>
              </c:numCache>
            </c:numRef>
          </c:xVal>
          <c:yVal>
            <c:numRef>
              <c:f>'Aktie sammenligning'!$R$141:$W$141</c:f>
              <c:numCache>
                <c:formatCode>0.0%</c:formatCode>
                <c:ptCount val="6"/>
                <c:pt idx="0">
                  <c:v>0.10192759933787145</c:v>
                </c:pt>
                <c:pt idx="1">
                  <c:v>0.105</c:v>
                </c:pt>
                <c:pt idx="2">
                  <c:v>0.108</c:v>
                </c:pt>
                <c:pt idx="3">
                  <c:v>0.11</c:v>
                </c:pt>
                <c:pt idx="4">
                  <c:v>0.115</c:v>
                </c:pt>
                <c:pt idx="5">
                  <c:v>0.12</c:v>
                </c:pt>
              </c:numCache>
            </c:numRef>
          </c:yVal>
          <c:smooth val="1"/>
          <c:extLst>
            <c:ext xmlns:c16="http://schemas.microsoft.com/office/drawing/2014/chart" uri="{C3380CC4-5D6E-409C-BE32-E72D297353CC}">
              <c16:uniqueId val="{00000000-8A1C-4C28-AE1E-B2C761F45814}"/>
            </c:ext>
          </c:extLst>
        </c:ser>
        <c:dLbls>
          <c:showLegendKey val="0"/>
          <c:showVal val="0"/>
          <c:showCatName val="0"/>
          <c:showSerName val="0"/>
          <c:showPercent val="0"/>
          <c:showBubbleSize val="0"/>
        </c:dLbls>
        <c:axId val="-1226462208"/>
        <c:axId val="-1225968768"/>
      </c:scatterChart>
      <c:valAx>
        <c:axId val="-1226462208"/>
        <c:scaling>
          <c:orientation val="minMax"/>
          <c:min val="0.04"/>
        </c:scaling>
        <c:delete val="0"/>
        <c:axPos val="b"/>
        <c:numFmt formatCode="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da-DK"/>
          </a:p>
        </c:txPr>
        <c:crossAx val="-1225968768"/>
        <c:crosses val="autoZero"/>
        <c:crossBetween val="midCat"/>
      </c:valAx>
      <c:valAx>
        <c:axId val="-1225968768"/>
        <c:scaling>
          <c:orientation val="minMax"/>
        </c:scaling>
        <c:delete val="0"/>
        <c:axPos val="l"/>
        <c:majorGridlines>
          <c:spPr>
            <a:ln w="3175">
              <a:solidFill>
                <a:srgbClr val="808080"/>
              </a:solidFill>
              <a:prstDash val="solid"/>
            </a:ln>
          </c:spPr>
        </c:majorGridlines>
        <c:numFmt formatCode="0.0%" sourceLinked="1"/>
        <c:majorTickMark val="out"/>
        <c:minorTickMark val="none"/>
        <c:tickLblPos val="nextTo"/>
        <c:spPr>
          <a:ln w="3175">
            <a:solidFill>
              <a:srgbClr val="808080"/>
            </a:solidFill>
            <a:prstDash val="solid"/>
          </a:ln>
        </c:spPr>
        <c:crossAx val="-1226462208"/>
        <c:crosses val="autoZero"/>
        <c:crossBetween val="midCat"/>
      </c:valAx>
      <c:spPr>
        <a:solidFill>
          <a:srgbClr val="FFFFFF"/>
        </a:solidFill>
        <a:ln w="25400">
          <a:noFill/>
        </a:ln>
      </c:spPr>
    </c:plotArea>
    <c:plotVisOnly val="1"/>
    <c:dispBlanksAs val="gap"/>
    <c:showDLblsOverMax val="0"/>
  </c:chart>
  <c:spPr>
    <a:solidFill>
      <a:srgbClr val="FFFFFF"/>
    </a:solidFill>
    <a:ln w="3175">
      <a:solidFill>
        <a:srgbClr val="808080"/>
      </a:solidFill>
      <a:prstDash val="solid"/>
    </a:ln>
  </c:spPr>
  <c:printSettings>
    <c:headerFooter/>
    <c:pageMargins b="1" l="0.75" r="0.75" t="1" header="0.5" footer="0.5"/>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spPr>
            <a:ln w="38100">
              <a:solidFill>
                <a:srgbClr val="666699"/>
              </a:solidFill>
              <a:prstDash val="solid"/>
            </a:ln>
          </c:spPr>
          <c:marker>
            <c:symbol val="none"/>
          </c:marker>
          <c:val>
            <c:numRef>
              <c:f>'Profitmaksimering -eks'!$D$44:$D$68</c:f>
              <c:numCache>
                <c:formatCode>General</c:formatCode>
                <c:ptCount val="25"/>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numCache>
            </c:numRef>
          </c:val>
          <c:smooth val="0"/>
          <c:extLst>
            <c:ext xmlns:c16="http://schemas.microsoft.com/office/drawing/2014/chart" uri="{C3380CC4-5D6E-409C-BE32-E72D297353CC}">
              <c16:uniqueId val="{00000000-69F6-42B6-A8B0-12D417B289E6}"/>
            </c:ext>
          </c:extLst>
        </c:ser>
        <c:ser>
          <c:idx val="1"/>
          <c:order val="1"/>
          <c:spPr>
            <a:ln w="38100">
              <a:solidFill>
                <a:srgbClr val="DD2D32"/>
              </a:solidFill>
              <a:prstDash val="solid"/>
            </a:ln>
          </c:spPr>
          <c:marker>
            <c:symbol val="none"/>
          </c:marker>
          <c:val>
            <c:numRef>
              <c:f>'Profitmaksimering -eks'!$E$44:$E$68</c:f>
              <c:numCache>
                <c:formatCode>0</c:formatCode>
                <c:ptCount val="25"/>
                <c:pt idx="0">
                  <c:v>-2000</c:v>
                </c:pt>
                <c:pt idx="1">
                  <c:v>1066.666666666667</c:v>
                </c:pt>
                <c:pt idx="2">
                  <c:v>3800</c:v>
                </c:pt>
                <c:pt idx="3">
                  <c:v>6200</c:v>
                </c:pt>
                <c:pt idx="4">
                  <c:v>8266.6666666666679</c:v>
                </c:pt>
                <c:pt idx="5">
                  <c:v>10000</c:v>
                </c:pt>
                <c:pt idx="6">
                  <c:v>11400</c:v>
                </c:pt>
                <c:pt idx="7">
                  <c:v>12466.666666666668</c:v>
                </c:pt>
                <c:pt idx="8">
                  <c:v>13200</c:v>
                </c:pt>
                <c:pt idx="9">
                  <c:v>13600</c:v>
                </c:pt>
                <c:pt idx="10">
                  <c:v>13666.666666666668</c:v>
                </c:pt>
                <c:pt idx="11">
                  <c:v>13400.000000000004</c:v>
                </c:pt>
                <c:pt idx="12">
                  <c:v>12800</c:v>
                </c:pt>
                <c:pt idx="13">
                  <c:v>11866.666666666668</c:v>
                </c:pt>
                <c:pt idx="14">
                  <c:v>10600.000000000004</c:v>
                </c:pt>
                <c:pt idx="15">
                  <c:v>9000</c:v>
                </c:pt>
                <c:pt idx="16">
                  <c:v>7066.6666666666715</c:v>
                </c:pt>
                <c:pt idx="17">
                  <c:v>4800.0000000000073</c:v>
                </c:pt>
                <c:pt idx="18">
                  <c:v>2200</c:v>
                </c:pt>
                <c:pt idx="19">
                  <c:v>-733.33333333332121</c:v>
                </c:pt>
                <c:pt idx="20">
                  <c:v>-4000</c:v>
                </c:pt>
                <c:pt idx="21">
                  <c:v>-7600</c:v>
                </c:pt>
                <c:pt idx="22">
                  <c:v>-11533.333333333328</c:v>
                </c:pt>
                <c:pt idx="23">
                  <c:v>-15800</c:v>
                </c:pt>
                <c:pt idx="24">
                  <c:v>-20400</c:v>
                </c:pt>
              </c:numCache>
            </c:numRef>
          </c:val>
          <c:smooth val="0"/>
          <c:extLst>
            <c:ext xmlns:c16="http://schemas.microsoft.com/office/drawing/2014/chart" uri="{C3380CC4-5D6E-409C-BE32-E72D297353CC}">
              <c16:uniqueId val="{00000001-69F6-42B6-A8B0-12D417B289E6}"/>
            </c:ext>
          </c:extLst>
        </c:ser>
        <c:dLbls>
          <c:showLegendKey val="0"/>
          <c:showVal val="0"/>
          <c:showCatName val="0"/>
          <c:showSerName val="0"/>
          <c:showPercent val="0"/>
          <c:showBubbleSize val="0"/>
        </c:dLbls>
        <c:smooth val="0"/>
        <c:axId val="-1636214912"/>
        <c:axId val="-1635907168"/>
      </c:lineChart>
      <c:catAx>
        <c:axId val="-1636214912"/>
        <c:scaling>
          <c:orientation val="minMax"/>
        </c:scaling>
        <c:delete val="0"/>
        <c:axPos val="b"/>
        <c:numFmt formatCode="General" sourceLinked="1"/>
        <c:majorTickMark val="out"/>
        <c:minorTickMark val="none"/>
        <c:tickLblPos val="nextTo"/>
        <c:spPr>
          <a:ln w="3175">
            <a:solidFill>
              <a:srgbClr val="808080"/>
            </a:solidFill>
            <a:prstDash val="solid"/>
          </a:ln>
        </c:spPr>
        <c:crossAx val="-1635907168"/>
        <c:crosses val="autoZero"/>
        <c:auto val="1"/>
        <c:lblAlgn val="ctr"/>
        <c:lblOffset val="100"/>
        <c:noMultiLvlLbl val="0"/>
      </c:catAx>
      <c:valAx>
        <c:axId val="-1635907168"/>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636214912"/>
        <c:crosses val="autoZero"/>
        <c:crossBetween val="between"/>
      </c:valAx>
      <c:spPr>
        <a:solidFill>
          <a:srgbClr val="FFFFFF"/>
        </a:solidFill>
        <a:ln w="25400">
          <a:noFill/>
        </a:ln>
      </c:spPr>
    </c:plotArea>
    <c:legend>
      <c:legendPos val="r"/>
      <c:layout>
        <c:manualLayout>
          <c:xMode val="edge"/>
          <c:yMode val="edge"/>
          <c:x val="0.80483098897857996"/>
          <c:y val="0.39063744907514902"/>
          <c:w val="0.171176740193205"/>
          <c:h val="0.20833997284007899"/>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b="0" i="0" u="none" strike="noStrike" baseline="0">
                <a:solidFill>
                  <a:srgbClr val="000000"/>
                </a:solidFill>
                <a:latin typeface="Calibri"/>
                <a:ea typeface="Calibri"/>
                <a:cs typeface="Calibri"/>
              </a:defRPr>
            </a:pPr>
            <a:r>
              <a:rPr lang="en-US"/>
              <a:t>P(Q)</a:t>
            </a:r>
          </a:p>
        </c:rich>
      </c:tx>
      <c:overlay val="0"/>
      <c:spPr>
        <a:noFill/>
        <a:ln w="25400">
          <a:noFill/>
        </a:ln>
      </c:spPr>
    </c:title>
    <c:autoTitleDeleted val="0"/>
    <c:plotArea>
      <c:layout/>
      <c:lineChart>
        <c:grouping val="standard"/>
        <c:varyColors val="0"/>
        <c:ser>
          <c:idx val="1"/>
          <c:order val="0"/>
          <c:tx>
            <c:strRef>
              <c:f>'Virksomheds undersøgelse - eks'!$F$26</c:f>
              <c:strCache>
                <c:ptCount val="1"/>
                <c:pt idx="0">
                  <c:v>Pris</c:v>
                </c:pt>
              </c:strCache>
            </c:strRef>
          </c:tx>
          <c:spPr>
            <a:ln w="38100">
              <a:solidFill>
                <a:srgbClr val="DD2D32"/>
              </a:solidFill>
              <a:prstDash val="solid"/>
            </a:ln>
          </c:spPr>
          <c:marker>
            <c:symbol val="none"/>
          </c:marker>
          <c:cat>
            <c:numRef>
              <c:f>'Virksomheds undersøgelse - eks'!$E$27:$E$47</c:f>
              <c:numCache>
                <c:formatCode>General</c:formatCode>
                <c:ptCount val="2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'Virksomheds undersøgelse - eks'!$F$27:$F$47</c:f>
              <c:numCache>
                <c:formatCode>General</c:formatCode>
                <c:ptCount val="21"/>
                <c:pt idx="0">
                  <c:v>150</c:v>
                </c:pt>
                <c:pt idx="1">
                  <c:v>140</c:v>
                </c:pt>
                <c:pt idx="2">
                  <c:v>130</c:v>
                </c:pt>
                <c:pt idx="3">
                  <c:v>120</c:v>
                </c:pt>
                <c:pt idx="4">
                  <c:v>110</c:v>
                </c:pt>
                <c:pt idx="5">
                  <c:v>100</c:v>
                </c:pt>
                <c:pt idx="6">
                  <c:v>90</c:v>
                </c:pt>
                <c:pt idx="7">
                  <c:v>80</c:v>
                </c:pt>
                <c:pt idx="8">
                  <c:v>70</c:v>
                </c:pt>
                <c:pt idx="9">
                  <c:v>60</c:v>
                </c:pt>
                <c:pt idx="10">
                  <c:v>50</c:v>
                </c:pt>
                <c:pt idx="11">
                  <c:v>40</c:v>
                </c:pt>
                <c:pt idx="12">
                  <c:v>30</c:v>
                </c:pt>
                <c:pt idx="13">
                  <c:v>20</c:v>
                </c:pt>
                <c:pt idx="14">
                  <c:v>10</c:v>
                </c:pt>
                <c:pt idx="15">
                  <c:v>0</c:v>
                </c:pt>
              </c:numCache>
            </c:numRef>
          </c:val>
          <c:smooth val="0"/>
          <c:extLst>
            <c:ext xmlns:c16="http://schemas.microsoft.com/office/drawing/2014/chart" uri="{C3380CC4-5D6E-409C-BE32-E72D297353CC}">
              <c16:uniqueId val="{00000000-26C9-4737-A04E-57C7F69BAB97}"/>
            </c:ext>
          </c:extLst>
        </c:ser>
        <c:dLbls>
          <c:showLegendKey val="0"/>
          <c:showVal val="0"/>
          <c:showCatName val="0"/>
          <c:showSerName val="0"/>
          <c:showPercent val="0"/>
          <c:showBubbleSize val="0"/>
        </c:dLbls>
        <c:smooth val="0"/>
        <c:axId val="-1635922960"/>
        <c:axId val="-1635920640"/>
      </c:lineChart>
      <c:catAx>
        <c:axId val="-1635922960"/>
        <c:scaling>
          <c:orientation val="minMax"/>
        </c:scaling>
        <c:delete val="0"/>
        <c:axPos val="b"/>
        <c:numFmt formatCode="General" sourceLinked="1"/>
        <c:majorTickMark val="out"/>
        <c:minorTickMark val="none"/>
        <c:tickLblPos val="nextTo"/>
        <c:spPr>
          <a:ln w="3175">
            <a:solidFill>
              <a:srgbClr val="808080"/>
            </a:solidFill>
            <a:prstDash val="solid"/>
          </a:ln>
        </c:spPr>
        <c:crossAx val="-1635920640"/>
        <c:crosses val="autoZero"/>
        <c:auto val="1"/>
        <c:lblAlgn val="ctr"/>
        <c:lblOffset val="100"/>
        <c:noMultiLvlLbl val="0"/>
      </c:catAx>
      <c:valAx>
        <c:axId val="-1635920640"/>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635922960"/>
        <c:crosses val="autoZero"/>
        <c:crossBetween val="between"/>
      </c:valAx>
      <c:spPr>
        <a:solidFill>
          <a:srgbClr val="FFFFFF"/>
        </a:solidFill>
        <a:ln w="25400">
          <a:noFill/>
        </a:ln>
      </c:spPr>
    </c:plotArea>
    <c:legend>
      <c:legendPos val="r"/>
      <c:layout>
        <c:manualLayout>
          <c:xMode val="edge"/>
          <c:yMode val="edge"/>
          <c:x val="0.856797559503087"/>
          <c:y val="0.57520707466849597"/>
          <c:w val="0.119795403456359"/>
          <c:h val="7.5190467276927603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b="0" i="0" u="none" strike="noStrike" baseline="0">
                <a:solidFill>
                  <a:srgbClr val="000000"/>
                </a:solidFill>
                <a:latin typeface="Calibri"/>
                <a:ea typeface="Calibri"/>
                <a:cs typeface="Calibri"/>
              </a:defRPr>
            </a:pPr>
            <a:r>
              <a:rPr lang="en-US"/>
              <a:t>P(Q) og MR</a:t>
            </a:r>
          </a:p>
        </c:rich>
      </c:tx>
      <c:overlay val="0"/>
      <c:spPr>
        <a:noFill/>
        <a:ln w="25400">
          <a:noFill/>
        </a:ln>
      </c:spPr>
    </c:title>
    <c:autoTitleDeleted val="0"/>
    <c:plotArea>
      <c:layout/>
      <c:lineChart>
        <c:grouping val="standard"/>
        <c:varyColors val="0"/>
        <c:ser>
          <c:idx val="0"/>
          <c:order val="0"/>
          <c:tx>
            <c:strRef>
              <c:f>'Virksomheds undersøgelse - eks'!$G$53</c:f>
              <c:strCache>
                <c:ptCount val="1"/>
                <c:pt idx="0">
                  <c:v>Pris</c:v>
                </c:pt>
              </c:strCache>
            </c:strRef>
          </c:tx>
          <c:spPr>
            <a:ln w="38100">
              <a:solidFill>
                <a:srgbClr val="666699"/>
              </a:solidFill>
              <a:prstDash val="solid"/>
            </a:ln>
          </c:spPr>
          <c:marker>
            <c:symbol val="none"/>
          </c:marker>
          <c:cat>
            <c:numRef>
              <c:f>'Virksomheds undersøgelse - eks'!$F$78:$F$93</c:f>
              <c:numCache>
                <c:formatCode>General</c:formatCode>
                <c:ptCount val="16"/>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'Virksomheds undersøgelse - eks'!$G$54:$G$69</c:f>
              <c:numCache>
                <c:formatCode>General</c:formatCode>
                <c:ptCount val="16"/>
                <c:pt idx="0">
                  <c:v>150</c:v>
                </c:pt>
                <c:pt idx="1">
                  <c:v>140</c:v>
                </c:pt>
                <c:pt idx="2">
                  <c:v>130</c:v>
                </c:pt>
                <c:pt idx="3">
                  <c:v>120</c:v>
                </c:pt>
                <c:pt idx="4">
                  <c:v>110</c:v>
                </c:pt>
                <c:pt idx="5">
                  <c:v>100</c:v>
                </c:pt>
                <c:pt idx="6">
                  <c:v>90</c:v>
                </c:pt>
                <c:pt idx="7">
                  <c:v>80</c:v>
                </c:pt>
                <c:pt idx="8">
                  <c:v>70</c:v>
                </c:pt>
                <c:pt idx="9">
                  <c:v>60</c:v>
                </c:pt>
                <c:pt idx="10">
                  <c:v>50</c:v>
                </c:pt>
                <c:pt idx="11">
                  <c:v>40</c:v>
                </c:pt>
                <c:pt idx="12">
                  <c:v>30</c:v>
                </c:pt>
                <c:pt idx="13">
                  <c:v>20</c:v>
                </c:pt>
                <c:pt idx="14">
                  <c:v>10</c:v>
                </c:pt>
                <c:pt idx="15">
                  <c:v>0</c:v>
                </c:pt>
              </c:numCache>
            </c:numRef>
          </c:val>
          <c:smooth val="0"/>
          <c:extLst>
            <c:ext xmlns:c16="http://schemas.microsoft.com/office/drawing/2014/chart" uri="{C3380CC4-5D6E-409C-BE32-E72D297353CC}">
              <c16:uniqueId val="{00000000-85FA-4C99-BDD3-3529093F8DD6}"/>
            </c:ext>
          </c:extLst>
        </c:ser>
        <c:ser>
          <c:idx val="1"/>
          <c:order val="1"/>
          <c:tx>
            <c:strRef>
              <c:f>'Virksomheds undersøgelse - eks'!$H$53</c:f>
              <c:strCache>
                <c:ptCount val="1"/>
                <c:pt idx="0">
                  <c:v>MR</c:v>
                </c:pt>
              </c:strCache>
            </c:strRef>
          </c:tx>
          <c:spPr>
            <a:ln w="38100">
              <a:solidFill>
                <a:srgbClr val="DD2D32"/>
              </a:solidFill>
              <a:prstDash val="solid"/>
            </a:ln>
          </c:spPr>
          <c:marker>
            <c:symbol val="none"/>
          </c:marker>
          <c:cat>
            <c:numRef>
              <c:f>'Virksomheds undersøgelse - eks'!$F$78:$F$93</c:f>
              <c:numCache>
                <c:formatCode>General</c:formatCode>
                <c:ptCount val="16"/>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'Virksomheds undersøgelse - eks'!$H$54:$H$69</c:f>
              <c:numCache>
                <c:formatCode>General</c:formatCode>
                <c:ptCount val="16"/>
                <c:pt idx="0">
                  <c:v>150</c:v>
                </c:pt>
                <c:pt idx="1">
                  <c:v>130</c:v>
                </c:pt>
                <c:pt idx="2">
                  <c:v>110</c:v>
                </c:pt>
                <c:pt idx="3">
                  <c:v>90</c:v>
                </c:pt>
                <c:pt idx="4">
                  <c:v>70</c:v>
                </c:pt>
                <c:pt idx="5">
                  <c:v>50</c:v>
                </c:pt>
                <c:pt idx="6">
                  <c:v>30</c:v>
                </c:pt>
                <c:pt idx="7">
                  <c:v>10</c:v>
                </c:pt>
                <c:pt idx="8">
                  <c:v>-10</c:v>
                </c:pt>
              </c:numCache>
            </c:numRef>
          </c:val>
          <c:smooth val="0"/>
          <c:extLst>
            <c:ext xmlns:c16="http://schemas.microsoft.com/office/drawing/2014/chart" uri="{C3380CC4-5D6E-409C-BE32-E72D297353CC}">
              <c16:uniqueId val="{00000001-85FA-4C99-BDD3-3529093F8DD6}"/>
            </c:ext>
          </c:extLst>
        </c:ser>
        <c:dLbls>
          <c:showLegendKey val="0"/>
          <c:showVal val="0"/>
          <c:showCatName val="0"/>
          <c:showSerName val="0"/>
          <c:showPercent val="0"/>
          <c:showBubbleSize val="0"/>
        </c:dLbls>
        <c:smooth val="0"/>
        <c:axId val="-1635982448"/>
        <c:axId val="-1635980128"/>
      </c:lineChart>
      <c:catAx>
        <c:axId val="-1635982448"/>
        <c:scaling>
          <c:orientation val="minMax"/>
        </c:scaling>
        <c:delete val="0"/>
        <c:axPos val="b"/>
        <c:numFmt formatCode="General" sourceLinked="1"/>
        <c:majorTickMark val="out"/>
        <c:minorTickMark val="none"/>
        <c:tickLblPos val="nextTo"/>
        <c:spPr>
          <a:ln w="3175">
            <a:solidFill>
              <a:srgbClr val="808080"/>
            </a:solidFill>
            <a:prstDash val="solid"/>
          </a:ln>
        </c:spPr>
        <c:crossAx val="-1635980128"/>
        <c:crosses val="autoZero"/>
        <c:auto val="1"/>
        <c:lblAlgn val="ctr"/>
        <c:lblOffset val="100"/>
        <c:noMultiLvlLbl val="0"/>
      </c:catAx>
      <c:valAx>
        <c:axId val="-1635980128"/>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635982448"/>
        <c:crosses val="autoZero"/>
        <c:crossBetween val="between"/>
      </c:valAx>
      <c:spPr>
        <a:solidFill>
          <a:srgbClr val="FFFFFF"/>
        </a:solidFill>
        <a:ln w="25400">
          <a:noFill/>
        </a:ln>
      </c:spPr>
    </c:plotArea>
    <c:legend>
      <c:legendPos val="r"/>
      <c:layout>
        <c:manualLayout>
          <c:xMode val="edge"/>
          <c:yMode val="edge"/>
          <c:x val="0.856797559503087"/>
          <c:y val="0.55432599690150297"/>
          <c:w val="0.122399651357584"/>
          <c:h val="0.14981783700040599"/>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spPr>
        <a:noFill/>
        <a:ln w="25400">
          <a:noFill/>
        </a:ln>
      </c:spPr>
      <c:txPr>
        <a:bodyPr/>
        <a:lstStyle/>
        <a:p>
          <a:pPr>
            <a:defRPr sz="1200" b="0" i="0" u="none" strike="noStrike" baseline="0">
              <a:solidFill>
                <a:srgbClr val="000000"/>
              </a:solidFill>
              <a:latin typeface="Calibri"/>
              <a:ea typeface="Calibri"/>
              <a:cs typeface="Calibri"/>
            </a:defRPr>
          </a:pPr>
          <a:endParaRPr lang="da-DK"/>
        </a:p>
      </c:txPr>
    </c:title>
    <c:autoTitleDeleted val="0"/>
    <c:plotArea>
      <c:layout/>
      <c:lineChart>
        <c:grouping val="standard"/>
        <c:varyColors val="0"/>
        <c:ser>
          <c:idx val="0"/>
          <c:order val="0"/>
          <c:tx>
            <c:strRef>
              <c:f>'Virksomheds undersøgelse - eks'!$G$77</c:f>
              <c:strCache>
                <c:ptCount val="1"/>
                <c:pt idx="0">
                  <c:v>TR(Q)</c:v>
                </c:pt>
              </c:strCache>
            </c:strRef>
          </c:tx>
          <c:spPr>
            <a:ln w="38100">
              <a:solidFill>
                <a:srgbClr val="666699"/>
              </a:solidFill>
              <a:prstDash val="solid"/>
            </a:ln>
          </c:spPr>
          <c:marker>
            <c:symbol val="none"/>
          </c:marker>
          <c:cat>
            <c:numRef>
              <c:f>'Virksomheds undersøgelse - eks'!$F$78:$F$93</c:f>
              <c:numCache>
                <c:formatCode>General</c:formatCode>
                <c:ptCount val="16"/>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'Virksomheds undersøgelse - eks'!$G$78:$G$93</c:f>
              <c:numCache>
                <c:formatCode>General</c:formatCode>
                <c:ptCount val="16"/>
                <c:pt idx="0">
                  <c:v>0</c:v>
                </c:pt>
                <c:pt idx="1">
                  <c:v>1400</c:v>
                </c:pt>
                <c:pt idx="2">
                  <c:v>2600</c:v>
                </c:pt>
                <c:pt idx="3">
                  <c:v>3600</c:v>
                </c:pt>
                <c:pt idx="4">
                  <c:v>4400</c:v>
                </c:pt>
                <c:pt idx="5">
                  <c:v>5000</c:v>
                </c:pt>
                <c:pt idx="6">
                  <c:v>5400</c:v>
                </c:pt>
                <c:pt idx="7">
                  <c:v>5600</c:v>
                </c:pt>
                <c:pt idx="8">
                  <c:v>5600</c:v>
                </c:pt>
                <c:pt idx="9">
                  <c:v>5400</c:v>
                </c:pt>
                <c:pt idx="10">
                  <c:v>5000</c:v>
                </c:pt>
                <c:pt idx="11">
                  <c:v>4400</c:v>
                </c:pt>
                <c:pt idx="12">
                  <c:v>3600</c:v>
                </c:pt>
                <c:pt idx="13">
                  <c:v>2600</c:v>
                </c:pt>
                <c:pt idx="14">
                  <c:v>1400</c:v>
                </c:pt>
                <c:pt idx="15">
                  <c:v>0</c:v>
                </c:pt>
              </c:numCache>
            </c:numRef>
          </c:val>
          <c:smooth val="0"/>
          <c:extLst>
            <c:ext xmlns:c16="http://schemas.microsoft.com/office/drawing/2014/chart" uri="{C3380CC4-5D6E-409C-BE32-E72D297353CC}">
              <c16:uniqueId val="{00000000-668E-4441-9A69-AE7E15A67ED3}"/>
            </c:ext>
          </c:extLst>
        </c:ser>
        <c:dLbls>
          <c:showLegendKey val="0"/>
          <c:showVal val="0"/>
          <c:showCatName val="0"/>
          <c:showSerName val="0"/>
          <c:showPercent val="0"/>
          <c:showBubbleSize val="0"/>
        </c:dLbls>
        <c:smooth val="0"/>
        <c:axId val="-1635993152"/>
        <c:axId val="-1636017568"/>
      </c:lineChart>
      <c:catAx>
        <c:axId val="-1635993152"/>
        <c:scaling>
          <c:orientation val="minMax"/>
        </c:scaling>
        <c:delete val="0"/>
        <c:axPos val="b"/>
        <c:numFmt formatCode="General" sourceLinked="1"/>
        <c:majorTickMark val="out"/>
        <c:minorTickMark val="none"/>
        <c:tickLblPos val="nextTo"/>
        <c:spPr>
          <a:ln w="3175">
            <a:solidFill>
              <a:srgbClr val="808080"/>
            </a:solidFill>
            <a:prstDash val="solid"/>
          </a:ln>
        </c:spPr>
        <c:crossAx val="-1636017568"/>
        <c:crosses val="autoZero"/>
        <c:auto val="1"/>
        <c:lblAlgn val="ctr"/>
        <c:lblOffset val="100"/>
        <c:noMultiLvlLbl val="0"/>
      </c:catAx>
      <c:valAx>
        <c:axId val="-1636017568"/>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635993152"/>
        <c:crosses val="autoZero"/>
        <c:crossBetween val="between"/>
      </c:valAx>
      <c:spPr>
        <a:solidFill>
          <a:srgbClr val="FFFFFF"/>
        </a:solidFill>
        <a:ln w="25400">
          <a:noFill/>
        </a:ln>
      </c:spPr>
    </c:plotArea>
    <c:legend>
      <c:legendPos val="r"/>
      <c:layout>
        <c:manualLayout>
          <c:xMode val="edge"/>
          <c:yMode val="edge"/>
          <c:x val="0.83335932839205995"/>
          <c:y val="0.57360346755398495"/>
          <c:w val="0.143233634567385"/>
          <c:h val="7.5474140467629597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b="0" i="0" u="none" strike="noStrike" baseline="0">
                <a:solidFill>
                  <a:srgbClr val="000000"/>
                </a:solidFill>
                <a:latin typeface="Calibri"/>
                <a:ea typeface="Calibri"/>
                <a:cs typeface="Calibri"/>
              </a:defRPr>
            </a:pPr>
            <a:r>
              <a:rPr lang="en-US"/>
              <a:t>P(Q)</a:t>
            </a:r>
          </a:p>
        </c:rich>
      </c:tx>
      <c:overlay val="0"/>
      <c:spPr>
        <a:noFill/>
        <a:ln w="25400">
          <a:noFill/>
        </a:ln>
      </c:spPr>
    </c:title>
    <c:autoTitleDeleted val="0"/>
    <c:plotArea>
      <c:layout/>
      <c:lineChart>
        <c:grouping val="standard"/>
        <c:varyColors val="0"/>
        <c:ser>
          <c:idx val="1"/>
          <c:order val="0"/>
          <c:tx>
            <c:strRef>
              <c:f>'Virksomheds undersøgelse - eks'!$F$26</c:f>
              <c:strCache>
                <c:ptCount val="1"/>
                <c:pt idx="0">
                  <c:v>Pris</c:v>
                </c:pt>
              </c:strCache>
            </c:strRef>
          </c:tx>
          <c:spPr>
            <a:ln w="38100">
              <a:solidFill>
                <a:srgbClr val="DD2D32"/>
              </a:solidFill>
              <a:prstDash val="solid"/>
            </a:ln>
          </c:spPr>
          <c:marker>
            <c:symbol val="none"/>
          </c:marker>
          <c:cat>
            <c:numRef>
              <c:f>'Virksomheds undersøgelse - eks'!$E$27:$E$47</c:f>
              <c:numCache>
                <c:formatCode>General</c:formatCode>
                <c:ptCount val="21"/>
                <c:pt idx="0">
                  <c:v>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numCache>
            </c:numRef>
          </c:cat>
          <c:val>
            <c:numRef>
              <c:f>'Virksomheds undersøgelse - eks'!$F$27:$F$47</c:f>
              <c:numCache>
                <c:formatCode>General</c:formatCode>
                <c:ptCount val="21"/>
                <c:pt idx="0">
                  <c:v>150</c:v>
                </c:pt>
                <c:pt idx="1">
                  <c:v>140</c:v>
                </c:pt>
                <c:pt idx="2">
                  <c:v>130</c:v>
                </c:pt>
                <c:pt idx="3">
                  <c:v>120</c:v>
                </c:pt>
                <c:pt idx="4">
                  <c:v>110</c:v>
                </c:pt>
                <c:pt idx="5">
                  <c:v>100</c:v>
                </c:pt>
                <c:pt idx="6">
                  <c:v>90</c:v>
                </c:pt>
                <c:pt idx="7">
                  <c:v>80</c:v>
                </c:pt>
                <c:pt idx="8">
                  <c:v>70</c:v>
                </c:pt>
                <c:pt idx="9">
                  <c:v>60</c:v>
                </c:pt>
                <c:pt idx="10">
                  <c:v>50</c:v>
                </c:pt>
                <c:pt idx="11">
                  <c:v>40</c:v>
                </c:pt>
                <c:pt idx="12">
                  <c:v>30</c:v>
                </c:pt>
                <c:pt idx="13">
                  <c:v>20</c:v>
                </c:pt>
                <c:pt idx="14">
                  <c:v>10</c:v>
                </c:pt>
                <c:pt idx="15">
                  <c:v>0</c:v>
                </c:pt>
              </c:numCache>
            </c:numRef>
          </c:val>
          <c:smooth val="0"/>
          <c:extLst>
            <c:ext xmlns:c16="http://schemas.microsoft.com/office/drawing/2014/chart" uri="{C3380CC4-5D6E-409C-BE32-E72D297353CC}">
              <c16:uniqueId val="{00000000-2290-4F78-9126-6E94E6628412}"/>
            </c:ext>
          </c:extLst>
        </c:ser>
        <c:dLbls>
          <c:showLegendKey val="0"/>
          <c:showVal val="0"/>
          <c:showCatName val="0"/>
          <c:showSerName val="0"/>
          <c:showPercent val="0"/>
          <c:showBubbleSize val="0"/>
        </c:dLbls>
        <c:smooth val="0"/>
        <c:axId val="-1131448304"/>
        <c:axId val="-1114424352"/>
      </c:lineChart>
      <c:catAx>
        <c:axId val="-1131448304"/>
        <c:scaling>
          <c:orientation val="minMax"/>
        </c:scaling>
        <c:delete val="0"/>
        <c:axPos val="b"/>
        <c:numFmt formatCode="General" sourceLinked="1"/>
        <c:majorTickMark val="out"/>
        <c:minorTickMark val="none"/>
        <c:tickLblPos val="nextTo"/>
        <c:spPr>
          <a:ln w="3175">
            <a:solidFill>
              <a:srgbClr val="808080"/>
            </a:solidFill>
            <a:prstDash val="solid"/>
          </a:ln>
        </c:spPr>
        <c:crossAx val="-1114424352"/>
        <c:crosses val="autoZero"/>
        <c:auto val="1"/>
        <c:lblAlgn val="ctr"/>
        <c:lblOffset val="100"/>
        <c:noMultiLvlLbl val="0"/>
      </c:catAx>
      <c:valAx>
        <c:axId val="-1114424352"/>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131448304"/>
        <c:crosses val="autoZero"/>
        <c:crossBetween val="between"/>
      </c:valAx>
      <c:spPr>
        <a:solidFill>
          <a:srgbClr val="FFFFFF"/>
        </a:solidFill>
        <a:ln w="25400">
          <a:noFill/>
        </a:ln>
      </c:spPr>
    </c:plotArea>
    <c:legend>
      <c:legendPos val="r"/>
      <c:layout>
        <c:manualLayout>
          <c:xMode val="edge"/>
          <c:yMode val="edge"/>
          <c:x val="0.856797559503087"/>
          <c:y val="0.57679867245156402"/>
          <c:w val="0.119795403456359"/>
          <c:h val="7.4908918500203106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spPr>
            <a:ln w="38100">
              <a:solidFill>
                <a:srgbClr val="666699"/>
              </a:solidFill>
              <a:prstDash val="solid"/>
            </a:ln>
          </c:spPr>
          <c:marker>
            <c:symbol val="none"/>
          </c:marker>
          <c:val>
            <c:numRef>
              <c:f>'Optimal prissætning - eks'!$D$42:$D$66</c:f>
              <c:numCache>
                <c:formatCode>General</c:formatCode>
                <c:ptCount val="25"/>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numCache>
            </c:numRef>
          </c:val>
          <c:smooth val="0"/>
          <c:extLst>
            <c:ext xmlns:c16="http://schemas.microsoft.com/office/drawing/2014/chart" uri="{C3380CC4-5D6E-409C-BE32-E72D297353CC}">
              <c16:uniqueId val="{00000000-7982-4BB0-A2FD-D6CD2CC357A2}"/>
            </c:ext>
          </c:extLst>
        </c:ser>
        <c:ser>
          <c:idx val="1"/>
          <c:order val="1"/>
          <c:spPr>
            <a:ln w="38100">
              <a:solidFill>
                <a:srgbClr val="DD2D32"/>
              </a:solidFill>
              <a:prstDash val="solid"/>
            </a:ln>
          </c:spPr>
          <c:marker>
            <c:symbol val="none"/>
          </c:marker>
          <c:val>
            <c:numRef>
              <c:f>'Optimal prissætning - eks'!$E$42:$E$66</c:f>
              <c:numCache>
                <c:formatCode>0</c:formatCode>
                <c:ptCount val="25"/>
                <c:pt idx="0">
                  <c:v>-2000</c:v>
                </c:pt>
                <c:pt idx="1">
                  <c:v>1066.666666666667</c:v>
                </c:pt>
                <c:pt idx="2">
                  <c:v>3800</c:v>
                </c:pt>
                <c:pt idx="3">
                  <c:v>6200</c:v>
                </c:pt>
                <c:pt idx="4">
                  <c:v>8266.6666666666679</c:v>
                </c:pt>
                <c:pt idx="5">
                  <c:v>10000</c:v>
                </c:pt>
                <c:pt idx="6">
                  <c:v>11400</c:v>
                </c:pt>
                <c:pt idx="7">
                  <c:v>12466.666666666668</c:v>
                </c:pt>
                <c:pt idx="8">
                  <c:v>13200</c:v>
                </c:pt>
                <c:pt idx="9">
                  <c:v>13600</c:v>
                </c:pt>
                <c:pt idx="10">
                  <c:v>13666.666666666668</c:v>
                </c:pt>
                <c:pt idx="11">
                  <c:v>13400.000000000004</c:v>
                </c:pt>
                <c:pt idx="12">
                  <c:v>12800</c:v>
                </c:pt>
                <c:pt idx="13">
                  <c:v>11866.666666666668</c:v>
                </c:pt>
                <c:pt idx="14">
                  <c:v>10600.000000000004</c:v>
                </c:pt>
                <c:pt idx="15">
                  <c:v>9000</c:v>
                </c:pt>
                <c:pt idx="16">
                  <c:v>7066.6666666666715</c:v>
                </c:pt>
                <c:pt idx="17">
                  <c:v>4800.0000000000073</c:v>
                </c:pt>
                <c:pt idx="18">
                  <c:v>2200</c:v>
                </c:pt>
                <c:pt idx="19">
                  <c:v>-733.33333333332121</c:v>
                </c:pt>
                <c:pt idx="20">
                  <c:v>-4000</c:v>
                </c:pt>
                <c:pt idx="21">
                  <c:v>-7600</c:v>
                </c:pt>
                <c:pt idx="22">
                  <c:v>-11533.333333333328</c:v>
                </c:pt>
                <c:pt idx="23">
                  <c:v>-15800</c:v>
                </c:pt>
                <c:pt idx="24">
                  <c:v>-20400</c:v>
                </c:pt>
              </c:numCache>
            </c:numRef>
          </c:val>
          <c:smooth val="0"/>
          <c:extLst>
            <c:ext xmlns:c16="http://schemas.microsoft.com/office/drawing/2014/chart" uri="{C3380CC4-5D6E-409C-BE32-E72D297353CC}">
              <c16:uniqueId val="{00000001-7982-4BB0-A2FD-D6CD2CC357A2}"/>
            </c:ext>
          </c:extLst>
        </c:ser>
        <c:dLbls>
          <c:showLegendKey val="0"/>
          <c:showVal val="0"/>
          <c:showCatName val="0"/>
          <c:showSerName val="0"/>
          <c:showPercent val="0"/>
          <c:showBubbleSize val="0"/>
        </c:dLbls>
        <c:smooth val="0"/>
        <c:axId val="-1131447376"/>
        <c:axId val="-1129990032"/>
      </c:lineChart>
      <c:catAx>
        <c:axId val="-1131447376"/>
        <c:scaling>
          <c:orientation val="minMax"/>
        </c:scaling>
        <c:delete val="0"/>
        <c:axPos val="b"/>
        <c:numFmt formatCode="General" sourceLinked="1"/>
        <c:majorTickMark val="out"/>
        <c:minorTickMark val="none"/>
        <c:tickLblPos val="nextTo"/>
        <c:spPr>
          <a:ln w="3175">
            <a:solidFill>
              <a:srgbClr val="808080"/>
            </a:solidFill>
            <a:prstDash val="solid"/>
          </a:ln>
        </c:spPr>
        <c:crossAx val="-1129990032"/>
        <c:crosses val="autoZero"/>
        <c:auto val="1"/>
        <c:lblAlgn val="ctr"/>
        <c:lblOffset val="100"/>
        <c:noMultiLvlLbl val="0"/>
      </c:catAx>
      <c:valAx>
        <c:axId val="-1129990032"/>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131447376"/>
        <c:crosses val="autoZero"/>
        <c:crossBetween val="between"/>
      </c:valAx>
      <c:spPr>
        <a:solidFill>
          <a:srgbClr val="FFFFFF"/>
        </a:solidFill>
        <a:ln w="25400">
          <a:noFill/>
        </a:ln>
      </c:spPr>
    </c:plotArea>
    <c:legend>
      <c:legendPos val="r"/>
      <c:layout>
        <c:manualLayout>
          <c:xMode val="edge"/>
          <c:yMode val="edge"/>
          <c:x val="0.78620982170979803"/>
          <c:y val="0.39063744907514902"/>
          <c:w val="0.18750610810652099"/>
          <c:h val="0.20833997284007899"/>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da-DK"/>
    </a:p>
  </c:txPr>
  <c:printSettings>
    <c:headerFooter/>
    <c:pageMargins b="1" l="0.75" r="0.75" t="1" header="0.5" footer="0.5"/>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'Optimal prissætning - eks'!$B$91</c:f>
              <c:strCache>
                <c:ptCount val="1"/>
                <c:pt idx="0">
                  <c:v>AC</c:v>
                </c:pt>
              </c:strCache>
            </c:strRef>
          </c:tx>
          <c:spPr>
            <a:ln w="25400">
              <a:solidFill>
                <a:srgbClr val="666699"/>
              </a:solidFill>
              <a:prstDash val="solid"/>
            </a:ln>
          </c:spPr>
          <c:marker>
            <c:symbol val="none"/>
          </c:marker>
          <c:cat>
            <c:numRef>
              <c:f>'Optimal prissætning - eks'!$C$90:$Z$90</c:f>
              <c:numCache>
                <c:formatCode>General</c:formatCode>
                <c:ptCount val="24"/>
                <c:pt idx="0">
                  <c:v>1000</c:v>
                </c:pt>
                <c:pt idx="1">
                  <c:v>2000</c:v>
                </c:pt>
                <c:pt idx="2">
                  <c:v>4000</c:v>
                </c:pt>
                <c:pt idx="3">
                  <c:v>6000</c:v>
                </c:pt>
                <c:pt idx="4">
                  <c:v>8000</c:v>
                </c:pt>
                <c:pt idx="5">
                  <c:v>10000</c:v>
                </c:pt>
                <c:pt idx="6">
                  <c:v>12000</c:v>
                </c:pt>
                <c:pt idx="7">
                  <c:v>14000</c:v>
                </c:pt>
                <c:pt idx="8">
                  <c:v>16000</c:v>
                </c:pt>
                <c:pt idx="9">
                  <c:v>18000</c:v>
                </c:pt>
                <c:pt idx="10">
                  <c:v>20000</c:v>
                </c:pt>
                <c:pt idx="11">
                  <c:v>22000</c:v>
                </c:pt>
                <c:pt idx="12">
                  <c:v>24000</c:v>
                </c:pt>
                <c:pt idx="13">
                  <c:v>26000</c:v>
                </c:pt>
                <c:pt idx="14">
                  <c:v>28000</c:v>
                </c:pt>
                <c:pt idx="15">
                  <c:v>30000</c:v>
                </c:pt>
                <c:pt idx="16">
                  <c:v>32000</c:v>
                </c:pt>
                <c:pt idx="17">
                  <c:v>34000</c:v>
                </c:pt>
                <c:pt idx="18">
                  <c:v>36000</c:v>
                </c:pt>
                <c:pt idx="19">
                  <c:v>38000</c:v>
                </c:pt>
                <c:pt idx="20">
                  <c:v>40000</c:v>
                </c:pt>
                <c:pt idx="21">
                  <c:v>42000</c:v>
                </c:pt>
                <c:pt idx="22">
                  <c:v>44000</c:v>
                </c:pt>
                <c:pt idx="23">
                  <c:v>46000</c:v>
                </c:pt>
              </c:numCache>
            </c:numRef>
          </c:cat>
          <c:val>
            <c:numRef>
              <c:f>'Optimal prissætning - eks'!$C$91:$Z$91</c:f>
              <c:numCache>
                <c:formatCode>General</c:formatCode>
                <c:ptCount val="24"/>
                <c:pt idx="0">
                  <c:v>1070</c:v>
                </c:pt>
                <c:pt idx="1">
                  <c:v>580</c:v>
                </c:pt>
                <c:pt idx="2">
                  <c:v>350</c:v>
                </c:pt>
                <c:pt idx="3">
                  <c:v>286.66666666666663</c:v>
                </c:pt>
                <c:pt idx="4">
                  <c:v>265</c:v>
                </c:pt>
                <c:pt idx="5">
                  <c:v>260</c:v>
                </c:pt>
                <c:pt idx="6">
                  <c:v>263.33333333333331</c:v>
                </c:pt>
                <c:pt idx="7">
                  <c:v>271.42857142857144</c:v>
                </c:pt>
                <c:pt idx="8">
                  <c:v>282.5</c:v>
                </c:pt>
                <c:pt idx="9">
                  <c:v>295.55555555555554</c:v>
                </c:pt>
                <c:pt idx="10">
                  <c:v>310</c:v>
                </c:pt>
                <c:pt idx="11">
                  <c:v>325.45454545454544</c:v>
                </c:pt>
                <c:pt idx="12">
                  <c:v>341.66666666666663</c:v>
                </c:pt>
                <c:pt idx="13">
                  <c:v>358.46153846153845</c:v>
                </c:pt>
                <c:pt idx="14">
                  <c:v>375.71428571428572</c:v>
                </c:pt>
                <c:pt idx="15">
                  <c:v>393.33333333333337</c:v>
                </c:pt>
                <c:pt idx="16">
                  <c:v>411.25</c:v>
                </c:pt>
                <c:pt idx="17">
                  <c:v>429.41176470588232</c:v>
                </c:pt>
                <c:pt idx="18">
                  <c:v>447.77777777777777</c:v>
                </c:pt>
                <c:pt idx="19">
                  <c:v>466.31578947368422</c:v>
                </c:pt>
                <c:pt idx="20">
                  <c:v>485</c:v>
                </c:pt>
                <c:pt idx="21">
                  <c:v>503.8095238095238</c:v>
                </c:pt>
                <c:pt idx="22">
                  <c:v>522.72727272727275</c:v>
                </c:pt>
                <c:pt idx="23">
                  <c:v>541.73913043478262</c:v>
                </c:pt>
              </c:numCache>
            </c:numRef>
          </c:val>
          <c:smooth val="0"/>
          <c:extLst>
            <c:ext xmlns:c16="http://schemas.microsoft.com/office/drawing/2014/chart" uri="{C3380CC4-5D6E-409C-BE32-E72D297353CC}">
              <c16:uniqueId val="{00000000-CBDB-435C-8DB7-6B0A5ABFF0F2}"/>
            </c:ext>
          </c:extLst>
        </c:ser>
        <c:ser>
          <c:idx val="1"/>
          <c:order val="1"/>
          <c:tx>
            <c:strRef>
              <c:f>'Optimal prissætning - eks'!$B$92</c:f>
              <c:strCache>
                <c:ptCount val="1"/>
                <c:pt idx="0">
                  <c:v>MC</c:v>
                </c:pt>
              </c:strCache>
            </c:strRef>
          </c:tx>
          <c:spPr>
            <a:ln w="25400">
              <a:solidFill>
                <a:srgbClr val="DD2D32"/>
              </a:solidFill>
              <a:prstDash val="solid"/>
            </a:ln>
          </c:spPr>
          <c:marker>
            <c:symbol val="none"/>
          </c:marker>
          <c:cat>
            <c:numRef>
              <c:f>'Optimal prissætning - eks'!$C$90:$Z$90</c:f>
              <c:numCache>
                <c:formatCode>General</c:formatCode>
                <c:ptCount val="24"/>
                <c:pt idx="0">
                  <c:v>1000</c:v>
                </c:pt>
                <c:pt idx="1">
                  <c:v>2000</c:v>
                </c:pt>
                <c:pt idx="2">
                  <c:v>4000</c:v>
                </c:pt>
                <c:pt idx="3">
                  <c:v>6000</c:v>
                </c:pt>
                <c:pt idx="4">
                  <c:v>8000</c:v>
                </c:pt>
                <c:pt idx="5">
                  <c:v>10000</c:v>
                </c:pt>
                <c:pt idx="6">
                  <c:v>12000</c:v>
                </c:pt>
                <c:pt idx="7">
                  <c:v>14000</c:v>
                </c:pt>
                <c:pt idx="8">
                  <c:v>16000</c:v>
                </c:pt>
                <c:pt idx="9">
                  <c:v>18000</c:v>
                </c:pt>
                <c:pt idx="10">
                  <c:v>20000</c:v>
                </c:pt>
                <c:pt idx="11">
                  <c:v>22000</c:v>
                </c:pt>
                <c:pt idx="12">
                  <c:v>24000</c:v>
                </c:pt>
                <c:pt idx="13">
                  <c:v>26000</c:v>
                </c:pt>
                <c:pt idx="14">
                  <c:v>28000</c:v>
                </c:pt>
                <c:pt idx="15">
                  <c:v>30000</c:v>
                </c:pt>
                <c:pt idx="16">
                  <c:v>32000</c:v>
                </c:pt>
                <c:pt idx="17">
                  <c:v>34000</c:v>
                </c:pt>
                <c:pt idx="18">
                  <c:v>36000</c:v>
                </c:pt>
                <c:pt idx="19">
                  <c:v>38000</c:v>
                </c:pt>
                <c:pt idx="20">
                  <c:v>40000</c:v>
                </c:pt>
                <c:pt idx="21">
                  <c:v>42000</c:v>
                </c:pt>
                <c:pt idx="22">
                  <c:v>44000</c:v>
                </c:pt>
                <c:pt idx="23">
                  <c:v>46000</c:v>
                </c:pt>
              </c:numCache>
            </c:numRef>
          </c:cat>
          <c:val>
            <c:numRef>
              <c:f>'Optimal prissætning - eks'!$C$92:$Z$92</c:f>
              <c:numCache>
                <c:formatCode>General</c:formatCode>
                <c:ptCount val="24"/>
                <c:pt idx="0">
                  <c:v>80</c:v>
                </c:pt>
                <c:pt idx="1">
                  <c:v>100</c:v>
                </c:pt>
                <c:pt idx="2">
                  <c:v>140</c:v>
                </c:pt>
                <c:pt idx="3">
                  <c:v>180</c:v>
                </c:pt>
                <c:pt idx="4">
                  <c:v>220</c:v>
                </c:pt>
                <c:pt idx="5">
                  <c:v>260</c:v>
                </c:pt>
                <c:pt idx="6">
                  <c:v>300</c:v>
                </c:pt>
                <c:pt idx="7">
                  <c:v>340</c:v>
                </c:pt>
                <c:pt idx="8">
                  <c:v>380</c:v>
                </c:pt>
                <c:pt idx="9">
                  <c:v>420</c:v>
                </c:pt>
                <c:pt idx="10">
                  <c:v>460</c:v>
                </c:pt>
                <c:pt idx="11">
                  <c:v>500</c:v>
                </c:pt>
                <c:pt idx="12">
                  <c:v>540</c:v>
                </c:pt>
                <c:pt idx="13">
                  <c:v>580</c:v>
                </c:pt>
                <c:pt idx="14">
                  <c:v>620</c:v>
                </c:pt>
                <c:pt idx="15">
                  <c:v>660</c:v>
                </c:pt>
                <c:pt idx="16">
                  <c:v>700</c:v>
                </c:pt>
                <c:pt idx="17">
                  <c:v>740</c:v>
                </c:pt>
                <c:pt idx="18">
                  <c:v>780</c:v>
                </c:pt>
                <c:pt idx="19">
                  <c:v>820</c:v>
                </c:pt>
                <c:pt idx="20">
                  <c:v>860</c:v>
                </c:pt>
                <c:pt idx="21">
                  <c:v>900</c:v>
                </c:pt>
                <c:pt idx="22">
                  <c:v>940</c:v>
                </c:pt>
                <c:pt idx="23">
                  <c:v>980</c:v>
                </c:pt>
              </c:numCache>
            </c:numRef>
          </c:val>
          <c:smooth val="0"/>
          <c:extLst>
            <c:ext xmlns:c16="http://schemas.microsoft.com/office/drawing/2014/chart" uri="{C3380CC4-5D6E-409C-BE32-E72D297353CC}">
              <c16:uniqueId val="{00000001-CBDB-435C-8DB7-6B0A5ABFF0F2}"/>
            </c:ext>
          </c:extLst>
        </c:ser>
        <c:dLbls>
          <c:showLegendKey val="0"/>
          <c:showVal val="0"/>
          <c:showCatName val="0"/>
          <c:showSerName val="0"/>
          <c:showPercent val="0"/>
          <c:showBubbleSize val="0"/>
        </c:dLbls>
        <c:smooth val="0"/>
        <c:axId val="-1636054880"/>
        <c:axId val="-1636051488"/>
      </c:lineChart>
      <c:catAx>
        <c:axId val="-1636054880"/>
        <c:scaling>
          <c:orientation val="minMax"/>
        </c:scaling>
        <c:delete val="0"/>
        <c:axPos val="b"/>
        <c:title>
          <c:tx>
            <c:rich>
              <a:bodyPr/>
              <a:lstStyle/>
              <a:p>
                <a:pPr>
                  <a:defRPr/>
                </a:pPr>
                <a:r>
                  <a:rPr lang="da-DK"/>
                  <a:t>mængde</a:t>
                </a:r>
              </a:p>
            </c:rich>
          </c:tx>
          <c:overlay val="0"/>
          <c:spPr>
            <a:noFill/>
            <a:ln w="25400">
              <a:noFill/>
            </a:ln>
          </c:spPr>
        </c:title>
        <c:numFmt formatCode="General" sourceLinked="1"/>
        <c:majorTickMark val="out"/>
        <c:minorTickMark val="none"/>
        <c:tickLblPos val="nextTo"/>
        <c:spPr>
          <a:ln w="3175">
            <a:solidFill>
              <a:srgbClr val="808080"/>
            </a:solidFill>
            <a:prstDash val="solid"/>
          </a:ln>
        </c:spPr>
        <c:crossAx val="-1636051488"/>
        <c:crosses val="autoZero"/>
        <c:auto val="1"/>
        <c:lblAlgn val="ctr"/>
        <c:lblOffset val="100"/>
        <c:noMultiLvlLbl val="0"/>
      </c:catAx>
      <c:valAx>
        <c:axId val="-1636051488"/>
        <c:scaling>
          <c:orientation val="minMax"/>
        </c:scaling>
        <c:delete val="0"/>
        <c:axPos val="l"/>
        <c:majorGridlines>
          <c:spPr>
            <a:ln w="3175">
              <a:solidFill>
                <a:srgbClr val="808080"/>
              </a:solidFill>
              <a:prstDash val="solid"/>
            </a:ln>
          </c:spPr>
        </c:majorGridlines>
        <c:title>
          <c:tx>
            <c:rich>
              <a:bodyPr rot="-5400000" vert="horz"/>
              <a:lstStyle/>
              <a:p>
                <a:pPr>
                  <a:defRPr/>
                </a:pPr>
                <a:r>
                  <a:rPr lang="da-DK"/>
                  <a:t>Kroner</a:t>
                </a:r>
              </a:p>
            </c:rich>
          </c:tx>
          <c:overlay val="0"/>
          <c:spPr>
            <a:noFill/>
            <a:ln w="25400">
              <a:noFill/>
            </a:ln>
          </c:spPr>
        </c:title>
        <c:numFmt formatCode="General" sourceLinked="1"/>
        <c:majorTickMark val="out"/>
        <c:minorTickMark val="none"/>
        <c:tickLblPos val="nextTo"/>
        <c:spPr>
          <a:ln w="3175">
            <a:solidFill>
              <a:srgbClr val="808080"/>
            </a:solidFill>
            <a:prstDash val="solid"/>
          </a:ln>
        </c:spPr>
        <c:crossAx val="-1636054880"/>
        <c:crosses val="autoZero"/>
        <c:crossBetween val="between"/>
      </c:valAx>
      <c:spPr>
        <a:solidFill>
          <a:srgbClr val="FFFFFF"/>
        </a:solidFill>
        <a:ln w="25400">
          <a:noFill/>
        </a:ln>
      </c:spPr>
    </c:plotArea>
    <c:legend>
      <c:legendPos val="r"/>
      <c:layout>
        <c:manualLayout>
          <c:xMode val="edge"/>
          <c:yMode val="edge"/>
          <c:x val="0.86075057517619102"/>
          <c:y val="0.41364913065567999"/>
          <c:w val="0.122566424944183"/>
          <c:h val="0.163641414325324"/>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971507979197903E-2"/>
          <c:y val="1.9190308723243499E-2"/>
          <c:w val="0.59559296043448295"/>
          <c:h val="0.77449839684583799"/>
        </c:manualLayout>
      </c:layout>
      <c:lineChart>
        <c:grouping val="standard"/>
        <c:varyColors val="0"/>
        <c:ser>
          <c:idx val="0"/>
          <c:order val="0"/>
          <c:tx>
            <c:strRef>
              <c:f>'Optimal prissætning - eks'!$C$104</c:f>
              <c:strCache>
                <c:ptCount val="1"/>
                <c:pt idx="0">
                  <c:v>Invers efterspørgselsfunktion P(Q)</c:v>
                </c:pt>
              </c:strCache>
            </c:strRef>
          </c:tx>
          <c:spPr>
            <a:ln w="25400">
              <a:solidFill>
                <a:srgbClr val="666699"/>
              </a:solidFill>
              <a:prstDash val="solid"/>
            </a:ln>
          </c:spPr>
          <c:marker>
            <c:symbol val="none"/>
          </c:marker>
          <c:cat>
            <c:numRef>
              <c:f>'Optimal prissætning - eks'!$D$103:$S$103</c:f>
              <c:numCache>
                <c:formatCode>General</c:formatCode>
                <c:ptCount val="16"/>
                <c:pt idx="0">
                  <c:v>1000</c:v>
                </c:pt>
                <c:pt idx="1">
                  <c:v>2000</c:v>
                </c:pt>
                <c:pt idx="2">
                  <c:v>4000</c:v>
                </c:pt>
                <c:pt idx="3">
                  <c:v>6000</c:v>
                </c:pt>
                <c:pt idx="4">
                  <c:v>8000</c:v>
                </c:pt>
                <c:pt idx="5">
                  <c:v>10000</c:v>
                </c:pt>
                <c:pt idx="6">
                  <c:v>12000</c:v>
                </c:pt>
                <c:pt idx="7">
                  <c:v>14000</c:v>
                </c:pt>
                <c:pt idx="8">
                  <c:v>16000</c:v>
                </c:pt>
                <c:pt idx="9">
                  <c:v>18000</c:v>
                </c:pt>
                <c:pt idx="10">
                  <c:v>20000</c:v>
                </c:pt>
                <c:pt idx="11">
                  <c:v>22000</c:v>
                </c:pt>
                <c:pt idx="12">
                  <c:v>24000</c:v>
                </c:pt>
                <c:pt idx="13">
                  <c:v>26000</c:v>
                </c:pt>
                <c:pt idx="14">
                  <c:v>28000</c:v>
                </c:pt>
                <c:pt idx="15">
                  <c:v>30000</c:v>
                </c:pt>
              </c:numCache>
            </c:numRef>
          </c:cat>
          <c:val>
            <c:numRef>
              <c:f>'Optimal prissætning - eks'!$D$104:$S$104</c:f>
              <c:numCache>
                <c:formatCode>General</c:formatCode>
                <c:ptCount val="16"/>
                <c:pt idx="0">
                  <c:v>990</c:v>
                </c:pt>
                <c:pt idx="1">
                  <c:v>980</c:v>
                </c:pt>
                <c:pt idx="2">
                  <c:v>960</c:v>
                </c:pt>
                <c:pt idx="3">
                  <c:v>940</c:v>
                </c:pt>
                <c:pt idx="4">
                  <c:v>920</c:v>
                </c:pt>
                <c:pt idx="5">
                  <c:v>900</c:v>
                </c:pt>
                <c:pt idx="6">
                  <c:v>880</c:v>
                </c:pt>
                <c:pt idx="7">
                  <c:v>860</c:v>
                </c:pt>
                <c:pt idx="8">
                  <c:v>840</c:v>
                </c:pt>
                <c:pt idx="9">
                  <c:v>820</c:v>
                </c:pt>
                <c:pt idx="10">
                  <c:v>800</c:v>
                </c:pt>
                <c:pt idx="11">
                  <c:v>780</c:v>
                </c:pt>
                <c:pt idx="12">
                  <c:v>760</c:v>
                </c:pt>
                <c:pt idx="13">
                  <c:v>740</c:v>
                </c:pt>
                <c:pt idx="14">
                  <c:v>720</c:v>
                </c:pt>
                <c:pt idx="15">
                  <c:v>700</c:v>
                </c:pt>
              </c:numCache>
            </c:numRef>
          </c:val>
          <c:smooth val="0"/>
          <c:extLst>
            <c:ext xmlns:c16="http://schemas.microsoft.com/office/drawing/2014/chart" uri="{C3380CC4-5D6E-409C-BE32-E72D297353CC}">
              <c16:uniqueId val="{00000000-78C9-419A-9398-8B57BD531F67}"/>
            </c:ext>
          </c:extLst>
        </c:ser>
        <c:ser>
          <c:idx val="1"/>
          <c:order val="1"/>
          <c:tx>
            <c:strRef>
              <c:f>'Optimal prissætning - eks'!$C$105</c:f>
              <c:strCache>
                <c:ptCount val="1"/>
                <c:pt idx="0">
                  <c:v>Marginalomsætningen MR(Q)</c:v>
                </c:pt>
              </c:strCache>
            </c:strRef>
          </c:tx>
          <c:spPr>
            <a:ln w="25400">
              <a:solidFill>
                <a:srgbClr val="DD2D32"/>
              </a:solidFill>
              <a:prstDash val="solid"/>
            </a:ln>
          </c:spPr>
          <c:marker>
            <c:symbol val="none"/>
          </c:marker>
          <c:cat>
            <c:numRef>
              <c:f>'Optimal prissætning - eks'!$D$103:$S$103</c:f>
              <c:numCache>
                <c:formatCode>General</c:formatCode>
                <c:ptCount val="16"/>
                <c:pt idx="0">
                  <c:v>1000</c:v>
                </c:pt>
                <c:pt idx="1">
                  <c:v>2000</c:v>
                </c:pt>
                <c:pt idx="2">
                  <c:v>4000</c:v>
                </c:pt>
                <c:pt idx="3">
                  <c:v>6000</c:v>
                </c:pt>
                <c:pt idx="4">
                  <c:v>8000</c:v>
                </c:pt>
                <c:pt idx="5">
                  <c:v>10000</c:v>
                </c:pt>
                <c:pt idx="6">
                  <c:v>12000</c:v>
                </c:pt>
                <c:pt idx="7">
                  <c:v>14000</c:v>
                </c:pt>
                <c:pt idx="8">
                  <c:v>16000</c:v>
                </c:pt>
                <c:pt idx="9">
                  <c:v>18000</c:v>
                </c:pt>
                <c:pt idx="10">
                  <c:v>20000</c:v>
                </c:pt>
                <c:pt idx="11">
                  <c:v>22000</c:v>
                </c:pt>
                <c:pt idx="12">
                  <c:v>24000</c:v>
                </c:pt>
                <c:pt idx="13">
                  <c:v>26000</c:v>
                </c:pt>
                <c:pt idx="14">
                  <c:v>28000</c:v>
                </c:pt>
                <c:pt idx="15">
                  <c:v>30000</c:v>
                </c:pt>
              </c:numCache>
            </c:numRef>
          </c:cat>
          <c:val>
            <c:numRef>
              <c:f>'Optimal prissætning - eks'!$D$105:$S$105</c:f>
              <c:numCache>
                <c:formatCode>General</c:formatCode>
                <c:ptCount val="16"/>
                <c:pt idx="0">
                  <c:v>980</c:v>
                </c:pt>
                <c:pt idx="1">
                  <c:v>960</c:v>
                </c:pt>
                <c:pt idx="2">
                  <c:v>920</c:v>
                </c:pt>
                <c:pt idx="3">
                  <c:v>880</c:v>
                </c:pt>
                <c:pt idx="4">
                  <c:v>840</c:v>
                </c:pt>
                <c:pt idx="5">
                  <c:v>800</c:v>
                </c:pt>
                <c:pt idx="6">
                  <c:v>760</c:v>
                </c:pt>
                <c:pt idx="7">
                  <c:v>720</c:v>
                </c:pt>
                <c:pt idx="8">
                  <c:v>680</c:v>
                </c:pt>
                <c:pt idx="9">
                  <c:v>640</c:v>
                </c:pt>
                <c:pt idx="10">
                  <c:v>600</c:v>
                </c:pt>
                <c:pt idx="11">
                  <c:v>560</c:v>
                </c:pt>
                <c:pt idx="12">
                  <c:v>520</c:v>
                </c:pt>
                <c:pt idx="13">
                  <c:v>480</c:v>
                </c:pt>
                <c:pt idx="14">
                  <c:v>440</c:v>
                </c:pt>
                <c:pt idx="15">
                  <c:v>400</c:v>
                </c:pt>
              </c:numCache>
            </c:numRef>
          </c:val>
          <c:smooth val="0"/>
          <c:extLst>
            <c:ext xmlns:c16="http://schemas.microsoft.com/office/drawing/2014/chart" uri="{C3380CC4-5D6E-409C-BE32-E72D297353CC}">
              <c16:uniqueId val="{00000001-78C9-419A-9398-8B57BD531F67}"/>
            </c:ext>
          </c:extLst>
        </c:ser>
        <c:ser>
          <c:idx val="2"/>
          <c:order val="2"/>
          <c:tx>
            <c:strRef>
              <c:f>'Optimal prissætning - eks'!$C$106</c:f>
              <c:strCache>
                <c:ptCount val="1"/>
                <c:pt idx="0">
                  <c:v>Marginalomkostningerne - MC(Q)</c:v>
                </c:pt>
              </c:strCache>
            </c:strRef>
          </c:tx>
          <c:spPr>
            <a:ln w="25400">
              <a:solidFill>
                <a:srgbClr val="A2BD90"/>
              </a:solidFill>
              <a:prstDash val="solid"/>
            </a:ln>
          </c:spPr>
          <c:marker>
            <c:symbol val="none"/>
          </c:marker>
          <c:cat>
            <c:numRef>
              <c:f>'Optimal prissætning - eks'!$D$103:$S$103</c:f>
              <c:numCache>
                <c:formatCode>General</c:formatCode>
                <c:ptCount val="16"/>
                <c:pt idx="0">
                  <c:v>1000</c:v>
                </c:pt>
                <c:pt idx="1">
                  <c:v>2000</c:v>
                </c:pt>
                <c:pt idx="2">
                  <c:v>4000</c:v>
                </c:pt>
                <c:pt idx="3">
                  <c:v>6000</c:v>
                </c:pt>
                <c:pt idx="4">
                  <c:v>8000</c:v>
                </c:pt>
                <c:pt idx="5">
                  <c:v>10000</c:v>
                </c:pt>
                <c:pt idx="6">
                  <c:v>12000</c:v>
                </c:pt>
                <c:pt idx="7">
                  <c:v>14000</c:v>
                </c:pt>
                <c:pt idx="8">
                  <c:v>16000</c:v>
                </c:pt>
                <c:pt idx="9">
                  <c:v>18000</c:v>
                </c:pt>
                <c:pt idx="10">
                  <c:v>20000</c:v>
                </c:pt>
                <c:pt idx="11">
                  <c:v>22000</c:v>
                </c:pt>
                <c:pt idx="12">
                  <c:v>24000</c:v>
                </c:pt>
                <c:pt idx="13">
                  <c:v>26000</c:v>
                </c:pt>
                <c:pt idx="14">
                  <c:v>28000</c:v>
                </c:pt>
                <c:pt idx="15">
                  <c:v>30000</c:v>
                </c:pt>
              </c:numCache>
            </c:numRef>
          </c:cat>
          <c:val>
            <c:numRef>
              <c:f>'Optimal prissætning - eks'!$D$106:$S$106</c:f>
              <c:numCache>
                <c:formatCode>General</c:formatCode>
                <c:ptCount val="16"/>
                <c:pt idx="0">
                  <c:v>80</c:v>
                </c:pt>
                <c:pt idx="1">
                  <c:v>100</c:v>
                </c:pt>
                <c:pt idx="2">
                  <c:v>140</c:v>
                </c:pt>
                <c:pt idx="3">
                  <c:v>180</c:v>
                </c:pt>
                <c:pt idx="4">
                  <c:v>220</c:v>
                </c:pt>
                <c:pt idx="5">
                  <c:v>260</c:v>
                </c:pt>
                <c:pt idx="6">
                  <c:v>300</c:v>
                </c:pt>
                <c:pt idx="7">
                  <c:v>340</c:v>
                </c:pt>
                <c:pt idx="8">
                  <c:v>380</c:v>
                </c:pt>
                <c:pt idx="9">
                  <c:v>420</c:v>
                </c:pt>
                <c:pt idx="10">
                  <c:v>460</c:v>
                </c:pt>
                <c:pt idx="11">
                  <c:v>500</c:v>
                </c:pt>
                <c:pt idx="12">
                  <c:v>540</c:v>
                </c:pt>
                <c:pt idx="13">
                  <c:v>580</c:v>
                </c:pt>
                <c:pt idx="14">
                  <c:v>620</c:v>
                </c:pt>
                <c:pt idx="15">
                  <c:v>660</c:v>
                </c:pt>
              </c:numCache>
            </c:numRef>
          </c:val>
          <c:smooth val="0"/>
          <c:extLst>
            <c:ext xmlns:c16="http://schemas.microsoft.com/office/drawing/2014/chart" uri="{C3380CC4-5D6E-409C-BE32-E72D297353CC}">
              <c16:uniqueId val="{00000002-78C9-419A-9398-8B57BD531F67}"/>
            </c:ext>
          </c:extLst>
        </c:ser>
        <c:dLbls>
          <c:showLegendKey val="0"/>
          <c:showVal val="0"/>
          <c:showCatName val="0"/>
          <c:showSerName val="0"/>
          <c:showPercent val="0"/>
          <c:showBubbleSize val="0"/>
        </c:dLbls>
        <c:smooth val="0"/>
        <c:axId val="-1124350960"/>
        <c:axId val="-1638590848"/>
      </c:lineChart>
      <c:catAx>
        <c:axId val="-1124350960"/>
        <c:scaling>
          <c:orientation val="minMax"/>
        </c:scaling>
        <c:delete val="0"/>
        <c:axPos val="b"/>
        <c:title>
          <c:tx>
            <c:rich>
              <a:bodyPr/>
              <a:lstStyle/>
              <a:p>
                <a:pPr>
                  <a:defRPr/>
                </a:pPr>
                <a:r>
                  <a:rPr lang="da-DK"/>
                  <a:t>Mængde</a:t>
                </a:r>
              </a:p>
            </c:rich>
          </c:tx>
          <c:overlay val="0"/>
          <c:spPr>
            <a:noFill/>
            <a:ln w="25400">
              <a:noFill/>
            </a:ln>
          </c:spPr>
        </c:title>
        <c:numFmt formatCode="General" sourceLinked="1"/>
        <c:majorTickMark val="out"/>
        <c:minorTickMark val="none"/>
        <c:tickLblPos val="nextTo"/>
        <c:spPr>
          <a:ln w="3175">
            <a:solidFill>
              <a:srgbClr val="808080"/>
            </a:solidFill>
            <a:prstDash val="solid"/>
          </a:ln>
        </c:spPr>
        <c:crossAx val="-1638590848"/>
        <c:crosses val="autoZero"/>
        <c:auto val="1"/>
        <c:lblAlgn val="ctr"/>
        <c:lblOffset val="100"/>
        <c:noMultiLvlLbl val="0"/>
      </c:catAx>
      <c:valAx>
        <c:axId val="-1638590848"/>
        <c:scaling>
          <c:orientation val="minMax"/>
        </c:scaling>
        <c:delete val="0"/>
        <c:axPos val="l"/>
        <c:majorGridlines>
          <c:spPr>
            <a:ln w="3175">
              <a:solidFill>
                <a:srgbClr val="808080"/>
              </a:solidFill>
              <a:prstDash val="solid"/>
            </a:ln>
          </c:spPr>
        </c:majorGridlines>
        <c:title>
          <c:tx>
            <c:rich>
              <a:bodyPr rot="-5400000" vert="horz"/>
              <a:lstStyle/>
              <a:p>
                <a:pPr>
                  <a:defRPr/>
                </a:pPr>
                <a:r>
                  <a:rPr lang="da-DK"/>
                  <a:t>P</a:t>
                </a:r>
                <a:r>
                  <a:rPr lang="da-DK" baseline="0"/>
                  <a:t> r i s</a:t>
                </a:r>
                <a:endParaRPr lang="da-DK"/>
              </a:p>
            </c:rich>
          </c:tx>
          <c:overlay val="0"/>
          <c:spPr>
            <a:noFill/>
            <a:ln w="25400">
              <a:noFill/>
            </a:ln>
          </c:spPr>
        </c:title>
        <c:numFmt formatCode="General" sourceLinked="1"/>
        <c:majorTickMark val="out"/>
        <c:minorTickMark val="none"/>
        <c:tickLblPos val="nextTo"/>
        <c:spPr>
          <a:ln w="3175">
            <a:solidFill>
              <a:srgbClr val="808080"/>
            </a:solidFill>
            <a:prstDash val="solid"/>
          </a:ln>
        </c:spPr>
        <c:crossAx val="-1124350960"/>
        <c:crosses val="autoZero"/>
        <c:crossBetween val="between"/>
      </c:valAx>
      <c:spPr>
        <a:solidFill>
          <a:srgbClr val="FFFFFF"/>
        </a:solidFill>
        <a:ln w="25400">
          <a:noFill/>
        </a:ln>
      </c:spPr>
    </c:plotArea>
    <c:legend>
      <c:legendPos val="r"/>
      <c:layout>
        <c:manualLayout>
          <c:xMode val="edge"/>
          <c:yMode val="edge"/>
          <c:x val="0.70835525686512302"/>
          <c:y val="0.414874086828811"/>
          <c:w val="0.281675384494602"/>
          <c:h val="0.16718806484146101"/>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34" Type="http://schemas.openxmlformats.org/officeDocument/2006/relationships/image" Target="../media/image3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33" Type="http://schemas.openxmlformats.org/officeDocument/2006/relationships/image" Target="../media/image37.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29" Type="http://schemas.openxmlformats.org/officeDocument/2006/relationships/image" Target="../media/image33.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32" Type="http://schemas.openxmlformats.org/officeDocument/2006/relationships/image" Target="../media/image36.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10" Type="http://schemas.openxmlformats.org/officeDocument/2006/relationships/image" Target="../media/image14.png"/><Relationship Id="rId19" Type="http://schemas.openxmlformats.org/officeDocument/2006/relationships/image" Target="../media/image23.png"/><Relationship Id="rId31" Type="http://schemas.openxmlformats.org/officeDocument/2006/relationships/image" Target="../media/image35.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 Id="rId35" Type="http://schemas.openxmlformats.org/officeDocument/2006/relationships/image" Target="../media/image39.png"/><Relationship Id="rId8"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6.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1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0.png"/></Relationships>
</file>

<file path=xl/drawings/_rels/drawing28.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1.png"/><Relationship Id="rId4" Type="http://schemas.openxmlformats.org/officeDocument/2006/relationships/chart" Target="../charts/chart5.xml"/></Relationships>
</file>

<file path=xl/drawings/_rels/drawing29.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8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8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8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88.png"/></Relationships>
</file>

<file path=xl/drawings/_rels/drawing34.xml.rels><?xml version="1.0" encoding="UTF-8" standalone="yes"?>
<Relationships xmlns="http://schemas.openxmlformats.org/package/2006/relationships"><Relationship Id="rId1" Type="http://schemas.openxmlformats.org/officeDocument/2006/relationships/image" Target="../media/image89.png"/></Relationships>
</file>

<file path=xl/drawings/_rels/drawing35.xml.rels><?xml version="1.0" encoding="UTF-8" standalone="yes"?>
<Relationships xmlns="http://schemas.openxmlformats.org/package/2006/relationships"><Relationship Id="rId2" Type="http://schemas.openxmlformats.org/officeDocument/2006/relationships/image" Target="../media/image91.png"/><Relationship Id="rId1" Type="http://schemas.openxmlformats.org/officeDocument/2006/relationships/image" Target="../media/image90.png"/></Relationships>
</file>

<file path=xl/drawings/_rels/drawing36.xml.rels><?xml version="1.0" encoding="UTF-8" standalone="yes"?>
<Relationships xmlns="http://schemas.openxmlformats.org/package/2006/relationships"><Relationship Id="rId1" Type="http://schemas.openxmlformats.org/officeDocument/2006/relationships/image" Target="../media/image9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9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94.png"/></Relationships>
</file>

<file path=xl/drawings/_rels/drawing39.xml.rels><?xml version="1.0" encoding="UTF-8" standalone="yes"?>
<Relationships xmlns="http://schemas.openxmlformats.org/package/2006/relationships"><Relationship Id="rId1" Type="http://schemas.openxmlformats.org/officeDocument/2006/relationships/image" Target="../media/image95.png"/></Relationships>
</file>

<file path=xl/drawings/_rels/drawing40.xml.rels><?xml version="1.0" encoding="UTF-8" standalone="yes"?>
<Relationships xmlns="http://schemas.openxmlformats.org/package/2006/relationships"><Relationship Id="rId2" Type="http://schemas.openxmlformats.org/officeDocument/2006/relationships/image" Target="../media/image97.png"/><Relationship Id="rId1" Type="http://schemas.openxmlformats.org/officeDocument/2006/relationships/image" Target="../media/image9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98.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7.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1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12.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16.png"/><Relationship Id="rId1" Type="http://schemas.openxmlformats.org/officeDocument/2006/relationships/image" Target="../media/image115.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22.png"/><Relationship Id="rId1" Type="http://schemas.openxmlformats.org/officeDocument/2006/relationships/image" Target="../media/image121.png"/></Relationships>
</file>

<file path=xl/drawings/_rels/drawing5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5.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33.png"/><Relationship Id="rId1" Type="http://schemas.openxmlformats.org/officeDocument/2006/relationships/image" Target="../media/image132.png"/></Relationships>
</file>

<file path=xl/drawings/_rels/drawing58.xml.rels><?xml version="1.0" encoding="UTF-8" standalone="yes"?>
<Relationships xmlns="http://schemas.openxmlformats.org/package/2006/relationships"><Relationship Id="rId8" Type="http://schemas.openxmlformats.org/officeDocument/2006/relationships/image" Target="../media/image141.png"/><Relationship Id="rId13" Type="http://schemas.openxmlformats.org/officeDocument/2006/relationships/image" Target="../media/image146.png"/><Relationship Id="rId3" Type="http://schemas.openxmlformats.org/officeDocument/2006/relationships/image" Target="../media/image136.png"/><Relationship Id="rId7" Type="http://schemas.openxmlformats.org/officeDocument/2006/relationships/image" Target="../media/image140.png"/><Relationship Id="rId12" Type="http://schemas.openxmlformats.org/officeDocument/2006/relationships/image" Target="../media/image145.png"/><Relationship Id="rId2" Type="http://schemas.openxmlformats.org/officeDocument/2006/relationships/image" Target="../media/image135.png"/><Relationship Id="rId16" Type="http://schemas.openxmlformats.org/officeDocument/2006/relationships/image" Target="../media/image149.png"/><Relationship Id="rId1" Type="http://schemas.openxmlformats.org/officeDocument/2006/relationships/image" Target="../media/image134.png"/><Relationship Id="rId6" Type="http://schemas.openxmlformats.org/officeDocument/2006/relationships/image" Target="../media/image139.png"/><Relationship Id="rId11" Type="http://schemas.openxmlformats.org/officeDocument/2006/relationships/image" Target="../media/image144.png"/><Relationship Id="rId5" Type="http://schemas.openxmlformats.org/officeDocument/2006/relationships/image" Target="../media/image138.png"/><Relationship Id="rId15" Type="http://schemas.openxmlformats.org/officeDocument/2006/relationships/image" Target="../media/image148.png"/><Relationship Id="rId10" Type="http://schemas.openxmlformats.org/officeDocument/2006/relationships/image" Target="../media/image143.png"/><Relationship Id="rId4" Type="http://schemas.openxmlformats.org/officeDocument/2006/relationships/image" Target="../media/image137.png"/><Relationship Id="rId9" Type="http://schemas.openxmlformats.org/officeDocument/2006/relationships/image" Target="../media/image142.png"/><Relationship Id="rId14" Type="http://schemas.openxmlformats.org/officeDocument/2006/relationships/image" Target="../media/image147.png"/></Relationships>
</file>

<file path=xl/drawings/_rels/drawing5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61.xml.rels><?xml version="1.0" encoding="UTF-8" standalone="yes"?>
<Relationships xmlns="http://schemas.openxmlformats.org/package/2006/relationships"><Relationship Id="rId2" Type="http://schemas.openxmlformats.org/officeDocument/2006/relationships/image" Target="../media/image151.png"/><Relationship Id="rId1" Type="http://schemas.openxmlformats.org/officeDocument/2006/relationships/image" Target="../media/image150.png"/></Relationships>
</file>

<file path=xl/drawings/_rels/drawing62.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chart" Target="../charts/chart14.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2</xdr:col>
      <xdr:colOff>533400</xdr:colOff>
      <xdr:row>231</xdr:row>
      <xdr:rowOff>177800</xdr:rowOff>
    </xdr:from>
    <xdr:to>
      <xdr:col>2</xdr:col>
      <xdr:colOff>2578100</xdr:colOff>
      <xdr:row>234</xdr:row>
      <xdr:rowOff>25400</xdr:rowOff>
    </xdr:to>
    <xdr:pic>
      <xdr:nvPicPr>
        <xdr:cNvPr id="1211" name="Billede 1">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54400" y="47053500"/>
          <a:ext cx="20447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63500</xdr:colOff>
      <xdr:row>263</xdr:row>
      <xdr:rowOff>190500</xdr:rowOff>
    </xdr:from>
    <xdr:to>
      <xdr:col>2</xdr:col>
      <xdr:colOff>3048000</xdr:colOff>
      <xdr:row>267</xdr:row>
      <xdr:rowOff>101600</xdr:rowOff>
    </xdr:to>
    <xdr:pic>
      <xdr:nvPicPr>
        <xdr:cNvPr id="1212" name="Billede 2">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4500" y="53568600"/>
          <a:ext cx="29845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25400</xdr:colOff>
      <xdr:row>211</xdr:row>
      <xdr:rowOff>139700</xdr:rowOff>
    </xdr:from>
    <xdr:to>
      <xdr:col>2</xdr:col>
      <xdr:colOff>3022600</xdr:colOff>
      <xdr:row>214</xdr:row>
      <xdr:rowOff>177800</xdr:rowOff>
    </xdr:to>
    <xdr:pic>
      <xdr:nvPicPr>
        <xdr:cNvPr id="1213" name="Billede 4">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46400" y="42951400"/>
          <a:ext cx="29972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355600</xdr:colOff>
      <xdr:row>151</xdr:row>
      <xdr:rowOff>76200</xdr:rowOff>
    </xdr:from>
    <xdr:to>
      <xdr:col>2</xdr:col>
      <xdr:colOff>1714500</xdr:colOff>
      <xdr:row>154</xdr:row>
      <xdr:rowOff>101600</xdr:rowOff>
    </xdr:to>
    <xdr:pic>
      <xdr:nvPicPr>
        <xdr:cNvPr id="2111" name="Billede 1">
          <a:extLst>
            <a:ext uri="{FF2B5EF4-FFF2-40B4-BE49-F238E27FC236}">
              <a16:creationId xmlns:a16="http://schemas.microsoft.com/office/drawing/2014/main" id="{00000000-0008-0000-0100-00003F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27400" y="30759400"/>
          <a:ext cx="1358900"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88900</xdr:colOff>
      <xdr:row>87</xdr:row>
      <xdr:rowOff>63500</xdr:rowOff>
    </xdr:from>
    <xdr:to>
      <xdr:col>3</xdr:col>
      <xdr:colOff>2260600</xdr:colOff>
      <xdr:row>90</xdr:row>
      <xdr:rowOff>0</xdr:rowOff>
    </xdr:to>
    <xdr:pic>
      <xdr:nvPicPr>
        <xdr:cNvPr id="901435" name="Billede 1">
          <a:extLst>
            <a:ext uri="{FF2B5EF4-FFF2-40B4-BE49-F238E27FC236}">
              <a16:creationId xmlns:a16="http://schemas.microsoft.com/office/drawing/2014/main" id="{00000000-0008-0000-0200-00003BC10D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16400" y="17716500"/>
          <a:ext cx="2171700" cy="54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215900</xdr:colOff>
      <xdr:row>29</xdr:row>
      <xdr:rowOff>139700</xdr:rowOff>
    </xdr:from>
    <xdr:to>
      <xdr:col>3</xdr:col>
      <xdr:colOff>2260600</xdr:colOff>
      <xdr:row>32</xdr:row>
      <xdr:rowOff>101600</xdr:rowOff>
    </xdr:to>
    <xdr:pic>
      <xdr:nvPicPr>
        <xdr:cNvPr id="901436" name="Billede 2">
          <a:extLst>
            <a:ext uri="{FF2B5EF4-FFF2-40B4-BE49-F238E27FC236}">
              <a16:creationId xmlns:a16="http://schemas.microsoft.com/office/drawing/2014/main" id="{00000000-0008-0000-0200-00003CC10D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43400" y="6007100"/>
          <a:ext cx="20447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215900</xdr:colOff>
      <xdr:row>115</xdr:row>
      <xdr:rowOff>139700</xdr:rowOff>
    </xdr:from>
    <xdr:to>
      <xdr:col>3</xdr:col>
      <xdr:colOff>2311400</xdr:colOff>
      <xdr:row>118</xdr:row>
      <xdr:rowOff>165100</xdr:rowOff>
    </xdr:to>
    <xdr:pic>
      <xdr:nvPicPr>
        <xdr:cNvPr id="901437" name="Billede 3">
          <a:extLst>
            <a:ext uri="{FF2B5EF4-FFF2-40B4-BE49-F238E27FC236}">
              <a16:creationId xmlns:a16="http://schemas.microsoft.com/office/drawing/2014/main" id="{00000000-0008-0000-0200-00003DC10D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43400" y="23482300"/>
          <a:ext cx="2095500"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114300</xdr:colOff>
      <xdr:row>122</xdr:row>
      <xdr:rowOff>25400</xdr:rowOff>
    </xdr:from>
    <xdr:to>
      <xdr:col>3</xdr:col>
      <xdr:colOff>2349500</xdr:colOff>
      <xdr:row>125</xdr:row>
      <xdr:rowOff>165100</xdr:rowOff>
    </xdr:to>
    <xdr:pic>
      <xdr:nvPicPr>
        <xdr:cNvPr id="901438" name="Billede 4">
          <a:extLst>
            <a:ext uri="{FF2B5EF4-FFF2-40B4-BE49-F238E27FC236}">
              <a16:creationId xmlns:a16="http://schemas.microsoft.com/office/drawing/2014/main" id="{00000000-0008-0000-0200-00003EC10D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41800" y="24790400"/>
          <a:ext cx="2235200" cy="74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76200</xdr:colOff>
      <xdr:row>126</xdr:row>
      <xdr:rowOff>63500</xdr:rowOff>
    </xdr:from>
    <xdr:to>
      <xdr:col>3</xdr:col>
      <xdr:colOff>2387600</xdr:colOff>
      <xdr:row>129</xdr:row>
      <xdr:rowOff>165100</xdr:rowOff>
    </xdr:to>
    <xdr:pic>
      <xdr:nvPicPr>
        <xdr:cNvPr id="901439" name="Billede 5">
          <a:extLst>
            <a:ext uri="{FF2B5EF4-FFF2-40B4-BE49-F238E27FC236}">
              <a16:creationId xmlns:a16="http://schemas.microsoft.com/office/drawing/2014/main" id="{00000000-0008-0000-0200-00003FC10D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03700" y="25641300"/>
          <a:ext cx="2311400" cy="71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88900</xdr:colOff>
      <xdr:row>130</xdr:row>
      <xdr:rowOff>101600</xdr:rowOff>
    </xdr:from>
    <xdr:to>
      <xdr:col>3</xdr:col>
      <xdr:colOff>2362200</xdr:colOff>
      <xdr:row>132</xdr:row>
      <xdr:rowOff>76200</xdr:rowOff>
    </xdr:to>
    <xdr:pic>
      <xdr:nvPicPr>
        <xdr:cNvPr id="901440" name="Billede 6">
          <a:extLst>
            <a:ext uri="{FF2B5EF4-FFF2-40B4-BE49-F238E27FC236}">
              <a16:creationId xmlns:a16="http://schemas.microsoft.com/office/drawing/2014/main" id="{00000000-0008-0000-0200-000040C10D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16400" y="26492200"/>
          <a:ext cx="22733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114300</xdr:colOff>
      <xdr:row>133</xdr:row>
      <xdr:rowOff>63500</xdr:rowOff>
    </xdr:from>
    <xdr:to>
      <xdr:col>4</xdr:col>
      <xdr:colOff>1905000</xdr:colOff>
      <xdr:row>137</xdr:row>
      <xdr:rowOff>139700</xdr:rowOff>
    </xdr:to>
    <xdr:pic>
      <xdr:nvPicPr>
        <xdr:cNvPr id="901441" name="Billede 7">
          <a:extLst>
            <a:ext uri="{FF2B5EF4-FFF2-40B4-BE49-F238E27FC236}">
              <a16:creationId xmlns:a16="http://schemas.microsoft.com/office/drawing/2014/main" id="{00000000-0008-0000-0200-000041C10D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41800" y="27063700"/>
          <a:ext cx="4191000" cy="88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88900</xdr:colOff>
      <xdr:row>139</xdr:row>
      <xdr:rowOff>38100</xdr:rowOff>
    </xdr:from>
    <xdr:to>
      <xdr:col>4</xdr:col>
      <xdr:colOff>1866900</xdr:colOff>
      <xdr:row>142</xdr:row>
      <xdr:rowOff>177800</xdr:rowOff>
    </xdr:to>
    <xdr:pic>
      <xdr:nvPicPr>
        <xdr:cNvPr id="901442" name="Billede 8">
          <a:extLst>
            <a:ext uri="{FF2B5EF4-FFF2-40B4-BE49-F238E27FC236}">
              <a16:creationId xmlns:a16="http://schemas.microsoft.com/office/drawing/2014/main" id="{00000000-0008-0000-0200-000042C10D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16400" y="28257500"/>
          <a:ext cx="4178300" cy="74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177800</xdr:colOff>
      <xdr:row>168</xdr:row>
      <xdr:rowOff>12700</xdr:rowOff>
    </xdr:from>
    <xdr:to>
      <xdr:col>3</xdr:col>
      <xdr:colOff>2260600</xdr:colOff>
      <xdr:row>171</xdr:row>
      <xdr:rowOff>190500</xdr:rowOff>
    </xdr:to>
    <xdr:pic>
      <xdr:nvPicPr>
        <xdr:cNvPr id="901443" name="Billede 9">
          <a:extLst>
            <a:ext uri="{FF2B5EF4-FFF2-40B4-BE49-F238E27FC236}">
              <a16:creationId xmlns:a16="http://schemas.microsoft.com/office/drawing/2014/main" id="{00000000-0008-0000-0200-000043C10D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34124900"/>
          <a:ext cx="2082800" cy="78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76200</xdr:colOff>
      <xdr:row>194</xdr:row>
      <xdr:rowOff>101600</xdr:rowOff>
    </xdr:from>
    <xdr:to>
      <xdr:col>3</xdr:col>
      <xdr:colOff>2362200</xdr:colOff>
      <xdr:row>198</xdr:row>
      <xdr:rowOff>0</xdr:rowOff>
    </xdr:to>
    <xdr:pic>
      <xdr:nvPicPr>
        <xdr:cNvPr id="901444" name="Billede 10">
          <a:extLst>
            <a:ext uri="{FF2B5EF4-FFF2-40B4-BE49-F238E27FC236}">
              <a16:creationId xmlns:a16="http://schemas.microsoft.com/office/drawing/2014/main" id="{00000000-0008-0000-0200-000044C10D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203700" y="39497000"/>
          <a:ext cx="2286000" cy="71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495300</xdr:colOff>
      <xdr:row>227</xdr:row>
      <xdr:rowOff>12700</xdr:rowOff>
    </xdr:from>
    <xdr:to>
      <xdr:col>3</xdr:col>
      <xdr:colOff>1930400</xdr:colOff>
      <xdr:row>230</xdr:row>
      <xdr:rowOff>139700</xdr:rowOff>
    </xdr:to>
    <xdr:pic>
      <xdr:nvPicPr>
        <xdr:cNvPr id="901445" name="Billede 11">
          <a:extLst>
            <a:ext uri="{FF2B5EF4-FFF2-40B4-BE49-F238E27FC236}">
              <a16:creationId xmlns:a16="http://schemas.microsoft.com/office/drawing/2014/main" id="{00000000-0008-0000-0200-000045C10D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622800" y="46113700"/>
          <a:ext cx="1435100" cy="73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38100</xdr:colOff>
      <xdr:row>172</xdr:row>
      <xdr:rowOff>76200</xdr:rowOff>
    </xdr:from>
    <xdr:to>
      <xdr:col>3</xdr:col>
      <xdr:colOff>2374900</xdr:colOff>
      <xdr:row>176</xdr:row>
      <xdr:rowOff>101600</xdr:rowOff>
    </xdr:to>
    <xdr:pic>
      <xdr:nvPicPr>
        <xdr:cNvPr id="901446" name="Billede 12">
          <a:extLst>
            <a:ext uri="{FF2B5EF4-FFF2-40B4-BE49-F238E27FC236}">
              <a16:creationId xmlns:a16="http://schemas.microsoft.com/office/drawing/2014/main" id="{00000000-0008-0000-0200-000046C10D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165600" y="35001200"/>
          <a:ext cx="233680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50800</xdr:colOff>
      <xdr:row>178</xdr:row>
      <xdr:rowOff>12700</xdr:rowOff>
    </xdr:from>
    <xdr:to>
      <xdr:col>3</xdr:col>
      <xdr:colOff>2349500</xdr:colOff>
      <xdr:row>182</xdr:row>
      <xdr:rowOff>25400</xdr:rowOff>
    </xdr:to>
    <xdr:pic>
      <xdr:nvPicPr>
        <xdr:cNvPr id="901447" name="Billede 13">
          <a:extLst>
            <a:ext uri="{FF2B5EF4-FFF2-40B4-BE49-F238E27FC236}">
              <a16:creationId xmlns:a16="http://schemas.microsoft.com/office/drawing/2014/main" id="{00000000-0008-0000-0200-000047C10D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178300" y="36156900"/>
          <a:ext cx="2298700" cy="82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165100</xdr:colOff>
      <xdr:row>179</xdr:row>
      <xdr:rowOff>38100</xdr:rowOff>
    </xdr:from>
    <xdr:to>
      <xdr:col>5</xdr:col>
      <xdr:colOff>3581400</xdr:colOff>
      <xdr:row>182</xdr:row>
      <xdr:rowOff>190500</xdr:rowOff>
    </xdr:to>
    <xdr:pic>
      <xdr:nvPicPr>
        <xdr:cNvPr id="901448" name="Billede 14">
          <a:extLst>
            <a:ext uri="{FF2B5EF4-FFF2-40B4-BE49-F238E27FC236}">
              <a16:creationId xmlns:a16="http://schemas.microsoft.com/office/drawing/2014/main" id="{00000000-0008-0000-0200-000048C10D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724900" y="36385500"/>
          <a:ext cx="3416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393700</xdr:colOff>
      <xdr:row>232</xdr:row>
      <xdr:rowOff>165100</xdr:rowOff>
    </xdr:from>
    <xdr:to>
      <xdr:col>3</xdr:col>
      <xdr:colOff>1752600</xdr:colOff>
      <xdr:row>235</xdr:row>
      <xdr:rowOff>38100</xdr:rowOff>
    </xdr:to>
    <xdr:pic>
      <xdr:nvPicPr>
        <xdr:cNvPr id="901449" name="Billede 15">
          <a:extLst>
            <a:ext uri="{FF2B5EF4-FFF2-40B4-BE49-F238E27FC236}">
              <a16:creationId xmlns:a16="http://schemas.microsoft.com/office/drawing/2014/main" id="{00000000-0008-0000-0200-000049C10D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521200" y="47282100"/>
          <a:ext cx="1358900" cy="48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292100</xdr:colOff>
      <xdr:row>233</xdr:row>
      <xdr:rowOff>63500</xdr:rowOff>
    </xdr:from>
    <xdr:to>
      <xdr:col>6</xdr:col>
      <xdr:colOff>2679700</xdr:colOff>
      <xdr:row>236</xdr:row>
      <xdr:rowOff>177800</xdr:rowOff>
    </xdr:to>
    <xdr:pic>
      <xdr:nvPicPr>
        <xdr:cNvPr id="901450" name="Billede 16">
          <a:extLst>
            <a:ext uri="{FF2B5EF4-FFF2-40B4-BE49-F238E27FC236}">
              <a16:creationId xmlns:a16="http://schemas.microsoft.com/office/drawing/2014/main" id="{00000000-0008-0000-0200-00004AC10D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471400" y="47383700"/>
          <a:ext cx="23876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241300</xdr:colOff>
      <xdr:row>237</xdr:row>
      <xdr:rowOff>63500</xdr:rowOff>
    </xdr:from>
    <xdr:to>
      <xdr:col>4</xdr:col>
      <xdr:colOff>1358900</xdr:colOff>
      <xdr:row>239</xdr:row>
      <xdr:rowOff>101600</xdr:rowOff>
    </xdr:to>
    <xdr:pic>
      <xdr:nvPicPr>
        <xdr:cNvPr id="901451" name="Billede 17">
          <a:extLst>
            <a:ext uri="{FF2B5EF4-FFF2-40B4-BE49-F238E27FC236}">
              <a16:creationId xmlns:a16="http://schemas.microsoft.com/office/drawing/2014/main" id="{00000000-0008-0000-0200-00004BC10D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368800" y="48196500"/>
          <a:ext cx="3517900" cy="44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139700</xdr:colOff>
      <xdr:row>240</xdr:row>
      <xdr:rowOff>63500</xdr:rowOff>
    </xdr:from>
    <xdr:to>
      <xdr:col>4</xdr:col>
      <xdr:colOff>292100</xdr:colOff>
      <xdr:row>243</xdr:row>
      <xdr:rowOff>63500</xdr:rowOff>
    </xdr:to>
    <xdr:pic>
      <xdr:nvPicPr>
        <xdr:cNvPr id="901452" name="Billede 18">
          <a:extLst>
            <a:ext uri="{FF2B5EF4-FFF2-40B4-BE49-F238E27FC236}">
              <a16:creationId xmlns:a16="http://schemas.microsoft.com/office/drawing/2014/main" id="{00000000-0008-0000-0200-00004CC10D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267200" y="48806100"/>
          <a:ext cx="25527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152400</xdr:colOff>
      <xdr:row>259</xdr:row>
      <xdr:rowOff>139700</xdr:rowOff>
    </xdr:from>
    <xdr:to>
      <xdr:col>3</xdr:col>
      <xdr:colOff>2184400</xdr:colOff>
      <xdr:row>262</xdr:row>
      <xdr:rowOff>63500</xdr:rowOff>
    </xdr:to>
    <xdr:pic>
      <xdr:nvPicPr>
        <xdr:cNvPr id="901453" name="Billede 19">
          <a:extLst>
            <a:ext uri="{FF2B5EF4-FFF2-40B4-BE49-F238E27FC236}">
              <a16:creationId xmlns:a16="http://schemas.microsoft.com/office/drawing/2014/main" id="{00000000-0008-0000-0200-00004DC10D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279900" y="52743100"/>
          <a:ext cx="20320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101600</xdr:colOff>
      <xdr:row>256</xdr:row>
      <xdr:rowOff>101600</xdr:rowOff>
    </xdr:from>
    <xdr:to>
      <xdr:col>3</xdr:col>
      <xdr:colOff>2298700</xdr:colOff>
      <xdr:row>259</xdr:row>
      <xdr:rowOff>12700</xdr:rowOff>
    </xdr:to>
    <xdr:pic>
      <xdr:nvPicPr>
        <xdr:cNvPr id="901454" name="Billede 20">
          <a:extLst>
            <a:ext uri="{FF2B5EF4-FFF2-40B4-BE49-F238E27FC236}">
              <a16:creationId xmlns:a16="http://schemas.microsoft.com/office/drawing/2014/main" id="{00000000-0008-0000-0200-00004EC10D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229100" y="52095400"/>
          <a:ext cx="2197100"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25400</xdr:colOff>
      <xdr:row>274</xdr:row>
      <xdr:rowOff>25400</xdr:rowOff>
    </xdr:from>
    <xdr:to>
      <xdr:col>3</xdr:col>
      <xdr:colOff>2374900</xdr:colOff>
      <xdr:row>276</xdr:row>
      <xdr:rowOff>63500</xdr:rowOff>
    </xdr:to>
    <xdr:pic>
      <xdr:nvPicPr>
        <xdr:cNvPr id="901455" name="Billede 21">
          <a:extLst>
            <a:ext uri="{FF2B5EF4-FFF2-40B4-BE49-F238E27FC236}">
              <a16:creationId xmlns:a16="http://schemas.microsoft.com/office/drawing/2014/main" id="{00000000-0008-0000-0200-00004FC10D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152900" y="55676800"/>
          <a:ext cx="2349500" cy="44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635000</xdr:colOff>
      <xdr:row>280</xdr:row>
      <xdr:rowOff>101600</xdr:rowOff>
    </xdr:from>
    <xdr:to>
      <xdr:col>3</xdr:col>
      <xdr:colOff>1536700</xdr:colOff>
      <xdr:row>282</xdr:row>
      <xdr:rowOff>139700</xdr:rowOff>
    </xdr:to>
    <xdr:pic>
      <xdr:nvPicPr>
        <xdr:cNvPr id="901456" name="Billede 22">
          <a:extLst>
            <a:ext uri="{FF2B5EF4-FFF2-40B4-BE49-F238E27FC236}">
              <a16:creationId xmlns:a16="http://schemas.microsoft.com/office/drawing/2014/main" id="{00000000-0008-0000-0200-000050C10D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762500" y="56972200"/>
          <a:ext cx="901700" cy="44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190500</xdr:colOff>
      <xdr:row>285</xdr:row>
      <xdr:rowOff>38100</xdr:rowOff>
    </xdr:from>
    <xdr:to>
      <xdr:col>4</xdr:col>
      <xdr:colOff>1841500</xdr:colOff>
      <xdr:row>288</xdr:row>
      <xdr:rowOff>101600</xdr:rowOff>
    </xdr:to>
    <xdr:pic>
      <xdr:nvPicPr>
        <xdr:cNvPr id="901457" name="Billede 25">
          <a:extLst>
            <a:ext uri="{FF2B5EF4-FFF2-40B4-BE49-F238E27FC236}">
              <a16:creationId xmlns:a16="http://schemas.microsoft.com/office/drawing/2014/main" id="{00000000-0008-0000-0200-000051C10D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318000" y="57924700"/>
          <a:ext cx="4051300" cy="67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1397000</xdr:colOff>
      <xdr:row>284</xdr:row>
      <xdr:rowOff>177800</xdr:rowOff>
    </xdr:from>
    <xdr:to>
      <xdr:col>5</xdr:col>
      <xdr:colOff>1816100</xdr:colOff>
      <xdr:row>286</xdr:row>
      <xdr:rowOff>63500</xdr:rowOff>
    </xdr:to>
    <xdr:pic>
      <xdr:nvPicPr>
        <xdr:cNvPr id="901458" name="Billede 26">
          <a:extLst>
            <a:ext uri="{FF2B5EF4-FFF2-40B4-BE49-F238E27FC236}">
              <a16:creationId xmlns:a16="http://schemas.microsoft.com/office/drawing/2014/main" id="{00000000-0008-0000-0200-000052C10D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956800" y="57861200"/>
          <a:ext cx="419100" cy="29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1409700</xdr:colOff>
      <xdr:row>287</xdr:row>
      <xdr:rowOff>12700</xdr:rowOff>
    </xdr:from>
    <xdr:to>
      <xdr:col>5</xdr:col>
      <xdr:colOff>1816100</xdr:colOff>
      <xdr:row>288</xdr:row>
      <xdr:rowOff>63500</xdr:rowOff>
    </xdr:to>
    <xdr:pic>
      <xdr:nvPicPr>
        <xdr:cNvPr id="901459" name="Billede 27">
          <a:extLst>
            <a:ext uri="{FF2B5EF4-FFF2-40B4-BE49-F238E27FC236}">
              <a16:creationId xmlns:a16="http://schemas.microsoft.com/office/drawing/2014/main" id="{00000000-0008-0000-0200-000053C10D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969500" y="58305700"/>
          <a:ext cx="406400" cy="25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3213100</xdr:colOff>
      <xdr:row>288</xdr:row>
      <xdr:rowOff>190500</xdr:rowOff>
    </xdr:from>
    <xdr:to>
      <xdr:col>6</xdr:col>
      <xdr:colOff>25400</xdr:colOff>
      <xdr:row>290</xdr:row>
      <xdr:rowOff>25400</xdr:rowOff>
    </xdr:to>
    <xdr:pic>
      <xdr:nvPicPr>
        <xdr:cNvPr id="901460" name="Billede 28">
          <a:extLst>
            <a:ext uri="{FF2B5EF4-FFF2-40B4-BE49-F238E27FC236}">
              <a16:creationId xmlns:a16="http://schemas.microsoft.com/office/drawing/2014/main" id="{00000000-0008-0000-0200-000054C10D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1772900" y="58686700"/>
          <a:ext cx="431800" cy="24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2997200</xdr:colOff>
      <xdr:row>290</xdr:row>
      <xdr:rowOff>38100</xdr:rowOff>
    </xdr:from>
    <xdr:to>
      <xdr:col>6</xdr:col>
      <xdr:colOff>25400</xdr:colOff>
      <xdr:row>290</xdr:row>
      <xdr:rowOff>203200</xdr:rowOff>
    </xdr:to>
    <xdr:pic>
      <xdr:nvPicPr>
        <xdr:cNvPr id="901461" name="Billede 29">
          <a:extLst>
            <a:ext uri="{FF2B5EF4-FFF2-40B4-BE49-F238E27FC236}">
              <a16:creationId xmlns:a16="http://schemas.microsoft.com/office/drawing/2014/main" id="{00000000-0008-0000-0200-000055C10D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1557000" y="58940700"/>
          <a:ext cx="647700" cy="16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152400</xdr:colOff>
      <xdr:row>294</xdr:row>
      <xdr:rowOff>0</xdr:rowOff>
    </xdr:from>
    <xdr:to>
      <xdr:col>4</xdr:col>
      <xdr:colOff>1676400</xdr:colOff>
      <xdr:row>299</xdr:row>
      <xdr:rowOff>76200</xdr:rowOff>
    </xdr:to>
    <xdr:pic>
      <xdr:nvPicPr>
        <xdr:cNvPr id="901462" name="Billede 30">
          <a:extLst>
            <a:ext uri="{FF2B5EF4-FFF2-40B4-BE49-F238E27FC236}">
              <a16:creationId xmlns:a16="http://schemas.microsoft.com/office/drawing/2014/main" id="{00000000-0008-0000-0200-000056C10D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279900" y="59715400"/>
          <a:ext cx="3924300" cy="109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393700</xdr:colOff>
      <xdr:row>301</xdr:row>
      <xdr:rowOff>127000</xdr:rowOff>
    </xdr:from>
    <xdr:to>
      <xdr:col>4</xdr:col>
      <xdr:colOff>1625600</xdr:colOff>
      <xdr:row>304</xdr:row>
      <xdr:rowOff>139700</xdr:rowOff>
    </xdr:to>
    <xdr:pic>
      <xdr:nvPicPr>
        <xdr:cNvPr id="901463" name="Billede 31">
          <a:extLst>
            <a:ext uri="{FF2B5EF4-FFF2-40B4-BE49-F238E27FC236}">
              <a16:creationId xmlns:a16="http://schemas.microsoft.com/office/drawing/2014/main" id="{00000000-0008-0000-0200-000057C10D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521200" y="61264800"/>
          <a:ext cx="3632200" cy="62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482600</xdr:colOff>
      <xdr:row>309</xdr:row>
      <xdr:rowOff>38100</xdr:rowOff>
    </xdr:from>
    <xdr:to>
      <xdr:col>4</xdr:col>
      <xdr:colOff>1714500</xdr:colOff>
      <xdr:row>311</xdr:row>
      <xdr:rowOff>139700</xdr:rowOff>
    </xdr:to>
    <xdr:pic>
      <xdr:nvPicPr>
        <xdr:cNvPr id="901464" name="Billede 32">
          <a:extLst>
            <a:ext uri="{FF2B5EF4-FFF2-40B4-BE49-F238E27FC236}">
              <a16:creationId xmlns:a16="http://schemas.microsoft.com/office/drawing/2014/main" id="{00000000-0008-0000-0200-000058C10D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610100" y="62801500"/>
          <a:ext cx="3632200" cy="50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1257300</xdr:colOff>
      <xdr:row>310</xdr:row>
      <xdr:rowOff>177800</xdr:rowOff>
    </xdr:from>
    <xdr:to>
      <xdr:col>6</xdr:col>
      <xdr:colOff>2019300</xdr:colOff>
      <xdr:row>313</xdr:row>
      <xdr:rowOff>0</xdr:rowOff>
    </xdr:to>
    <xdr:pic>
      <xdr:nvPicPr>
        <xdr:cNvPr id="901465" name="Billede 33">
          <a:extLst>
            <a:ext uri="{FF2B5EF4-FFF2-40B4-BE49-F238E27FC236}">
              <a16:creationId xmlns:a16="http://schemas.microsoft.com/office/drawing/2014/main" id="{00000000-0008-0000-0200-000059C10D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3436600" y="63144400"/>
          <a:ext cx="762000" cy="43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1270000</xdr:colOff>
      <xdr:row>314</xdr:row>
      <xdr:rowOff>12700</xdr:rowOff>
    </xdr:from>
    <xdr:to>
      <xdr:col>6</xdr:col>
      <xdr:colOff>2108200</xdr:colOff>
      <xdr:row>315</xdr:row>
      <xdr:rowOff>203200</xdr:rowOff>
    </xdr:to>
    <xdr:pic>
      <xdr:nvPicPr>
        <xdr:cNvPr id="901466" name="Billede 34">
          <a:extLst>
            <a:ext uri="{FF2B5EF4-FFF2-40B4-BE49-F238E27FC236}">
              <a16:creationId xmlns:a16="http://schemas.microsoft.com/office/drawing/2014/main" id="{00000000-0008-0000-0200-00005AC10D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3449300" y="63792100"/>
          <a:ext cx="838200" cy="39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469900</xdr:colOff>
      <xdr:row>316</xdr:row>
      <xdr:rowOff>63500</xdr:rowOff>
    </xdr:from>
    <xdr:to>
      <xdr:col>4</xdr:col>
      <xdr:colOff>1549400</xdr:colOff>
      <xdr:row>319</xdr:row>
      <xdr:rowOff>12700</xdr:rowOff>
    </xdr:to>
    <xdr:pic>
      <xdr:nvPicPr>
        <xdr:cNvPr id="901467" name="Billede 35">
          <a:extLst>
            <a:ext uri="{FF2B5EF4-FFF2-40B4-BE49-F238E27FC236}">
              <a16:creationId xmlns:a16="http://schemas.microsoft.com/office/drawing/2014/main" id="{00000000-0008-0000-0200-00005BC10D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597400" y="64249300"/>
          <a:ext cx="3479800"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317500</xdr:colOff>
      <xdr:row>325</xdr:row>
      <xdr:rowOff>63500</xdr:rowOff>
    </xdr:from>
    <xdr:to>
      <xdr:col>4</xdr:col>
      <xdr:colOff>1028700</xdr:colOff>
      <xdr:row>327</xdr:row>
      <xdr:rowOff>0</xdr:rowOff>
    </xdr:to>
    <xdr:pic>
      <xdr:nvPicPr>
        <xdr:cNvPr id="901468" name="Billede 36">
          <a:extLst>
            <a:ext uri="{FF2B5EF4-FFF2-40B4-BE49-F238E27FC236}">
              <a16:creationId xmlns:a16="http://schemas.microsoft.com/office/drawing/2014/main" id="{00000000-0008-0000-0200-00005CC10D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445000" y="66078100"/>
          <a:ext cx="31115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190500</xdr:colOff>
      <xdr:row>327</xdr:row>
      <xdr:rowOff>0</xdr:rowOff>
    </xdr:from>
    <xdr:to>
      <xdr:col>5</xdr:col>
      <xdr:colOff>1155700</xdr:colOff>
      <xdr:row>335</xdr:row>
      <xdr:rowOff>165100</xdr:rowOff>
    </xdr:to>
    <xdr:pic>
      <xdr:nvPicPr>
        <xdr:cNvPr id="901469" name="Billede 37">
          <a:extLst>
            <a:ext uri="{FF2B5EF4-FFF2-40B4-BE49-F238E27FC236}">
              <a16:creationId xmlns:a16="http://schemas.microsoft.com/office/drawing/2014/main" id="{00000000-0008-0000-0200-00005DC10D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318000" y="66421000"/>
          <a:ext cx="53975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635000</xdr:colOff>
      <xdr:row>18</xdr:row>
      <xdr:rowOff>76200</xdr:rowOff>
    </xdr:from>
    <xdr:to>
      <xdr:col>12</xdr:col>
      <xdr:colOff>812800</xdr:colOff>
      <xdr:row>34</xdr:row>
      <xdr:rowOff>127000</xdr:rowOff>
    </xdr:to>
    <xdr:pic>
      <xdr:nvPicPr>
        <xdr:cNvPr id="4221" name="Billede 1">
          <a:extLst>
            <a:ext uri="{FF2B5EF4-FFF2-40B4-BE49-F238E27FC236}">
              <a16:creationId xmlns:a16="http://schemas.microsoft.com/office/drawing/2014/main" id="{00000000-0008-0000-0300-00007D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75200" y="3733800"/>
          <a:ext cx="3479800" cy="330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215900</xdr:colOff>
      <xdr:row>68</xdr:row>
      <xdr:rowOff>101600</xdr:rowOff>
    </xdr:from>
    <xdr:to>
      <xdr:col>13</xdr:col>
      <xdr:colOff>254000</xdr:colOff>
      <xdr:row>88</xdr:row>
      <xdr:rowOff>139700</xdr:rowOff>
    </xdr:to>
    <xdr:pic>
      <xdr:nvPicPr>
        <xdr:cNvPr id="4222" name="Billede 2">
          <a:extLst>
            <a:ext uri="{FF2B5EF4-FFF2-40B4-BE49-F238E27FC236}">
              <a16:creationId xmlns:a16="http://schemas.microsoft.com/office/drawing/2014/main" id="{00000000-0008-0000-0300-00007E1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881600" y="13919200"/>
          <a:ext cx="3340100" cy="410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609600</xdr:colOff>
      <xdr:row>4</xdr:row>
      <xdr:rowOff>139700</xdr:rowOff>
    </xdr:from>
    <xdr:to>
      <xdr:col>5</xdr:col>
      <xdr:colOff>787400</xdr:colOff>
      <xdr:row>14</xdr:row>
      <xdr:rowOff>63500</xdr:rowOff>
    </xdr:to>
    <xdr:pic>
      <xdr:nvPicPr>
        <xdr:cNvPr id="5307" name="Billede 1">
          <a:extLst>
            <a:ext uri="{FF2B5EF4-FFF2-40B4-BE49-F238E27FC236}">
              <a16:creationId xmlns:a16="http://schemas.microsoft.com/office/drawing/2014/main" id="{00000000-0008-0000-0800-0000BB1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5100" y="952500"/>
          <a:ext cx="6197600" cy="195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698500</xdr:colOff>
      <xdr:row>14</xdr:row>
      <xdr:rowOff>139700</xdr:rowOff>
    </xdr:from>
    <xdr:to>
      <xdr:col>5</xdr:col>
      <xdr:colOff>774700</xdr:colOff>
      <xdr:row>23</xdr:row>
      <xdr:rowOff>165100</xdr:rowOff>
    </xdr:to>
    <xdr:pic>
      <xdr:nvPicPr>
        <xdr:cNvPr id="5308" name="Billede 2">
          <a:extLst>
            <a:ext uri="{FF2B5EF4-FFF2-40B4-BE49-F238E27FC236}">
              <a16:creationId xmlns:a16="http://schemas.microsoft.com/office/drawing/2014/main" id="{00000000-0008-0000-0800-0000BC1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0" y="2984500"/>
          <a:ext cx="6096000" cy="185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711200</xdr:colOff>
      <xdr:row>23</xdr:row>
      <xdr:rowOff>177800</xdr:rowOff>
    </xdr:from>
    <xdr:to>
      <xdr:col>4</xdr:col>
      <xdr:colOff>1206500</xdr:colOff>
      <xdr:row>34</xdr:row>
      <xdr:rowOff>25400</xdr:rowOff>
    </xdr:to>
    <xdr:pic>
      <xdr:nvPicPr>
        <xdr:cNvPr id="5309" name="Billede 3">
          <a:extLst>
            <a:ext uri="{FF2B5EF4-FFF2-40B4-BE49-F238E27FC236}">
              <a16:creationId xmlns:a16="http://schemas.microsoft.com/office/drawing/2014/main" id="{00000000-0008-0000-0800-0000BD1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6700" y="4851400"/>
          <a:ext cx="4305300" cy="208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228600</xdr:colOff>
      <xdr:row>4</xdr:row>
      <xdr:rowOff>38100</xdr:rowOff>
    </xdr:from>
    <xdr:to>
      <xdr:col>5</xdr:col>
      <xdr:colOff>76200</xdr:colOff>
      <xdr:row>21</xdr:row>
      <xdr:rowOff>25400</xdr:rowOff>
    </xdr:to>
    <xdr:pic>
      <xdr:nvPicPr>
        <xdr:cNvPr id="6269" name="Billede 1">
          <a:extLst>
            <a:ext uri="{FF2B5EF4-FFF2-40B4-BE49-F238E27FC236}">
              <a16:creationId xmlns:a16="http://schemas.microsoft.com/office/drawing/2014/main" id="{00000000-0008-0000-0900-00007D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4100" y="850900"/>
          <a:ext cx="6057900" cy="344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1155700</xdr:colOff>
      <xdr:row>6</xdr:row>
      <xdr:rowOff>25400</xdr:rowOff>
    </xdr:from>
    <xdr:to>
      <xdr:col>9</xdr:col>
      <xdr:colOff>368300</xdr:colOff>
      <xdr:row>18</xdr:row>
      <xdr:rowOff>127000</xdr:rowOff>
    </xdr:to>
    <xdr:pic>
      <xdr:nvPicPr>
        <xdr:cNvPr id="6270" name="Billede 2">
          <a:extLst>
            <a:ext uri="{FF2B5EF4-FFF2-40B4-BE49-F238E27FC236}">
              <a16:creationId xmlns:a16="http://schemas.microsoft.com/office/drawing/2014/main" id="{00000000-0008-0000-0900-00007E1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9400" y="1244600"/>
          <a:ext cx="2603500" cy="254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685800</xdr:colOff>
      <xdr:row>4</xdr:row>
      <xdr:rowOff>76200</xdr:rowOff>
    </xdr:from>
    <xdr:to>
      <xdr:col>7</xdr:col>
      <xdr:colOff>736600</xdr:colOff>
      <xdr:row>11</xdr:row>
      <xdr:rowOff>165100</xdr:rowOff>
    </xdr:to>
    <xdr:pic>
      <xdr:nvPicPr>
        <xdr:cNvPr id="7293" name="Billede 2">
          <a:extLst>
            <a:ext uri="{FF2B5EF4-FFF2-40B4-BE49-F238E27FC236}">
              <a16:creationId xmlns:a16="http://schemas.microsoft.com/office/drawing/2014/main" id="{00000000-0008-0000-0C00-00007D1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1300" y="889000"/>
          <a:ext cx="5003800" cy="151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330200</xdr:colOff>
      <xdr:row>15</xdr:row>
      <xdr:rowOff>0</xdr:rowOff>
    </xdr:from>
    <xdr:to>
      <xdr:col>8</xdr:col>
      <xdr:colOff>520700</xdr:colOff>
      <xdr:row>27</xdr:row>
      <xdr:rowOff>0</xdr:rowOff>
    </xdr:to>
    <xdr:pic>
      <xdr:nvPicPr>
        <xdr:cNvPr id="7294" name="Billede 1">
          <a:extLst>
            <a:ext uri="{FF2B5EF4-FFF2-40B4-BE49-F238E27FC236}">
              <a16:creationId xmlns:a16="http://schemas.microsoft.com/office/drawing/2014/main" id="{00000000-0008-0000-0C00-00007E1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3048000"/>
          <a:ext cx="5969000"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63500</xdr:colOff>
      <xdr:row>28</xdr:row>
      <xdr:rowOff>190500</xdr:rowOff>
    </xdr:from>
    <xdr:to>
      <xdr:col>11</xdr:col>
      <xdr:colOff>393700</xdr:colOff>
      <xdr:row>46</xdr:row>
      <xdr:rowOff>12700</xdr:rowOff>
    </xdr:to>
    <xdr:graphicFrame macro="">
      <xdr:nvGraphicFramePr>
        <xdr:cNvPr id="8255" name="Chart 1">
          <a:extLst>
            <a:ext uri="{FF2B5EF4-FFF2-40B4-BE49-F238E27FC236}">
              <a16:creationId xmlns:a16="http://schemas.microsoft.com/office/drawing/2014/main" id="{00000000-0008-0000-0D00-00003F2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317500</xdr:colOff>
      <xdr:row>21</xdr:row>
      <xdr:rowOff>25400</xdr:rowOff>
    </xdr:from>
    <xdr:to>
      <xdr:col>13</xdr:col>
      <xdr:colOff>25400</xdr:colOff>
      <xdr:row>32</xdr:row>
      <xdr:rowOff>101600</xdr:rowOff>
    </xdr:to>
    <xdr:graphicFrame macro="">
      <xdr:nvGraphicFramePr>
        <xdr:cNvPr id="9279" name="Diagram 2">
          <a:extLst>
            <a:ext uri="{FF2B5EF4-FFF2-40B4-BE49-F238E27FC236}">
              <a16:creationId xmlns:a16="http://schemas.microsoft.com/office/drawing/2014/main" id="{00000000-0008-0000-1300-00003F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139700</xdr:colOff>
      <xdr:row>7</xdr:row>
      <xdr:rowOff>38100</xdr:rowOff>
    </xdr:from>
    <xdr:to>
      <xdr:col>8</xdr:col>
      <xdr:colOff>342900</xdr:colOff>
      <xdr:row>18</xdr:row>
      <xdr:rowOff>38100</xdr:rowOff>
    </xdr:to>
    <xdr:pic>
      <xdr:nvPicPr>
        <xdr:cNvPr id="10303" name="Billede 1">
          <a:extLst>
            <a:ext uri="{FF2B5EF4-FFF2-40B4-BE49-F238E27FC236}">
              <a16:creationId xmlns:a16="http://schemas.microsoft.com/office/drawing/2014/main" id="{00000000-0008-0000-1600-00003F2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5200" y="1460500"/>
          <a:ext cx="5981700" cy="223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292100</xdr:colOff>
      <xdr:row>7</xdr:row>
      <xdr:rowOff>25400</xdr:rowOff>
    </xdr:from>
    <xdr:to>
      <xdr:col>7</xdr:col>
      <xdr:colOff>0</xdr:colOff>
      <xdr:row>13</xdr:row>
      <xdr:rowOff>190500</xdr:rowOff>
    </xdr:to>
    <xdr:pic>
      <xdr:nvPicPr>
        <xdr:cNvPr id="11327" name="Billede 1">
          <a:extLst>
            <a:ext uri="{FF2B5EF4-FFF2-40B4-BE49-F238E27FC236}">
              <a16:creationId xmlns:a16="http://schemas.microsoft.com/office/drawing/2014/main" id="{00000000-0008-0000-1700-00003F2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7600" y="1447800"/>
          <a:ext cx="4660900" cy="138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419100</xdr:colOff>
      <xdr:row>5</xdr:row>
      <xdr:rowOff>177800</xdr:rowOff>
    </xdr:from>
    <xdr:to>
      <xdr:col>7</xdr:col>
      <xdr:colOff>88900</xdr:colOff>
      <xdr:row>13</xdr:row>
      <xdr:rowOff>127000</xdr:rowOff>
    </xdr:to>
    <xdr:pic>
      <xdr:nvPicPr>
        <xdr:cNvPr id="12413" name="Billede 1">
          <a:extLst>
            <a:ext uri="{FF2B5EF4-FFF2-40B4-BE49-F238E27FC236}">
              <a16:creationId xmlns:a16="http://schemas.microsoft.com/office/drawing/2014/main" id="{00000000-0008-0000-1800-00007D3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4600" y="1193800"/>
          <a:ext cx="4622800" cy="157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368300</xdr:colOff>
      <xdr:row>13</xdr:row>
      <xdr:rowOff>177800</xdr:rowOff>
    </xdr:from>
    <xdr:to>
      <xdr:col>7</xdr:col>
      <xdr:colOff>114300</xdr:colOff>
      <xdr:row>22</xdr:row>
      <xdr:rowOff>165100</xdr:rowOff>
    </xdr:to>
    <xdr:pic>
      <xdr:nvPicPr>
        <xdr:cNvPr id="12414" name="Billede 2">
          <a:extLst>
            <a:ext uri="{FF2B5EF4-FFF2-40B4-BE49-F238E27FC236}">
              <a16:creationId xmlns:a16="http://schemas.microsoft.com/office/drawing/2014/main" id="{00000000-0008-0000-1800-00007E3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3800" y="2819400"/>
          <a:ext cx="4699000" cy="181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571500</xdr:colOff>
      <xdr:row>5</xdr:row>
      <xdr:rowOff>76200</xdr:rowOff>
    </xdr:from>
    <xdr:to>
      <xdr:col>6</xdr:col>
      <xdr:colOff>469900</xdr:colOff>
      <xdr:row>17</xdr:row>
      <xdr:rowOff>76200</xdr:rowOff>
    </xdr:to>
    <xdr:pic>
      <xdr:nvPicPr>
        <xdr:cNvPr id="13375" name="Billede 1">
          <a:extLst>
            <a:ext uri="{FF2B5EF4-FFF2-40B4-BE49-F238E27FC236}">
              <a16:creationId xmlns:a16="http://schemas.microsoft.com/office/drawing/2014/main" id="{00000000-0008-0000-1900-00003F3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7000" y="1092200"/>
          <a:ext cx="4673600"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266700</xdr:colOff>
      <xdr:row>6</xdr:row>
      <xdr:rowOff>139700</xdr:rowOff>
    </xdr:from>
    <xdr:to>
      <xdr:col>6</xdr:col>
      <xdr:colOff>0</xdr:colOff>
      <xdr:row>16</xdr:row>
      <xdr:rowOff>101600</xdr:rowOff>
    </xdr:to>
    <xdr:pic>
      <xdr:nvPicPr>
        <xdr:cNvPr id="14461" name="Billede 1">
          <a:extLst>
            <a:ext uri="{FF2B5EF4-FFF2-40B4-BE49-F238E27FC236}">
              <a16:creationId xmlns:a16="http://schemas.microsoft.com/office/drawing/2014/main" id="{00000000-0008-0000-1A00-00007D3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1358900"/>
          <a:ext cx="4686300" cy="199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266700</xdr:colOff>
      <xdr:row>6</xdr:row>
      <xdr:rowOff>101600</xdr:rowOff>
    </xdr:from>
    <xdr:to>
      <xdr:col>12</xdr:col>
      <xdr:colOff>254000</xdr:colOff>
      <xdr:row>17</xdr:row>
      <xdr:rowOff>38100</xdr:rowOff>
    </xdr:to>
    <xdr:pic>
      <xdr:nvPicPr>
        <xdr:cNvPr id="14462" name="Billede 2">
          <a:extLst>
            <a:ext uri="{FF2B5EF4-FFF2-40B4-BE49-F238E27FC236}">
              <a16:creationId xmlns:a16="http://schemas.microsoft.com/office/drawing/2014/main" id="{00000000-0008-0000-1A00-00007E3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19700" y="1320800"/>
          <a:ext cx="494030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279400</xdr:colOff>
      <xdr:row>7</xdr:row>
      <xdr:rowOff>177800</xdr:rowOff>
    </xdr:from>
    <xdr:to>
      <xdr:col>12</xdr:col>
      <xdr:colOff>152400</xdr:colOff>
      <xdr:row>23</xdr:row>
      <xdr:rowOff>63500</xdr:rowOff>
    </xdr:to>
    <xdr:pic>
      <xdr:nvPicPr>
        <xdr:cNvPr id="15485" name="Billede 1">
          <a:extLst>
            <a:ext uri="{FF2B5EF4-FFF2-40B4-BE49-F238E27FC236}">
              <a16:creationId xmlns:a16="http://schemas.microsoft.com/office/drawing/2014/main" id="{00000000-0008-0000-1B00-00007D3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32400" y="1600200"/>
          <a:ext cx="4826000" cy="313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292100</xdr:colOff>
      <xdr:row>7</xdr:row>
      <xdr:rowOff>177800</xdr:rowOff>
    </xdr:from>
    <xdr:to>
      <xdr:col>6</xdr:col>
      <xdr:colOff>190500</xdr:colOff>
      <xdr:row>22</xdr:row>
      <xdr:rowOff>190500</xdr:rowOff>
    </xdr:to>
    <xdr:pic>
      <xdr:nvPicPr>
        <xdr:cNvPr id="15486" name="Billede 3">
          <a:extLst>
            <a:ext uri="{FF2B5EF4-FFF2-40B4-BE49-F238E27FC236}">
              <a16:creationId xmlns:a16="http://schemas.microsoft.com/office/drawing/2014/main" id="{00000000-0008-0000-1B00-00007E3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2100" y="1600200"/>
          <a:ext cx="4851400" cy="306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444500</xdr:colOff>
      <xdr:row>6</xdr:row>
      <xdr:rowOff>12700</xdr:rowOff>
    </xdr:from>
    <xdr:to>
      <xdr:col>7</xdr:col>
      <xdr:colOff>342900</xdr:colOff>
      <xdr:row>20</xdr:row>
      <xdr:rowOff>139700</xdr:rowOff>
    </xdr:to>
    <xdr:pic>
      <xdr:nvPicPr>
        <xdr:cNvPr id="16447" name="Billede 1">
          <a:extLst>
            <a:ext uri="{FF2B5EF4-FFF2-40B4-BE49-F238E27FC236}">
              <a16:creationId xmlns:a16="http://schemas.microsoft.com/office/drawing/2014/main" id="{00000000-0008-0000-1C00-00003F4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31900"/>
          <a:ext cx="4889500" cy="297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152400</xdr:colOff>
      <xdr:row>4</xdr:row>
      <xdr:rowOff>101600</xdr:rowOff>
    </xdr:from>
    <xdr:to>
      <xdr:col>6</xdr:col>
      <xdr:colOff>647700</xdr:colOff>
      <xdr:row>16</xdr:row>
      <xdr:rowOff>63500</xdr:rowOff>
    </xdr:to>
    <xdr:pic>
      <xdr:nvPicPr>
        <xdr:cNvPr id="17533" name="Billede 1">
          <a:extLst>
            <a:ext uri="{FF2B5EF4-FFF2-40B4-BE49-F238E27FC236}">
              <a16:creationId xmlns:a16="http://schemas.microsoft.com/office/drawing/2014/main" id="{00000000-0008-0000-1D00-00007D4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914400"/>
          <a:ext cx="4940300"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342900</xdr:colOff>
      <xdr:row>4</xdr:row>
      <xdr:rowOff>165100</xdr:rowOff>
    </xdr:from>
    <xdr:to>
      <xdr:col>13</xdr:col>
      <xdr:colOff>203200</xdr:colOff>
      <xdr:row>16</xdr:row>
      <xdr:rowOff>190500</xdr:rowOff>
    </xdr:to>
    <xdr:pic>
      <xdr:nvPicPr>
        <xdr:cNvPr id="17534" name="Billede 2">
          <a:extLst>
            <a:ext uri="{FF2B5EF4-FFF2-40B4-BE49-F238E27FC236}">
              <a16:creationId xmlns:a16="http://schemas.microsoft.com/office/drawing/2014/main" id="{00000000-0008-0000-1D00-00007E4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38900" y="977900"/>
          <a:ext cx="4813300" cy="2463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635000</xdr:colOff>
      <xdr:row>6</xdr:row>
      <xdr:rowOff>12700</xdr:rowOff>
    </xdr:from>
    <xdr:to>
      <xdr:col>5</xdr:col>
      <xdr:colOff>711200</xdr:colOff>
      <xdr:row>24</xdr:row>
      <xdr:rowOff>101600</xdr:rowOff>
    </xdr:to>
    <xdr:pic>
      <xdr:nvPicPr>
        <xdr:cNvPr id="18557" name="Billede 1">
          <a:extLst>
            <a:ext uri="{FF2B5EF4-FFF2-40B4-BE49-F238E27FC236}">
              <a16:creationId xmlns:a16="http://schemas.microsoft.com/office/drawing/2014/main" id="{00000000-0008-0000-1E00-00007D4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000" y="1231900"/>
          <a:ext cx="57785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622300</xdr:colOff>
      <xdr:row>25</xdr:row>
      <xdr:rowOff>25400</xdr:rowOff>
    </xdr:from>
    <xdr:to>
      <xdr:col>5</xdr:col>
      <xdr:colOff>660400</xdr:colOff>
      <xdr:row>43</xdr:row>
      <xdr:rowOff>101600</xdr:rowOff>
    </xdr:to>
    <xdr:pic>
      <xdr:nvPicPr>
        <xdr:cNvPr id="18558" name="Billede 2">
          <a:extLst>
            <a:ext uri="{FF2B5EF4-FFF2-40B4-BE49-F238E27FC236}">
              <a16:creationId xmlns:a16="http://schemas.microsoft.com/office/drawing/2014/main" id="{00000000-0008-0000-1E00-00007E4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105400"/>
          <a:ext cx="5740400" cy="3733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7</xdr:col>
      <xdr:colOff>749300</xdr:colOff>
      <xdr:row>13</xdr:row>
      <xdr:rowOff>12700</xdr:rowOff>
    </xdr:to>
    <xdr:pic>
      <xdr:nvPicPr>
        <xdr:cNvPr id="19581" name="Billede 1">
          <a:extLst>
            <a:ext uri="{FF2B5EF4-FFF2-40B4-BE49-F238E27FC236}">
              <a16:creationId xmlns:a16="http://schemas.microsoft.com/office/drawing/2014/main" id="{00000000-0008-0000-1F00-00007D4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625600"/>
          <a:ext cx="57023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15</xdr:row>
      <xdr:rowOff>139700</xdr:rowOff>
    </xdr:from>
    <xdr:to>
      <xdr:col>7</xdr:col>
      <xdr:colOff>723900</xdr:colOff>
      <xdr:row>32</xdr:row>
      <xdr:rowOff>76200</xdr:rowOff>
    </xdr:to>
    <xdr:pic>
      <xdr:nvPicPr>
        <xdr:cNvPr id="19582" name="Billede 2">
          <a:extLst>
            <a:ext uri="{FF2B5EF4-FFF2-40B4-BE49-F238E27FC236}">
              <a16:creationId xmlns:a16="http://schemas.microsoft.com/office/drawing/2014/main" id="{00000000-0008-0000-1F00-00007E4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3187700"/>
          <a:ext cx="5702300" cy="3390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50800</xdr:colOff>
      <xdr:row>5</xdr:row>
      <xdr:rowOff>63500</xdr:rowOff>
    </xdr:from>
    <xdr:to>
      <xdr:col>8</xdr:col>
      <xdr:colOff>25400</xdr:colOff>
      <xdr:row>21</xdr:row>
      <xdr:rowOff>139700</xdr:rowOff>
    </xdr:to>
    <xdr:pic>
      <xdr:nvPicPr>
        <xdr:cNvPr id="20543" name="Billede 1">
          <a:extLst>
            <a:ext uri="{FF2B5EF4-FFF2-40B4-BE49-F238E27FC236}">
              <a16:creationId xmlns:a16="http://schemas.microsoft.com/office/drawing/2014/main" id="{00000000-0008-0000-2000-00003F5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1079500"/>
          <a:ext cx="5753100" cy="332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317500</xdr:colOff>
      <xdr:row>10</xdr:row>
      <xdr:rowOff>127000</xdr:rowOff>
    </xdr:from>
    <xdr:to>
      <xdr:col>6</xdr:col>
      <xdr:colOff>457200</xdr:colOff>
      <xdr:row>17</xdr:row>
      <xdr:rowOff>76200</xdr:rowOff>
    </xdr:to>
    <xdr:pic>
      <xdr:nvPicPr>
        <xdr:cNvPr id="21629" name="Billede 1">
          <a:extLst>
            <a:ext uri="{FF2B5EF4-FFF2-40B4-BE49-F238E27FC236}">
              <a16:creationId xmlns:a16="http://schemas.microsoft.com/office/drawing/2014/main" id="{00000000-0008-0000-2100-00007D5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2159000"/>
          <a:ext cx="572770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431800</xdr:colOff>
      <xdr:row>17</xdr:row>
      <xdr:rowOff>177800</xdr:rowOff>
    </xdr:from>
    <xdr:to>
      <xdr:col>6</xdr:col>
      <xdr:colOff>355600</xdr:colOff>
      <xdr:row>34</xdr:row>
      <xdr:rowOff>190500</xdr:rowOff>
    </xdr:to>
    <xdr:pic>
      <xdr:nvPicPr>
        <xdr:cNvPr id="21630" name="Billede 2">
          <a:extLst>
            <a:ext uri="{FF2B5EF4-FFF2-40B4-BE49-F238E27FC236}">
              <a16:creationId xmlns:a16="http://schemas.microsoft.com/office/drawing/2014/main" id="{00000000-0008-0000-2100-00007E5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632200"/>
          <a:ext cx="55118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330200</xdr:colOff>
      <xdr:row>10</xdr:row>
      <xdr:rowOff>38100</xdr:rowOff>
    </xdr:from>
    <xdr:to>
      <xdr:col>6</xdr:col>
      <xdr:colOff>723900</xdr:colOff>
      <xdr:row>29</xdr:row>
      <xdr:rowOff>139700</xdr:rowOff>
    </xdr:to>
    <xdr:pic>
      <xdr:nvPicPr>
        <xdr:cNvPr id="22592" name="Billede 1">
          <a:extLst>
            <a:ext uri="{FF2B5EF4-FFF2-40B4-BE49-F238E27FC236}">
              <a16:creationId xmlns:a16="http://schemas.microsoft.com/office/drawing/2014/main" id="{00000000-0008-0000-2200-0000405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5700" y="2070100"/>
          <a:ext cx="5727700"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7</xdr:row>
      <xdr:rowOff>76200</xdr:rowOff>
    </xdr:from>
    <xdr:to>
      <xdr:col>7</xdr:col>
      <xdr:colOff>736600</xdr:colOff>
      <xdr:row>24</xdr:row>
      <xdr:rowOff>25400</xdr:rowOff>
    </xdr:to>
    <xdr:pic>
      <xdr:nvPicPr>
        <xdr:cNvPr id="23615" name="Billede 1">
          <a:extLst>
            <a:ext uri="{FF2B5EF4-FFF2-40B4-BE49-F238E27FC236}">
              <a16:creationId xmlns:a16="http://schemas.microsoft.com/office/drawing/2014/main" id="{00000000-0008-0000-2300-00003F5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498600"/>
          <a:ext cx="5689600" cy="340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431800</xdr:colOff>
      <xdr:row>8</xdr:row>
      <xdr:rowOff>0</xdr:rowOff>
    </xdr:from>
    <xdr:to>
      <xdr:col>8</xdr:col>
      <xdr:colOff>355600</xdr:colOff>
      <xdr:row>26</xdr:row>
      <xdr:rowOff>101600</xdr:rowOff>
    </xdr:to>
    <xdr:pic>
      <xdr:nvPicPr>
        <xdr:cNvPr id="24639" name="Billede 1">
          <a:extLst>
            <a:ext uri="{FF2B5EF4-FFF2-40B4-BE49-F238E27FC236}">
              <a16:creationId xmlns:a16="http://schemas.microsoft.com/office/drawing/2014/main" id="{00000000-0008-0000-2400-00003F6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7300" y="1625600"/>
          <a:ext cx="5702300" cy="375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736600</xdr:colOff>
      <xdr:row>14</xdr:row>
      <xdr:rowOff>101600</xdr:rowOff>
    </xdr:from>
    <xdr:to>
      <xdr:col>7</xdr:col>
      <xdr:colOff>406400</xdr:colOff>
      <xdr:row>26</xdr:row>
      <xdr:rowOff>63500</xdr:rowOff>
    </xdr:to>
    <xdr:pic>
      <xdr:nvPicPr>
        <xdr:cNvPr id="26097" name="Billede 1">
          <a:extLst>
            <a:ext uri="{FF2B5EF4-FFF2-40B4-BE49-F238E27FC236}">
              <a16:creationId xmlns:a16="http://schemas.microsoft.com/office/drawing/2014/main" id="{00000000-0008-0000-2B00-0000F16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2100" y="2946400"/>
          <a:ext cx="4622800"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xdr:colOff>
      <xdr:row>26</xdr:row>
      <xdr:rowOff>38100</xdr:rowOff>
    </xdr:from>
    <xdr:to>
      <xdr:col>7</xdr:col>
      <xdr:colOff>368300</xdr:colOff>
      <xdr:row>39</xdr:row>
      <xdr:rowOff>12700</xdr:rowOff>
    </xdr:to>
    <xdr:pic>
      <xdr:nvPicPr>
        <xdr:cNvPr id="26098" name="Billede 2">
          <a:extLst>
            <a:ext uri="{FF2B5EF4-FFF2-40B4-BE49-F238E27FC236}">
              <a16:creationId xmlns:a16="http://schemas.microsoft.com/office/drawing/2014/main" id="{00000000-0008-0000-2B00-0000F265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9400" y="5321300"/>
          <a:ext cx="4597400" cy="261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685800</xdr:colOff>
      <xdr:row>38</xdr:row>
      <xdr:rowOff>177800</xdr:rowOff>
    </xdr:from>
    <xdr:to>
      <xdr:col>7</xdr:col>
      <xdr:colOff>444500</xdr:colOff>
      <xdr:row>51</xdr:row>
      <xdr:rowOff>38100</xdr:rowOff>
    </xdr:to>
    <xdr:pic>
      <xdr:nvPicPr>
        <xdr:cNvPr id="26099" name="Billede 3">
          <a:extLst>
            <a:ext uri="{FF2B5EF4-FFF2-40B4-BE49-F238E27FC236}">
              <a16:creationId xmlns:a16="http://schemas.microsoft.com/office/drawing/2014/main" id="{00000000-0008-0000-2B00-0000F36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11300" y="7899400"/>
          <a:ext cx="4711700" cy="250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660400</xdr:colOff>
      <xdr:row>50</xdr:row>
      <xdr:rowOff>190500</xdr:rowOff>
    </xdr:from>
    <xdr:to>
      <xdr:col>7</xdr:col>
      <xdr:colOff>431800</xdr:colOff>
      <xdr:row>62</xdr:row>
      <xdr:rowOff>12700</xdr:rowOff>
    </xdr:to>
    <xdr:pic>
      <xdr:nvPicPr>
        <xdr:cNvPr id="26100" name="Billede 4">
          <a:extLst>
            <a:ext uri="{FF2B5EF4-FFF2-40B4-BE49-F238E27FC236}">
              <a16:creationId xmlns:a16="http://schemas.microsoft.com/office/drawing/2014/main" id="{00000000-0008-0000-2B00-0000F465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5900" y="10350500"/>
          <a:ext cx="4724400" cy="226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355600</xdr:colOff>
      <xdr:row>2</xdr:row>
      <xdr:rowOff>0</xdr:rowOff>
    </xdr:from>
    <xdr:to>
      <xdr:col>6</xdr:col>
      <xdr:colOff>63500</xdr:colOff>
      <xdr:row>7</xdr:row>
      <xdr:rowOff>101600</xdr:rowOff>
    </xdr:to>
    <xdr:pic>
      <xdr:nvPicPr>
        <xdr:cNvPr id="26101" name="Billede 5">
          <a:extLst>
            <a:ext uri="{FF2B5EF4-FFF2-40B4-BE49-F238E27FC236}">
              <a16:creationId xmlns:a16="http://schemas.microsoft.com/office/drawing/2014/main" id="{00000000-0008-0000-2B00-0000F56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5600" y="406400"/>
          <a:ext cx="4660900" cy="1117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6</xdr:row>
      <xdr:rowOff>38100</xdr:rowOff>
    </xdr:from>
    <xdr:to>
      <xdr:col>15</xdr:col>
      <xdr:colOff>292100</xdr:colOff>
      <xdr:row>21</xdr:row>
      <xdr:rowOff>101600</xdr:rowOff>
    </xdr:to>
    <xdr:pic>
      <xdr:nvPicPr>
        <xdr:cNvPr id="26102" name="Billede 6">
          <a:extLst>
            <a:ext uri="{FF2B5EF4-FFF2-40B4-BE49-F238E27FC236}">
              <a16:creationId xmlns:a16="http://schemas.microsoft.com/office/drawing/2014/main" id="{00000000-0008-0000-2B00-0000F665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48600" y="1257300"/>
          <a:ext cx="4826000" cy="311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508000</xdr:colOff>
      <xdr:row>21</xdr:row>
      <xdr:rowOff>101600</xdr:rowOff>
    </xdr:from>
    <xdr:to>
      <xdr:col>15</xdr:col>
      <xdr:colOff>241300</xdr:colOff>
      <xdr:row>36</xdr:row>
      <xdr:rowOff>139700</xdr:rowOff>
    </xdr:to>
    <xdr:pic>
      <xdr:nvPicPr>
        <xdr:cNvPr id="26103" name="Billede 7">
          <a:extLst>
            <a:ext uri="{FF2B5EF4-FFF2-40B4-BE49-F238E27FC236}">
              <a16:creationId xmlns:a16="http://schemas.microsoft.com/office/drawing/2014/main" id="{00000000-0008-0000-2B00-0000F765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37500" y="4368800"/>
          <a:ext cx="46863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457200</xdr:colOff>
      <xdr:row>38</xdr:row>
      <xdr:rowOff>0</xdr:rowOff>
    </xdr:from>
    <xdr:to>
      <xdr:col>15</xdr:col>
      <xdr:colOff>152400</xdr:colOff>
      <xdr:row>47</xdr:row>
      <xdr:rowOff>63500</xdr:rowOff>
    </xdr:to>
    <xdr:pic>
      <xdr:nvPicPr>
        <xdr:cNvPr id="26104" name="Billede 8">
          <a:extLst>
            <a:ext uri="{FF2B5EF4-FFF2-40B4-BE49-F238E27FC236}">
              <a16:creationId xmlns:a16="http://schemas.microsoft.com/office/drawing/2014/main" id="{00000000-0008-0000-2B00-0000F865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86700" y="7721600"/>
          <a:ext cx="4648200" cy="189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165100</xdr:colOff>
      <xdr:row>3</xdr:row>
      <xdr:rowOff>190500</xdr:rowOff>
    </xdr:from>
    <xdr:to>
      <xdr:col>4</xdr:col>
      <xdr:colOff>1079500</xdr:colOff>
      <xdr:row>19</xdr:row>
      <xdr:rowOff>76200</xdr:rowOff>
    </xdr:to>
    <xdr:pic>
      <xdr:nvPicPr>
        <xdr:cNvPr id="26701" name="Billede 1">
          <a:extLst>
            <a:ext uri="{FF2B5EF4-FFF2-40B4-BE49-F238E27FC236}">
              <a16:creationId xmlns:a16="http://schemas.microsoft.com/office/drawing/2014/main" id="{00000000-0008-0000-2C00-00004D6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800100"/>
          <a:ext cx="5461000" cy="313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304800</xdr:colOff>
      <xdr:row>8</xdr:row>
      <xdr:rowOff>177800</xdr:rowOff>
    </xdr:from>
    <xdr:to>
      <xdr:col>8</xdr:col>
      <xdr:colOff>101600</xdr:colOff>
      <xdr:row>15</xdr:row>
      <xdr:rowOff>177800</xdr:rowOff>
    </xdr:to>
    <xdr:pic>
      <xdr:nvPicPr>
        <xdr:cNvPr id="27711" name="Billede 1">
          <a:extLst>
            <a:ext uri="{FF2B5EF4-FFF2-40B4-BE49-F238E27FC236}">
              <a16:creationId xmlns:a16="http://schemas.microsoft.com/office/drawing/2014/main" id="{00000000-0008-0000-2D00-00003F6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55128"/>
        <a:stretch>
          <a:fillRect/>
        </a:stretch>
      </xdr:blipFill>
      <xdr:spPr bwMode="auto">
        <a:xfrm>
          <a:off x="1130300" y="1803400"/>
          <a:ext cx="5575300" cy="142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406400</xdr:colOff>
      <xdr:row>3</xdr:row>
      <xdr:rowOff>12700</xdr:rowOff>
    </xdr:from>
    <xdr:to>
      <xdr:col>3</xdr:col>
      <xdr:colOff>12700</xdr:colOff>
      <xdr:row>24</xdr:row>
      <xdr:rowOff>177800</xdr:rowOff>
    </xdr:to>
    <xdr:pic>
      <xdr:nvPicPr>
        <xdr:cNvPr id="28921" name="Billede 1">
          <a:extLst>
            <a:ext uri="{FF2B5EF4-FFF2-40B4-BE49-F238E27FC236}">
              <a16:creationId xmlns:a16="http://schemas.microsoft.com/office/drawing/2014/main" id="{00000000-0008-0000-2E00-0000F97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6400" y="622300"/>
          <a:ext cx="5588000" cy="443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165100</xdr:colOff>
      <xdr:row>9</xdr:row>
      <xdr:rowOff>203200</xdr:rowOff>
    </xdr:from>
    <xdr:to>
      <xdr:col>16</xdr:col>
      <xdr:colOff>1435100</xdr:colOff>
      <xdr:row>22</xdr:row>
      <xdr:rowOff>12700</xdr:rowOff>
    </xdr:to>
    <xdr:graphicFrame macro="">
      <xdr:nvGraphicFramePr>
        <xdr:cNvPr id="28922" name="Chart 1">
          <a:extLst>
            <a:ext uri="{FF2B5EF4-FFF2-40B4-BE49-F238E27FC236}">
              <a16:creationId xmlns:a16="http://schemas.microsoft.com/office/drawing/2014/main" id="{00000000-0008-0000-2E00-0000FA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292100</xdr:colOff>
      <xdr:row>23</xdr:row>
      <xdr:rowOff>63500</xdr:rowOff>
    </xdr:from>
    <xdr:to>
      <xdr:col>16</xdr:col>
      <xdr:colOff>1562100</xdr:colOff>
      <xdr:row>35</xdr:row>
      <xdr:rowOff>101600</xdr:rowOff>
    </xdr:to>
    <xdr:graphicFrame macro="">
      <xdr:nvGraphicFramePr>
        <xdr:cNvPr id="28923" name="Chart 2">
          <a:extLst>
            <a:ext uri="{FF2B5EF4-FFF2-40B4-BE49-F238E27FC236}">
              <a16:creationId xmlns:a16="http://schemas.microsoft.com/office/drawing/2014/main" id="{00000000-0008-0000-2E00-0000FB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228600</xdr:colOff>
      <xdr:row>37</xdr:row>
      <xdr:rowOff>63500</xdr:rowOff>
    </xdr:from>
    <xdr:to>
      <xdr:col>16</xdr:col>
      <xdr:colOff>1498600</xdr:colOff>
      <xdr:row>49</xdr:row>
      <xdr:rowOff>101600</xdr:rowOff>
    </xdr:to>
    <xdr:graphicFrame macro="">
      <xdr:nvGraphicFramePr>
        <xdr:cNvPr id="28924" name="Chart 3">
          <a:extLst>
            <a:ext uri="{FF2B5EF4-FFF2-40B4-BE49-F238E27FC236}">
              <a16:creationId xmlns:a16="http://schemas.microsoft.com/office/drawing/2014/main" id="{00000000-0008-0000-2E00-0000FC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622300</xdr:colOff>
      <xdr:row>43</xdr:row>
      <xdr:rowOff>139700</xdr:rowOff>
    </xdr:from>
    <xdr:to>
      <xdr:col>7</xdr:col>
      <xdr:colOff>508000</xdr:colOff>
      <xdr:row>64</xdr:row>
      <xdr:rowOff>139700</xdr:rowOff>
    </xdr:to>
    <xdr:pic>
      <xdr:nvPicPr>
        <xdr:cNvPr id="29883" name="Billede 1">
          <a:extLst>
            <a:ext uri="{FF2B5EF4-FFF2-40B4-BE49-F238E27FC236}">
              <a16:creationId xmlns:a16="http://schemas.microsoft.com/office/drawing/2014/main" id="{00000000-0008-0000-2F00-0000BB7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2300" y="8877300"/>
          <a:ext cx="5664200" cy="426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558800</xdr:colOff>
      <xdr:row>22</xdr:row>
      <xdr:rowOff>165100</xdr:rowOff>
    </xdr:from>
    <xdr:to>
      <xdr:col>7</xdr:col>
      <xdr:colOff>317500</xdr:colOff>
      <xdr:row>42</xdr:row>
      <xdr:rowOff>76200</xdr:rowOff>
    </xdr:to>
    <xdr:pic>
      <xdr:nvPicPr>
        <xdr:cNvPr id="29884" name="Billede 3">
          <a:extLst>
            <a:ext uri="{FF2B5EF4-FFF2-40B4-BE49-F238E27FC236}">
              <a16:creationId xmlns:a16="http://schemas.microsoft.com/office/drawing/2014/main" id="{00000000-0008-0000-2F00-0000BC7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800" y="4635500"/>
          <a:ext cx="5537200" cy="397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660400</xdr:colOff>
      <xdr:row>3</xdr:row>
      <xdr:rowOff>63500</xdr:rowOff>
    </xdr:from>
    <xdr:to>
      <xdr:col>7</xdr:col>
      <xdr:colOff>355600</xdr:colOff>
      <xdr:row>23</xdr:row>
      <xdr:rowOff>12700</xdr:rowOff>
    </xdr:to>
    <xdr:pic>
      <xdr:nvPicPr>
        <xdr:cNvPr id="29885" name="Billede 4">
          <a:extLst>
            <a:ext uri="{FF2B5EF4-FFF2-40B4-BE49-F238E27FC236}">
              <a16:creationId xmlns:a16="http://schemas.microsoft.com/office/drawing/2014/main" id="{00000000-0008-0000-2F00-0000BD7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0400" y="673100"/>
          <a:ext cx="5473700" cy="401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254000</xdr:colOff>
      <xdr:row>7</xdr:row>
      <xdr:rowOff>139700</xdr:rowOff>
    </xdr:from>
    <xdr:to>
      <xdr:col>7</xdr:col>
      <xdr:colOff>685800</xdr:colOff>
      <xdr:row>16</xdr:row>
      <xdr:rowOff>76200</xdr:rowOff>
    </xdr:to>
    <xdr:pic>
      <xdr:nvPicPr>
        <xdr:cNvPr id="30783" name="Billede 1">
          <a:extLst>
            <a:ext uri="{FF2B5EF4-FFF2-40B4-BE49-F238E27FC236}">
              <a16:creationId xmlns:a16="http://schemas.microsoft.com/office/drawing/2014/main" id="{00000000-0008-0000-3000-00003F7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9500" y="1562100"/>
          <a:ext cx="5791200" cy="176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190500</xdr:colOff>
      <xdr:row>10</xdr:row>
      <xdr:rowOff>38100</xdr:rowOff>
    </xdr:from>
    <xdr:to>
      <xdr:col>7</xdr:col>
      <xdr:colOff>190500</xdr:colOff>
      <xdr:row>17</xdr:row>
      <xdr:rowOff>25400</xdr:rowOff>
    </xdr:to>
    <xdr:pic>
      <xdr:nvPicPr>
        <xdr:cNvPr id="31807" name="Billede 1">
          <a:extLst>
            <a:ext uri="{FF2B5EF4-FFF2-40B4-BE49-F238E27FC236}">
              <a16:creationId xmlns:a16="http://schemas.microsoft.com/office/drawing/2014/main" id="{00000000-0008-0000-3100-00003F7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2070100"/>
          <a:ext cx="4533900"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812800</xdr:colOff>
      <xdr:row>9</xdr:row>
      <xdr:rowOff>0</xdr:rowOff>
    </xdr:from>
    <xdr:to>
      <xdr:col>6</xdr:col>
      <xdr:colOff>762000</xdr:colOff>
      <xdr:row>15</xdr:row>
      <xdr:rowOff>177800</xdr:rowOff>
    </xdr:to>
    <xdr:pic>
      <xdr:nvPicPr>
        <xdr:cNvPr id="32831" name="Billede 1">
          <a:extLst>
            <a:ext uri="{FF2B5EF4-FFF2-40B4-BE49-F238E27FC236}">
              <a16:creationId xmlns:a16="http://schemas.microsoft.com/office/drawing/2014/main" id="{00000000-0008-0000-3200-00003F8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8300" y="1828800"/>
          <a:ext cx="4483100" cy="1397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101600</xdr:colOff>
      <xdr:row>8</xdr:row>
      <xdr:rowOff>0</xdr:rowOff>
    </xdr:from>
    <xdr:to>
      <xdr:col>7</xdr:col>
      <xdr:colOff>787400</xdr:colOff>
      <xdr:row>23</xdr:row>
      <xdr:rowOff>139700</xdr:rowOff>
    </xdr:to>
    <xdr:pic>
      <xdr:nvPicPr>
        <xdr:cNvPr id="33855" name="Billede 1">
          <a:extLst>
            <a:ext uri="{FF2B5EF4-FFF2-40B4-BE49-F238E27FC236}">
              <a16:creationId xmlns:a16="http://schemas.microsoft.com/office/drawing/2014/main" id="{00000000-0008-0000-3300-00003F8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7100" y="1625600"/>
          <a:ext cx="5638800" cy="318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63500</xdr:colOff>
      <xdr:row>5</xdr:row>
      <xdr:rowOff>38100</xdr:rowOff>
    </xdr:from>
    <xdr:to>
      <xdr:col>8</xdr:col>
      <xdr:colOff>292100</xdr:colOff>
      <xdr:row>27</xdr:row>
      <xdr:rowOff>63500</xdr:rowOff>
    </xdr:to>
    <xdr:pic>
      <xdr:nvPicPr>
        <xdr:cNvPr id="34879" name="Billede 1">
          <a:extLst>
            <a:ext uri="{FF2B5EF4-FFF2-40B4-BE49-F238E27FC236}">
              <a16:creationId xmlns:a16="http://schemas.microsoft.com/office/drawing/2014/main" id="{00000000-0008-0000-3400-00003F8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9000" y="1054100"/>
          <a:ext cx="6007100" cy="449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571500</xdr:colOff>
      <xdr:row>5</xdr:row>
      <xdr:rowOff>101600</xdr:rowOff>
    </xdr:from>
    <xdr:to>
      <xdr:col>8</xdr:col>
      <xdr:colOff>165100</xdr:colOff>
      <xdr:row>19</xdr:row>
      <xdr:rowOff>177800</xdr:rowOff>
    </xdr:to>
    <xdr:pic>
      <xdr:nvPicPr>
        <xdr:cNvPr id="35965" name="Billede 1">
          <a:extLst>
            <a:ext uri="{FF2B5EF4-FFF2-40B4-BE49-F238E27FC236}">
              <a16:creationId xmlns:a16="http://schemas.microsoft.com/office/drawing/2014/main" id="{00000000-0008-0000-3600-00007D8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7000" y="1117600"/>
          <a:ext cx="5372100" cy="292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800100</xdr:colOff>
      <xdr:row>20</xdr:row>
      <xdr:rowOff>139700</xdr:rowOff>
    </xdr:from>
    <xdr:to>
      <xdr:col>7</xdr:col>
      <xdr:colOff>673100</xdr:colOff>
      <xdr:row>23</xdr:row>
      <xdr:rowOff>25400</xdr:rowOff>
    </xdr:to>
    <xdr:pic>
      <xdr:nvPicPr>
        <xdr:cNvPr id="35966" name="Billede 2">
          <a:extLst>
            <a:ext uri="{FF2B5EF4-FFF2-40B4-BE49-F238E27FC236}">
              <a16:creationId xmlns:a16="http://schemas.microsoft.com/office/drawing/2014/main" id="{00000000-0008-0000-3600-00007E8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5600" y="4203700"/>
          <a:ext cx="48260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292100</xdr:colOff>
      <xdr:row>7</xdr:row>
      <xdr:rowOff>0</xdr:rowOff>
    </xdr:from>
    <xdr:to>
      <xdr:col>7</xdr:col>
      <xdr:colOff>800100</xdr:colOff>
      <xdr:row>17</xdr:row>
      <xdr:rowOff>0</xdr:rowOff>
    </xdr:to>
    <xdr:pic>
      <xdr:nvPicPr>
        <xdr:cNvPr id="36927" name="Billede 1">
          <a:extLst>
            <a:ext uri="{FF2B5EF4-FFF2-40B4-BE49-F238E27FC236}">
              <a16:creationId xmlns:a16="http://schemas.microsoft.com/office/drawing/2014/main" id="{00000000-0008-0000-3700-00003F9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7600" y="1422400"/>
          <a:ext cx="5461000" cy="203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660400</xdr:colOff>
      <xdr:row>6</xdr:row>
      <xdr:rowOff>165100</xdr:rowOff>
    </xdr:from>
    <xdr:to>
      <xdr:col>7</xdr:col>
      <xdr:colOff>304800</xdr:colOff>
      <xdr:row>29</xdr:row>
      <xdr:rowOff>25400</xdr:rowOff>
    </xdr:to>
    <xdr:pic>
      <xdr:nvPicPr>
        <xdr:cNvPr id="37951" name="Billede 1">
          <a:extLst>
            <a:ext uri="{FF2B5EF4-FFF2-40B4-BE49-F238E27FC236}">
              <a16:creationId xmlns:a16="http://schemas.microsoft.com/office/drawing/2014/main" id="{00000000-0008-0000-3800-00003F9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 y="1384300"/>
          <a:ext cx="5422900" cy="453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342900</xdr:colOff>
      <xdr:row>5</xdr:row>
      <xdr:rowOff>63500</xdr:rowOff>
    </xdr:from>
    <xdr:to>
      <xdr:col>7</xdr:col>
      <xdr:colOff>736600</xdr:colOff>
      <xdr:row>19</xdr:row>
      <xdr:rowOff>63500</xdr:rowOff>
    </xdr:to>
    <xdr:pic>
      <xdr:nvPicPr>
        <xdr:cNvPr id="38975" name="Billede 1">
          <a:extLst>
            <a:ext uri="{FF2B5EF4-FFF2-40B4-BE49-F238E27FC236}">
              <a16:creationId xmlns:a16="http://schemas.microsoft.com/office/drawing/2014/main" id="{00000000-0008-0000-3900-00003F9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8400" y="1079500"/>
          <a:ext cx="5346700" cy="284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698500</xdr:colOff>
      <xdr:row>7</xdr:row>
      <xdr:rowOff>190500</xdr:rowOff>
    </xdr:from>
    <xdr:to>
      <xdr:col>6</xdr:col>
      <xdr:colOff>508000</xdr:colOff>
      <xdr:row>15</xdr:row>
      <xdr:rowOff>25400</xdr:rowOff>
    </xdr:to>
    <xdr:pic>
      <xdr:nvPicPr>
        <xdr:cNvPr id="39999" name="Billede 1">
          <a:extLst>
            <a:ext uri="{FF2B5EF4-FFF2-40B4-BE49-F238E27FC236}">
              <a16:creationId xmlns:a16="http://schemas.microsoft.com/office/drawing/2014/main" id="{00000000-0008-0000-3A00-00003F9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0" y="1612900"/>
          <a:ext cx="4864100" cy="146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2</xdr:col>
      <xdr:colOff>139700</xdr:colOff>
      <xdr:row>7</xdr:row>
      <xdr:rowOff>76200</xdr:rowOff>
    </xdr:from>
    <xdr:to>
      <xdr:col>9</xdr:col>
      <xdr:colOff>228600</xdr:colOff>
      <xdr:row>29</xdr:row>
      <xdr:rowOff>177800</xdr:rowOff>
    </xdr:to>
    <xdr:pic>
      <xdr:nvPicPr>
        <xdr:cNvPr id="41085" name="Billede 1">
          <a:extLst>
            <a:ext uri="{FF2B5EF4-FFF2-40B4-BE49-F238E27FC236}">
              <a16:creationId xmlns:a16="http://schemas.microsoft.com/office/drawing/2014/main" id="{00000000-0008-0000-3B00-00007DA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700" y="1498600"/>
          <a:ext cx="5867400" cy="457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469900</xdr:colOff>
      <xdr:row>30</xdr:row>
      <xdr:rowOff>38100</xdr:rowOff>
    </xdr:from>
    <xdr:to>
      <xdr:col>9</xdr:col>
      <xdr:colOff>139700</xdr:colOff>
      <xdr:row>50</xdr:row>
      <xdr:rowOff>190500</xdr:rowOff>
    </xdr:to>
    <xdr:pic>
      <xdr:nvPicPr>
        <xdr:cNvPr id="41086" name="Billede 2">
          <a:extLst>
            <a:ext uri="{FF2B5EF4-FFF2-40B4-BE49-F238E27FC236}">
              <a16:creationId xmlns:a16="http://schemas.microsoft.com/office/drawing/2014/main" id="{00000000-0008-0000-3B00-00007EA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900" y="6134100"/>
          <a:ext cx="5448300" cy="421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457200</xdr:colOff>
      <xdr:row>11</xdr:row>
      <xdr:rowOff>38100</xdr:rowOff>
    </xdr:from>
    <xdr:to>
      <xdr:col>7</xdr:col>
      <xdr:colOff>685800</xdr:colOff>
      <xdr:row>27</xdr:row>
      <xdr:rowOff>101600</xdr:rowOff>
    </xdr:to>
    <xdr:pic>
      <xdr:nvPicPr>
        <xdr:cNvPr id="42047" name="Billede 1">
          <a:extLst>
            <a:ext uri="{FF2B5EF4-FFF2-40B4-BE49-F238E27FC236}">
              <a16:creationId xmlns:a16="http://schemas.microsoft.com/office/drawing/2014/main" id="{00000000-0008-0000-3C00-00003FA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273300"/>
          <a:ext cx="51816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330200</xdr:colOff>
      <xdr:row>8</xdr:row>
      <xdr:rowOff>76200</xdr:rowOff>
    </xdr:from>
    <xdr:to>
      <xdr:col>7</xdr:col>
      <xdr:colOff>685800</xdr:colOff>
      <xdr:row>21</xdr:row>
      <xdr:rowOff>139700</xdr:rowOff>
    </xdr:to>
    <xdr:pic>
      <xdr:nvPicPr>
        <xdr:cNvPr id="43257" name="Billede 1">
          <a:extLst>
            <a:ext uri="{FF2B5EF4-FFF2-40B4-BE49-F238E27FC236}">
              <a16:creationId xmlns:a16="http://schemas.microsoft.com/office/drawing/2014/main" id="{00000000-0008-0000-3D00-0000F9A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55700" y="1701800"/>
          <a:ext cx="5308600" cy="27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254000</xdr:colOff>
      <xdr:row>24</xdr:row>
      <xdr:rowOff>38100</xdr:rowOff>
    </xdr:from>
    <xdr:to>
      <xdr:col>8</xdr:col>
      <xdr:colOff>292100</xdr:colOff>
      <xdr:row>40</xdr:row>
      <xdr:rowOff>12700</xdr:rowOff>
    </xdr:to>
    <xdr:pic>
      <xdr:nvPicPr>
        <xdr:cNvPr id="43258" name="Billede 2">
          <a:extLst>
            <a:ext uri="{FF2B5EF4-FFF2-40B4-BE49-F238E27FC236}">
              <a16:creationId xmlns:a16="http://schemas.microsoft.com/office/drawing/2014/main" id="{00000000-0008-0000-3D00-0000FAA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9500" y="4914900"/>
          <a:ext cx="5816600" cy="322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42</xdr:row>
      <xdr:rowOff>76200</xdr:rowOff>
    </xdr:from>
    <xdr:to>
      <xdr:col>8</xdr:col>
      <xdr:colOff>127000</xdr:colOff>
      <xdr:row>60</xdr:row>
      <xdr:rowOff>0</xdr:rowOff>
    </xdr:to>
    <xdr:pic>
      <xdr:nvPicPr>
        <xdr:cNvPr id="43259" name="Billede 3">
          <a:extLst>
            <a:ext uri="{FF2B5EF4-FFF2-40B4-BE49-F238E27FC236}">
              <a16:creationId xmlns:a16="http://schemas.microsoft.com/office/drawing/2014/main" id="{00000000-0008-0000-3D00-0000FBA8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4100" y="8610600"/>
          <a:ext cx="5676900" cy="358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101600</xdr:colOff>
      <xdr:row>63</xdr:row>
      <xdr:rowOff>177800</xdr:rowOff>
    </xdr:from>
    <xdr:to>
      <xdr:col>7</xdr:col>
      <xdr:colOff>711200</xdr:colOff>
      <xdr:row>85</xdr:row>
      <xdr:rowOff>25400</xdr:rowOff>
    </xdr:to>
    <xdr:pic>
      <xdr:nvPicPr>
        <xdr:cNvPr id="43260" name="Billede 4">
          <a:extLst>
            <a:ext uri="{FF2B5EF4-FFF2-40B4-BE49-F238E27FC236}">
              <a16:creationId xmlns:a16="http://schemas.microsoft.com/office/drawing/2014/main" id="{00000000-0008-0000-3D00-0000FCA8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7100" y="12979400"/>
          <a:ext cx="5562600" cy="431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520700</xdr:colOff>
      <xdr:row>9</xdr:row>
      <xdr:rowOff>38100</xdr:rowOff>
    </xdr:from>
    <xdr:to>
      <xdr:col>7</xdr:col>
      <xdr:colOff>546100</xdr:colOff>
      <xdr:row>17</xdr:row>
      <xdr:rowOff>127000</xdr:rowOff>
    </xdr:to>
    <xdr:pic>
      <xdr:nvPicPr>
        <xdr:cNvPr id="44095" name="Billede 1">
          <a:extLst>
            <a:ext uri="{FF2B5EF4-FFF2-40B4-BE49-F238E27FC236}">
              <a16:creationId xmlns:a16="http://schemas.microsoft.com/office/drawing/2014/main" id="{00000000-0008-0000-3E00-00003FA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6200" y="1866900"/>
          <a:ext cx="5346700"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406400</xdr:colOff>
      <xdr:row>11</xdr:row>
      <xdr:rowOff>101600</xdr:rowOff>
    </xdr:from>
    <xdr:to>
      <xdr:col>7</xdr:col>
      <xdr:colOff>495300</xdr:colOff>
      <xdr:row>18</xdr:row>
      <xdr:rowOff>0</xdr:rowOff>
    </xdr:to>
    <xdr:pic>
      <xdr:nvPicPr>
        <xdr:cNvPr id="45119" name="Billede 1">
          <a:extLst>
            <a:ext uri="{FF2B5EF4-FFF2-40B4-BE49-F238E27FC236}">
              <a16:creationId xmlns:a16="http://schemas.microsoft.com/office/drawing/2014/main" id="{00000000-0008-0000-3F00-00003FB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1900" y="2336800"/>
          <a:ext cx="5041900" cy="132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368300</xdr:colOff>
      <xdr:row>6</xdr:row>
      <xdr:rowOff>101600</xdr:rowOff>
    </xdr:from>
    <xdr:to>
      <xdr:col>7</xdr:col>
      <xdr:colOff>584200</xdr:colOff>
      <xdr:row>27</xdr:row>
      <xdr:rowOff>139700</xdr:rowOff>
    </xdr:to>
    <xdr:pic>
      <xdr:nvPicPr>
        <xdr:cNvPr id="46205" name="Billede 1">
          <a:extLst>
            <a:ext uri="{FF2B5EF4-FFF2-40B4-BE49-F238E27FC236}">
              <a16:creationId xmlns:a16="http://schemas.microsoft.com/office/drawing/2014/main" id="{00000000-0008-0000-4000-00007DB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3800" y="1320800"/>
          <a:ext cx="5168900" cy="430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762000</xdr:colOff>
      <xdr:row>12</xdr:row>
      <xdr:rowOff>63500</xdr:rowOff>
    </xdr:from>
    <xdr:to>
      <xdr:col>12</xdr:col>
      <xdr:colOff>584200</xdr:colOff>
      <xdr:row>31</xdr:row>
      <xdr:rowOff>101600</xdr:rowOff>
    </xdr:to>
    <xdr:pic>
      <xdr:nvPicPr>
        <xdr:cNvPr id="46206" name="Billede 2">
          <a:extLst>
            <a:ext uri="{FF2B5EF4-FFF2-40B4-BE49-F238E27FC236}">
              <a16:creationId xmlns:a16="http://schemas.microsoft.com/office/drawing/2014/main" id="{00000000-0008-0000-4000-00007EB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40500" y="2501900"/>
          <a:ext cx="3949700" cy="389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50800</xdr:colOff>
      <xdr:row>6</xdr:row>
      <xdr:rowOff>177800</xdr:rowOff>
    </xdr:from>
    <xdr:to>
      <xdr:col>6</xdr:col>
      <xdr:colOff>431800</xdr:colOff>
      <xdr:row>25</xdr:row>
      <xdr:rowOff>127000</xdr:rowOff>
    </xdr:to>
    <xdr:pic>
      <xdr:nvPicPr>
        <xdr:cNvPr id="47229" name="Billede 1">
          <a:extLst>
            <a:ext uri="{FF2B5EF4-FFF2-40B4-BE49-F238E27FC236}">
              <a16:creationId xmlns:a16="http://schemas.microsoft.com/office/drawing/2014/main" id="{00000000-0008-0000-4100-00007DB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1800" y="1397000"/>
          <a:ext cx="36830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381000</xdr:colOff>
      <xdr:row>27</xdr:row>
      <xdr:rowOff>25400</xdr:rowOff>
    </xdr:from>
    <xdr:to>
      <xdr:col>7</xdr:col>
      <xdr:colOff>546100</xdr:colOff>
      <xdr:row>42</xdr:row>
      <xdr:rowOff>38100</xdr:rowOff>
    </xdr:to>
    <xdr:pic>
      <xdr:nvPicPr>
        <xdr:cNvPr id="47230" name="Billede 2">
          <a:extLst>
            <a:ext uri="{FF2B5EF4-FFF2-40B4-BE49-F238E27FC236}">
              <a16:creationId xmlns:a16="http://schemas.microsoft.com/office/drawing/2014/main" id="{00000000-0008-0000-4100-00007EB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6500" y="5511800"/>
          <a:ext cx="5118100" cy="306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304800</xdr:colOff>
      <xdr:row>9</xdr:row>
      <xdr:rowOff>63500</xdr:rowOff>
    </xdr:from>
    <xdr:to>
      <xdr:col>7</xdr:col>
      <xdr:colOff>596900</xdr:colOff>
      <xdr:row>22</xdr:row>
      <xdr:rowOff>25400</xdr:rowOff>
    </xdr:to>
    <xdr:pic>
      <xdr:nvPicPr>
        <xdr:cNvPr id="48253" name="Billede 1">
          <a:extLst>
            <a:ext uri="{FF2B5EF4-FFF2-40B4-BE49-F238E27FC236}">
              <a16:creationId xmlns:a16="http://schemas.microsoft.com/office/drawing/2014/main" id="{00000000-0008-0000-4200-00007DB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0300" y="1892300"/>
          <a:ext cx="5245100" cy="260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292100</xdr:colOff>
      <xdr:row>18</xdr:row>
      <xdr:rowOff>546100</xdr:rowOff>
    </xdr:from>
    <xdr:to>
      <xdr:col>7</xdr:col>
      <xdr:colOff>520700</xdr:colOff>
      <xdr:row>34</xdr:row>
      <xdr:rowOff>38100</xdr:rowOff>
    </xdr:to>
    <xdr:pic>
      <xdr:nvPicPr>
        <xdr:cNvPr id="48254" name="Billede 2">
          <a:extLst>
            <a:ext uri="{FF2B5EF4-FFF2-40B4-BE49-F238E27FC236}">
              <a16:creationId xmlns:a16="http://schemas.microsoft.com/office/drawing/2014/main" id="{00000000-0008-0000-4200-00007EB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3860800"/>
          <a:ext cx="51816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558800</xdr:colOff>
      <xdr:row>6</xdr:row>
      <xdr:rowOff>63500</xdr:rowOff>
    </xdr:from>
    <xdr:to>
      <xdr:col>8</xdr:col>
      <xdr:colOff>215900</xdr:colOff>
      <xdr:row>27</xdr:row>
      <xdr:rowOff>76200</xdr:rowOff>
    </xdr:to>
    <xdr:pic>
      <xdr:nvPicPr>
        <xdr:cNvPr id="49215" name="Billede 1">
          <a:extLst>
            <a:ext uri="{FF2B5EF4-FFF2-40B4-BE49-F238E27FC236}">
              <a16:creationId xmlns:a16="http://schemas.microsoft.com/office/drawing/2014/main" id="{00000000-0008-0000-4300-00003FC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282700"/>
          <a:ext cx="5435600" cy="427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76200</xdr:colOff>
      <xdr:row>7</xdr:row>
      <xdr:rowOff>177800</xdr:rowOff>
    </xdr:from>
    <xdr:to>
      <xdr:col>7</xdr:col>
      <xdr:colOff>444500</xdr:colOff>
      <xdr:row>21</xdr:row>
      <xdr:rowOff>25400</xdr:rowOff>
    </xdr:to>
    <xdr:pic>
      <xdr:nvPicPr>
        <xdr:cNvPr id="50239" name="Billede 1">
          <a:extLst>
            <a:ext uri="{FF2B5EF4-FFF2-40B4-BE49-F238E27FC236}">
              <a16:creationId xmlns:a16="http://schemas.microsoft.com/office/drawing/2014/main" id="{00000000-0008-0000-4400-00003FC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1700" y="1600200"/>
          <a:ext cx="5321300" cy="269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698500</xdr:colOff>
      <xdr:row>6</xdr:row>
      <xdr:rowOff>12700</xdr:rowOff>
    </xdr:from>
    <xdr:to>
      <xdr:col>8</xdr:col>
      <xdr:colOff>533400</xdr:colOff>
      <xdr:row>23</xdr:row>
      <xdr:rowOff>165100</xdr:rowOff>
    </xdr:to>
    <xdr:pic>
      <xdr:nvPicPr>
        <xdr:cNvPr id="51325" name="Billede 1">
          <a:extLst>
            <a:ext uri="{FF2B5EF4-FFF2-40B4-BE49-F238E27FC236}">
              <a16:creationId xmlns:a16="http://schemas.microsoft.com/office/drawing/2014/main" id="{00000000-0008-0000-4500-00007DC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231900"/>
          <a:ext cx="5613400" cy="360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508000</xdr:colOff>
      <xdr:row>24</xdr:row>
      <xdr:rowOff>177800</xdr:rowOff>
    </xdr:from>
    <xdr:to>
      <xdr:col>8</xdr:col>
      <xdr:colOff>355600</xdr:colOff>
      <xdr:row>46</xdr:row>
      <xdr:rowOff>139700</xdr:rowOff>
    </xdr:to>
    <xdr:pic>
      <xdr:nvPicPr>
        <xdr:cNvPr id="51326" name="Billede 2">
          <a:extLst>
            <a:ext uri="{FF2B5EF4-FFF2-40B4-BE49-F238E27FC236}">
              <a16:creationId xmlns:a16="http://schemas.microsoft.com/office/drawing/2014/main" id="{00000000-0008-0000-4500-00007EC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0" y="5054600"/>
          <a:ext cx="5626100" cy="443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317500</xdr:colOff>
      <xdr:row>4</xdr:row>
      <xdr:rowOff>101600</xdr:rowOff>
    </xdr:from>
    <xdr:to>
      <xdr:col>8</xdr:col>
      <xdr:colOff>50800</xdr:colOff>
      <xdr:row>25</xdr:row>
      <xdr:rowOff>177800</xdr:rowOff>
    </xdr:to>
    <xdr:pic>
      <xdr:nvPicPr>
        <xdr:cNvPr id="52349" name="Billede 1">
          <a:extLst>
            <a:ext uri="{FF2B5EF4-FFF2-40B4-BE49-F238E27FC236}">
              <a16:creationId xmlns:a16="http://schemas.microsoft.com/office/drawing/2014/main" id="{00000000-0008-0000-4600-00007DC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914400"/>
          <a:ext cx="55118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457200</xdr:colOff>
      <xdr:row>25</xdr:row>
      <xdr:rowOff>190500</xdr:rowOff>
    </xdr:from>
    <xdr:to>
      <xdr:col>8</xdr:col>
      <xdr:colOff>203200</xdr:colOff>
      <xdr:row>47</xdr:row>
      <xdr:rowOff>165100</xdr:rowOff>
    </xdr:to>
    <xdr:pic>
      <xdr:nvPicPr>
        <xdr:cNvPr id="52350" name="Billede 2">
          <a:extLst>
            <a:ext uri="{FF2B5EF4-FFF2-40B4-BE49-F238E27FC236}">
              <a16:creationId xmlns:a16="http://schemas.microsoft.com/office/drawing/2014/main" id="{00000000-0008-0000-4600-00007EC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2700" y="5270500"/>
          <a:ext cx="5524500" cy="444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279400</xdr:colOff>
      <xdr:row>8</xdr:row>
      <xdr:rowOff>101600</xdr:rowOff>
    </xdr:from>
    <xdr:to>
      <xdr:col>8</xdr:col>
      <xdr:colOff>63500</xdr:colOff>
      <xdr:row>25</xdr:row>
      <xdr:rowOff>25400</xdr:rowOff>
    </xdr:to>
    <xdr:pic>
      <xdr:nvPicPr>
        <xdr:cNvPr id="53497" name="Billede 1">
          <a:extLst>
            <a:ext uri="{FF2B5EF4-FFF2-40B4-BE49-F238E27FC236}">
              <a16:creationId xmlns:a16="http://schemas.microsoft.com/office/drawing/2014/main" id="{00000000-0008-0000-4700-0000F9D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1727200"/>
          <a:ext cx="5562600" cy="337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342900</xdr:colOff>
      <xdr:row>25</xdr:row>
      <xdr:rowOff>190500</xdr:rowOff>
    </xdr:from>
    <xdr:to>
      <xdr:col>8</xdr:col>
      <xdr:colOff>76200</xdr:colOff>
      <xdr:row>40</xdr:row>
      <xdr:rowOff>63500</xdr:rowOff>
    </xdr:to>
    <xdr:pic>
      <xdr:nvPicPr>
        <xdr:cNvPr id="53498" name="Billede 2">
          <a:extLst>
            <a:ext uri="{FF2B5EF4-FFF2-40B4-BE49-F238E27FC236}">
              <a16:creationId xmlns:a16="http://schemas.microsoft.com/office/drawing/2014/main" id="{00000000-0008-0000-4700-0000FAD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8400" y="5270500"/>
          <a:ext cx="5511800" cy="292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40</xdr:row>
      <xdr:rowOff>127000</xdr:rowOff>
    </xdr:from>
    <xdr:to>
      <xdr:col>8</xdr:col>
      <xdr:colOff>63500</xdr:colOff>
      <xdr:row>57</xdr:row>
      <xdr:rowOff>177800</xdr:rowOff>
    </xdr:to>
    <xdr:pic>
      <xdr:nvPicPr>
        <xdr:cNvPr id="53499" name="Billede 3">
          <a:extLst>
            <a:ext uri="{FF2B5EF4-FFF2-40B4-BE49-F238E27FC236}">
              <a16:creationId xmlns:a16="http://schemas.microsoft.com/office/drawing/2014/main" id="{00000000-0008-0000-4700-0000FBD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6000" y="8255000"/>
          <a:ext cx="5651500"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68</xdr:row>
      <xdr:rowOff>0</xdr:rowOff>
    </xdr:from>
    <xdr:to>
      <xdr:col>22</xdr:col>
      <xdr:colOff>266700</xdr:colOff>
      <xdr:row>74</xdr:row>
      <xdr:rowOff>101600</xdr:rowOff>
    </xdr:to>
    <xdr:pic>
      <xdr:nvPicPr>
        <xdr:cNvPr id="53500" name="Picture 1">
          <a:extLst>
            <a:ext uri="{FF2B5EF4-FFF2-40B4-BE49-F238E27FC236}">
              <a16:creationId xmlns:a16="http://schemas.microsoft.com/office/drawing/2014/main" id="{00000000-0008-0000-4700-0000FCD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255000" y="13817600"/>
          <a:ext cx="10172700" cy="132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368300</xdr:colOff>
      <xdr:row>5</xdr:row>
      <xdr:rowOff>76200</xdr:rowOff>
    </xdr:from>
    <xdr:to>
      <xdr:col>8</xdr:col>
      <xdr:colOff>241300</xdr:colOff>
      <xdr:row>27</xdr:row>
      <xdr:rowOff>12700</xdr:rowOff>
    </xdr:to>
    <xdr:pic>
      <xdr:nvPicPr>
        <xdr:cNvPr id="54397" name="Billede 1">
          <a:extLst>
            <a:ext uri="{FF2B5EF4-FFF2-40B4-BE49-F238E27FC236}">
              <a16:creationId xmlns:a16="http://schemas.microsoft.com/office/drawing/2014/main" id="{00000000-0008-0000-4800-00007DD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3800" y="1092200"/>
          <a:ext cx="5651500" cy="440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774700</xdr:colOff>
      <xdr:row>27</xdr:row>
      <xdr:rowOff>139700</xdr:rowOff>
    </xdr:from>
    <xdr:to>
      <xdr:col>8</xdr:col>
      <xdr:colOff>266700</xdr:colOff>
      <xdr:row>43</xdr:row>
      <xdr:rowOff>165100</xdr:rowOff>
    </xdr:to>
    <xdr:pic>
      <xdr:nvPicPr>
        <xdr:cNvPr id="54398" name="Billede 2">
          <a:extLst>
            <a:ext uri="{FF2B5EF4-FFF2-40B4-BE49-F238E27FC236}">
              <a16:creationId xmlns:a16="http://schemas.microsoft.com/office/drawing/2014/main" id="{00000000-0008-0000-4800-00007ED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0200" y="5626100"/>
          <a:ext cx="5270500" cy="327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11</xdr:col>
      <xdr:colOff>63500</xdr:colOff>
      <xdr:row>30</xdr:row>
      <xdr:rowOff>12700</xdr:rowOff>
    </xdr:from>
    <xdr:to>
      <xdr:col>14</xdr:col>
      <xdr:colOff>165100</xdr:colOff>
      <xdr:row>42</xdr:row>
      <xdr:rowOff>63500</xdr:rowOff>
    </xdr:to>
    <xdr:graphicFrame macro="">
      <xdr:nvGraphicFramePr>
        <xdr:cNvPr id="55483" name="Chart 1">
          <a:extLst>
            <a:ext uri="{FF2B5EF4-FFF2-40B4-BE49-F238E27FC236}">
              <a16:creationId xmlns:a16="http://schemas.microsoft.com/office/drawing/2014/main" id="{00000000-0008-0000-4B00-0000BBD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101600</xdr:colOff>
      <xdr:row>143</xdr:row>
      <xdr:rowOff>12700</xdr:rowOff>
    </xdr:from>
    <xdr:to>
      <xdr:col>18</xdr:col>
      <xdr:colOff>1625600</xdr:colOff>
      <xdr:row>158</xdr:row>
      <xdr:rowOff>25400</xdr:rowOff>
    </xdr:to>
    <xdr:graphicFrame macro="">
      <xdr:nvGraphicFramePr>
        <xdr:cNvPr id="55484" name="Chart 1">
          <a:extLst>
            <a:ext uri="{FF2B5EF4-FFF2-40B4-BE49-F238E27FC236}">
              <a16:creationId xmlns:a16="http://schemas.microsoft.com/office/drawing/2014/main" id="{00000000-0008-0000-4B00-0000BCD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393700</xdr:colOff>
      <xdr:row>142</xdr:row>
      <xdr:rowOff>215900</xdr:rowOff>
    </xdr:from>
    <xdr:to>
      <xdr:col>22</xdr:col>
      <xdr:colOff>1397000</xdr:colOff>
      <xdr:row>158</xdr:row>
      <xdr:rowOff>63500</xdr:rowOff>
    </xdr:to>
    <xdr:graphicFrame macro="">
      <xdr:nvGraphicFramePr>
        <xdr:cNvPr id="55485" name="Chart 2">
          <a:extLst>
            <a:ext uri="{FF2B5EF4-FFF2-40B4-BE49-F238E27FC236}">
              <a16:creationId xmlns:a16="http://schemas.microsoft.com/office/drawing/2014/main" id="{00000000-0008-0000-4B00-0000BDD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330200</xdr:colOff>
      <xdr:row>6</xdr:row>
      <xdr:rowOff>0</xdr:rowOff>
    </xdr:from>
    <xdr:to>
      <xdr:col>8</xdr:col>
      <xdr:colOff>127000</xdr:colOff>
      <xdr:row>28</xdr:row>
      <xdr:rowOff>101600</xdr:rowOff>
    </xdr:to>
    <xdr:pic>
      <xdr:nvPicPr>
        <xdr:cNvPr id="56693" name="Billede 1">
          <a:extLst>
            <a:ext uri="{FF2B5EF4-FFF2-40B4-BE49-F238E27FC236}">
              <a16:creationId xmlns:a16="http://schemas.microsoft.com/office/drawing/2014/main" id="{00000000-0008-0000-4F00-000075DD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1200" y="1219200"/>
          <a:ext cx="4749800" cy="457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787400</xdr:colOff>
      <xdr:row>29</xdr:row>
      <xdr:rowOff>63500</xdr:rowOff>
    </xdr:from>
    <xdr:to>
      <xdr:col>9</xdr:col>
      <xdr:colOff>38100</xdr:colOff>
      <xdr:row>52</xdr:row>
      <xdr:rowOff>177800</xdr:rowOff>
    </xdr:to>
    <xdr:pic>
      <xdr:nvPicPr>
        <xdr:cNvPr id="56694" name="Billede 2">
          <a:extLst>
            <a:ext uri="{FF2B5EF4-FFF2-40B4-BE49-F238E27FC236}">
              <a16:creationId xmlns:a16="http://schemas.microsoft.com/office/drawing/2014/main" id="{00000000-0008-0000-4F00-000076DD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2900" y="5956300"/>
          <a:ext cx="5854700" cy="478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482600</xdr:colOff>
      <xdr:row>54</xdr:row>
      <xdr:rowOff>139700</xdr:rowOff>
    </xdr:from>
    <xdr:to>
      <xdr:col>8</xdr:col>
      <xdr:colOff>520700</xdr:colOff>
      <xdr:row>78</xdr:row>
      <xdr:rowOff>25400</xdr:rowOff>
    </xdr:to>
    <xdr:pic>
      <xdr:nvPicPr>
        <xdr:cNvPr id="56695" name="Billede 3">
          <a:extLst>
            <a:ext uri="{FF2B5EF4-FFF2-40B4-BE49-F238E27FC236}">
              <a16:creationId xmlns:a16="http://schemas.microsoft.com/office/drawing/2014/main" id="{00000000-0008-0000-4F00-000077DD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100" y="11112500"/>
          <a:ext cx="5816600" cy="476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469900</xdr:colOff>
      <xdr:row>78</xdr:row>
      <xdr:rowOff>76200</xdr:rowOff>
    </xdr:from>
    <xdr:to>
      <xdr:col>8</xdr:col>
      <xdr:colOff>673100</xdr:colOff>
      <xdr:row>102</xdr:row>
      <xdr:rowOff>0</xdr:rowOff>
    </xdr:to>
    <xdr:pic>
      <xdr:nvPicPr>
        <xdr:cNvPr id="56696" name="Billede 4">
          <a:extLst>
            <a:ext uri="{FF2B5EF4-FFF2-40B4-BE49-F238E27FC236}">
              <a16:creationId xmlns:a16="http://schemas.microsoft.com/office/drawing/2014/main" id="{00000000-0008-0000-4F00-000078DD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15925800"/>
          <a:ext cx="5981700" cy="480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609600</xdr:colOff>
      <xdr:row>101</xdr:row>
      <xdr:rowOff>139700</xdr:rowOff>
    </xdr:from>
    <xdr:to>
      <xdr:col>9</xdr:col>
      <xdr:colOff>152400</xdr:colOff>
      <xdr:row>126</xdr:row>
      <xdr:rowOff>0</xdr:rowOff>
    </xdr:to>
    <xdr:pic>
      <xdr:nvPicPr>
        <xdr:cNvPr id="56697" name="Billede 5">
          <a:extLst>
            <a:ext uri="{FF2B5EF4-FFF2-40B4-BE49-F238E27FC236}">
              <a16:creationId xmlns:a16="http://schemas.microsoft.com/office/drawing/2014/main" id="{00000000-0008-0000-4F00-000079DD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35100" y="20662900"/>
          <a:ext cx="6146800" cy="494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660400</xdr:colOff>
      <xdr:row>131</xdr:row>
      <xdr:rowOff>0</xdr:rowOff>
    </xdr:from>
    <xdr:to>
      <xdr:col>8</xdr:col>
      <xdr:colOff>584200</xdr:colOff>
      <xdr:row>146</xdr:row>
      <xdr:rowOff>25400</xdr:rowOff>
    </xdr:to>
    <xdr:pic>
      <xdr:nvPicPr>
        <xdr:cNvPr id="56698" name="Billede 6">
          <a:extLst>
            <a:ext uri="{FF2B5EF4-FFF2-40B4-BE49-F238E27FC236}">
              <a16:creationId xmlns:a16="http://schemas.microsoft.com/office/drawing/2014/main" id="{00000000-0008-0000-4F00-00007ADD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85900" y="26619200"/>
          <a:ext cx="5702300" cy="307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622300</xdr:colOff>
      <xdr:row>7</xdr:row>
      <xdr:rowOff>25400</xdr:rowOff>
    </xdr:from>
    <xdr:to>
      <xdr:col>7</xdr:col>
      <xdr:colOff>812800</xdr:colOff>
      <xdr:row>31</xdr:row>
      <xdr:rowOff>139700</xdr:rowOff>
    </xdr:to>
    <xdr:pic>
      <xdr:nvPicPr>
        <xdr:cNvPr id="57531" name="Billede 1">
          <a:extLst>
            <a:ext uri="{FF2B5EF4-FFF2-40B4-BE49-F238E27FC236}">
              <a16:creationId xmlns:a16="http://schemas.microsoft.com/office/drawing/2014/main" id="{00000000-0008-0000-5000-0000BBE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2300" y="1447800"/>
          <a:ext cx="5969000" cy="499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139700</xdr:colOff>
      <xdr:row>33</xdr:row>
      <xdr:rowOff>25400</xdr:rowOff>
    </xdr:from>
    <xdr:to>
      <xdr:col>8</xdr:col>
      <xdr:colOff>215900</xdr:colOff>
      <xdr:row>54</xdr:row>
      <xdr:rowOff>101600</xdr:rowOff>
    </xdr:to>
    <xdr:pic>
      <xdr:nvPicPr>
        <xdr:cNvPr id="57532" name="Billede 2">
          <a:extLst>
            <a:ext uri="{FF2B5EF4-FFF2-40B4-BE49-F238E27FC236}">
              <a16:creationId xmlns:a16="http://schemas.microsoft.com/office/drawing/2014/main" id="{00000000-0008-0000-5000-0000BCE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6731000"/>
          <a:ext cx="58547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381000</xdr:colOff>
      <xdr:row>56</xdr:row>
      <xdr:rowOff>0</xdr:rowOff>
    </xdr:from>
    <xdr:to>
      <xdr:col>8</xdr:col>
      <xdr:colOff>596900</xdr:colOff>
      <xdr:row>80</xdr:row>
      <xdr:rowOff>76200</xdr:rowOff>
    </xdr:to>
    <xdr:pic>
      <xdr:nvPicPr>
        <xdr:cNvPr id="57533" name="Billede 3">
          <a:extLst>
            <a:ext uri="{FF2B5EF4-FFF2-40B4-BE49-F238E27FC236}">
              <a16:creationId xmlns:a16="http://schemas.microsoft.com/office/drawing/2014/main" id="{00000000-0008-0000-5000-0000BDE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6500" y="11379200"/>
          <a:ext cx="5994400" cy="495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266700</xdr:colOff>
      <xdr:row>8</xdr:row>
      <xdr:rowOff>139700</xdr:rowOff>
    </xdr:from>
    <xdr:to>
      <xdr:col>8</xdr:col>
      <xdr:colOff>0</xdr:colOff>
      <xdr:row>26</xdr:row>
      <xdr:rowOff>25400</xdr:rowOff>
    </xdr:to>
    <xdr:pic>
      <xdr:nvPicPr>
        <xdr:cNvPr id="58493" name="Billede 1">
          <a:extLst>
            <a:ext uri="{FF2B5EF4-FFF2-40B4-BE49-F238E27FC236}">
              <a16:creationId xmlns:a16="http://schemas.microsoft.com/office/drawing/2014/main" id="{00000000-0008-0000-5100-00007DE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2200" y="1765300"/>
          <a:ext cx="5511800" cy="3543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647700</xdr:colOff>
      <xdr:row>29</xdr:row>
      <xdr:rowOff>139700</xdr:rowOff>
    </xdr:from>
    <xdr:to>
      <xdr:col>8</xdr:col>
      <xdr:colOff>711200</xdr:colOff>
      <xdr:row>50</xdr:row>
      <xdr:rowOff>0</xdr:rowOff>
    </xdr:to>
    <xdr:pic>
      <xdr:nvPicPr>
        <xdr:cNvPr id="58494" name="Billede 2">
          <a:extLst>
            <a:ext uri="{FF2B5EF4-FFF2-40B4-BE49-F238E27FC236}">
              <a16:creationId xmlns:a16="http://schemas.microsoft.com/office/drawing/2014/main" id="{00000000-0008-0000-5100-00007EE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3200" y="6032500"/>
          <a:ext cx="5842000" cy="412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165100</xdr:colOff>
      <xdr:row>6</xdr:row>
      <xdr:rowOff>165100</xdr:rowOff>
    </xdr:from>
    <xdr:to>
      <xdr:col>8</xdr:col>
      <xdr:colOff>444500</xdr:colOff>
      <xdr:row>28</xdr:row>
      <xdr:rowOff>50800</xdr:rowOff>
    </xdr:to>
    <xdr:pic>
      <xdr:nvPicPr>
        <xdr:cNvPr id="60385" name="Billede 1">
          <a:extLst>
            <a:ext uri="{FF2B5EF4-FFF2-40B4-BE49-F238E27FC236}">
              <a16:creationId xmlns:a16="http://schemas.microsoft.com/office/drawing/2014/main" id="{00000000-0008-0000-5200-0000E1EB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1384300"/>
          <a:ext cx="6057900" cy="435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29</xdr:row>
      <xdr:rowOff>101600</xdr:rowOff>
    </xdr:from>
    <xdr:to>
      <xdr:col>8</xdr:col>
      <xdr:colOff>469900</xdr:colOff>
      <xdr:row>50</xdr:row>
      <xdr:rowOff>101600</xdr:rowOff>
    </xdr:to>
    <xdr:pic>
      <xdr:nvPicPr>
        <xdr:cNvPr id="60386" name="Billede 2">
          <a:extLst>
            <a:ext uri="{FF2B5EF4-FFF2-40B4-BE49-F238E27FC236}">
              <a16:creationId xmlns:a16="http://schemas.microsoft.com/office/drawing/2014/main" id="{00000000-0008-0000-5200-0000E2EB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7900" y="5981700"/>
          <a:ext cx="6096000" cy="426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317500</xdr:colOff>
      <xdr:row>54</xdr:row>
      <xdr:rowOff>12700</xdr:rowOff>
    </xdr:from>
    <xdr:to>
      <xdr:col>8</xdr:col>
      <xdr:colOff>254000</xdr:colOff>
      <xdr:row>66</xdr:row>
      <xdr:rowOff>38100</xdr:rowOff>
    </xdr:to>
    <xdr:pic>
      <xdr:nvPicPr>
        <xdr:cNvPr id="60387" name="Billede 3">
          <a:extLst>
            <a:ext uri="{FF2B5EF4-FFF2-40B4-BE49-F238E27FC236}">
              <a16:creationId xmlns:a16="http://schemas.microsoft.com/office/drawing/2014/main" id="{00000000-0008-0000-5200-0000E3EB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000" y="11506200"/>
          <a:ext cx="5715000" cy="410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77</xdr:row>
      <xdr:rowOff>38100</xdr:rowOff>
    </xdr:from>
    <xdr:to>
      <xdr:col>8</xdr:col>
      <xdr:colOff>431800</xdr:colOff>
      <xdr:row>94</xdr:row>
      <xdr:rowOff>139700</xdr:rowOff>
    </xdr:to>
    <xdr:pic>
      <xdr:nvPicPr>
        <xdr:cNvPr id="60388" name="Billede 4">
          <a:extLst>
            <a:ext uri="{FF2B5EF4-FFF2-40B4-BE49-F238E27FC236}">
              <a16:creationId xmlns:a16="http://schemas.microsoft.com/office/drawing/2014/main" id="{00000000-0008-0000-5200-0000E4EB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4100" y="17843500"/>
          <a:ext cx="5981700" cy="355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342900</xdr:colOff>
      <xdr:row>94</xdr:row>
      <xdr:rowOff>76200</xdr:rowOff>
    </xdr:from>
    <xdr:to>
      <xdr:col>8</xdr:col>
      <xdr:colOff>152400</xdr:colOff>
      <xdr:row>108</xdr:row>
      <xdr:rowOff>101600</xdr:rowOff>
    </xdr:to>
    <xdr:pic>
      <xdr:nvPicPr>
        <xdr:cNvPr id="60389" name="Billede 5">
          <a:extLst>
            <a:ext uri="{FF2B5EF4-FFF2-40B4-BE49-F238E27FC236}">
              <a16:creationId xmlns:a16="http://schemas.microsoft.com/office/drawing/2014/main" id="{00000000-0008-0000-5200-0000E5EB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68400" y="21336000"/>
          <a:ext cx="5588000" cy="287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381000</xdr:colOff>
      <xdr:row>108</xdr:row>
      <xdr:rowOff>63500</xdr:rowOff>
    </xdr:from>
    <xdr:to>
      <xdr:col>8</xdr:col>
      <xdr:colOff>444500</xdr:colOff>
      <xdr:row>130</xdr:row>
      <xdr:rowOff>63500</xdr:rowOff>
    </xdr:to>
    <xdr:pic>
      <xdr:nvPicPr>
        <xdr:cNvPr id="60390" name="Billede 6">
          <a:extLst>
            <a:ext uri="{FF2B5EF4-FFF2-40B4-BE49-F238E27FC236}">
              <a16:creationId xmlns:a16="http://schemas.microsoft.com/office/drawing/2014/main" id="{00000000-0008-0000-5200-0000E6EB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06500" y="24168100"/>
          <a:ext cx="5842000" cy="447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520700</xdr:colOff>
      <xdr:row>131</xdr:row>
      <xdr:rowOff>127000</xdr:rowOff>
    </xdr:from>
    <xdr:to>
      <xdr:col>8</xdr:col>
      <xdr:colOff>165100</xdr:colOff>
      <xdr:row>148</xdr:row>
      <xdr:rowOff>139700</xdr:rowOff>
    </xdr:to>
    <xdr:pic>
      <xdr:nvPicPr>
        <xdr:cNvPr id="60391" name="Billede 7">
          <a:extLst>
            <a:ext uri="{FF2B5EF4-FFF2-40B4-BE49-F238E27FC236}">
              <a16:creationId xmlns:a16="http://schemas.microsoft.com/office/drawing/2014/main" id="{00000000-0008-0000-5200-0000E7EB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6200" y="28905200"/>
          <a:ext cx="54229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495300</xdr:colOff>
      <xdr:row>147</xdr:row>
      <xdr:rowOff>12700</xdr:rowOff>
    </xdr:from>
    <xdr:to>
      <xdr:col>8</xdr:col>
      <xdr:colOff>228600</xdr:colOff>
      <xdr:row>160</xdr:row>
      <xdr:rowOff>0</xdr:rowOff>
    </xdr:to>
    <xdr:pic>
      <xdr:nvPicPr>
        <xdr:cNvPr id="60392" name="Billede 8">
          <a:extLst>
            <a:ext uri="{FF2B5EF4-FFF2-40B4-BE49-F238E27FC236}">
              <a16:creationId xmlns:a16="http://schemas.microsoft.com/office/drawing/2014/main" id="{00000000-0008-0000-5200-0000E8EB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20800" y="32042100"/>
          <a:ext cx="5511800"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444500</xdr:colOff>
      <xdr:row>158</xdr:row>
      <xdr:rowOff>101600</xdr:rowOff>
    </xdr:from>
    <xdr:to>
      <xdr:col>8</xdr:col>
      <xdr:colOff>317500</xdr:colOff>
      <xdr:row>179</xdr:row>
      <xdr:rowOff>177800</xdr:rowOff>
    </xdr:to>
    <xdr:pic>
      <xdr:nvPicPr>
        <xdr:cNvPr id="60393" name="Billede 9">
          <a:extLst>
            <a:ext uri="{FF2B5EF4-FFF2-40B4-BE49-F238E27FC236}">
              <a16:creationId xmlns:a16="http://schemas.microsoft.com/office/drawing/2014/main" id="{00000000-0008-0000-5200-0000E9EB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00" y="34366200"/>
          <a:ext cx="56515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165100</xdr:colOff>
      <xdr:row>180</xdr:row>
      <xdr:rowOff>12700</xdr:rowOff>
    </xdr:from>
    <xdr:to>
      <xdr:col>8</xdr:col>
      <xdr:colOff>152400</xdr:colOff>
      <xdr:row>202</xdr:row>
      <xdr:rowOff>38100</xdr:rowOff>
    </xdr:to>
    <xdr:pic>
      <xdr:nvPicPr>
        <xdr:cNvPr id="60394" name="Billede 10">
          <a:extLst>
            <a:ext uri="{FF2B5EF4-FFF2-40B4-BE49-F238E27FC236}">
              <a16:creationId xmlns:a16="http://schemas.microsoft.com/office/drawing/2014/main" id="{00000000-0008-0000-5200-0000EAEB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90600" y="38747700"/>
          <a:ext cx="5765800" cy="449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469900</xdr:colOff>
      <xdr:row>204</xdr:row>
      <xdr:rowOff>127000</xdr:rowOff>
    </xdr:from>
    <xdr:to>
      <xdr:col>8</xdr:col>
      <xdr:colOff>330200</xdr:colOff>
      <xdr:row>208</xdr:row>
      <xdr:rowOff>101600</xdr:rowOff>
    </xdr:to>
    <xdr:pic>
      <xdr:nvPicPr>
        <xdr:cNvPr id="60395" name="Billede 11">
          <a:extLst>
            <a:ext uri="{FF2B5EF4-FFF2-40B4-BE49-F238E27FC236}">
              <a16:creationId xmlns:a16="http://schemas.microsoft.com/office/drawing/2014/main" id="{00000000-0008-0000-5200-0000EBEB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b="65089"/>
        <a:stretch>
          <a:fillRect/>
        </a:stretch>
      </xdr:blipFill>
      <xdr:spPr bwMode="auto">
        <a:xfrm>
          <a:off x="1295400" y="43738800"/>
          <a:ext cx="5638800" cy="78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469900</xdr:colOff>
      <xdr:row>209</xdr:row>
      <xdr:rowOff>101600</xdr:rowOff>
    </xdr:from>
    <xdr:to>
      <xdr:col>8</xdr:col>
      <xdr:colOff>508000</xdr:colOff>
      <xdr:row>221</xdr:row>
      <xdr:rowOff>101600</xdr:rowOff>
    </xdr:to>
    <xdr:pic>
      <xdr:nvPicPr>
        <xdr:cNvPr id="60396" name="Billede 12">
          <a:extLst>
            <a:ext uri="{FF2B5EF4-FFF2-40B4-BE49-F238E27FC236}">
              <a16:creationId xmlns:a16="http://schemas.microsoft.com/office/drawing/2014/main" id="{00000000-0008-0000-5200-0000ECEB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95400" y="44729400"/>
          <a:ext cx="5816600"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660400</xdr:colOff>
      <xdr:row>222</xdr:row>
      <xdr:rowOff>63500</xdr:rowOff>
    </xdr:from>
    <xdr:to>
      <xdr:col>9</xdr:col>
      <xdr:colOff>88900</xdr:colOff>
      <xdr:row>246</xdr:row>
      <xdr:rowOff>127000</xdr:rowOff>
    </xdr:to>
    <xdr:pic>
      <xdr:nvPicPr>
        <xdr:cNvPr id="60397" name="Billede 13">
          <a:extLst>
            <a:ext uri="{FF2B5EF4-FFF2-40B4-BE49-F238E27FC236}">
              <a16:creationId xmlns:a16="http://schemas.microsoft.com/office/drawing/2014/main" id="{00000000-0008-0000-5200-0000EDEB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85900" y="47332900"/>
          <a:ext cx="6032500" cy="494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25400</xdr:colOff>
      <xdr:row>246</xdr:row>
      <xdr:rowOff>177800</xdr:rowOff>
    </xdr:from>
    <xdr:to>
      <xdr:col>9</xdr:col>
      <xdr:colOff>139700</xdr:colOff>
      <xdr:row>270</xdr:row>
      <xdr:rowOff>139700</xdr:rowOff>
    </xdr:to>
    <xdr:pic>
      <xdr:nvPicPr>
        <xdr:cNvPr id="60398" name="Billede 14">
          <a:extLst>
            <a:ext uri="{FF2B5EF4-FFF2-40B4-BE49-F238E27FC236}">
              <a16:creationId xmlns:a16="http://schemas.microsoft.com/office/drawing/2014/main" id="{00000000-0008-0000-5200-0000EEEB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676400" y="52324000"/>
          <a:ext cx="5892800" cy="483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749300</xdr:colOff>
      <xdr:row>271</xdr:row>
      <xdr:rowOff>0</xdr:rowOff>
    </xdr:from>
    <xdr:to>
      <xdr:col>9</xdr:col>
      <xdr:colOff>63500</xdr:colOff>
      <xdr:row>294</xdr:row>
      <xdr:rowOff>139700</xdr:rowOff>
    </xdr:to>
    <xdr:pic>
      <xdr:nvPicPr>
        <xdr:cNvPr id="60399" name="Billede 15">
          <a:extLst>
            <a:ext uri="{FF2B5EF4-FFF2-40B4-BE49-F238E27FC236}">
              <a16:creationId xmlns:a16="http://schemas.microsoft.com/office/drawing/2014/main" id="{00000000-0008-0000-5200-0000EFEB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574800" y="57226200"/>
          <a:ext cx="5918200" cy="4813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647700</xdr:colOff>
      <xdr:row>295</xdr:row>
      <xdr:rowOff>127000</xdr:rowOff>
    </xdr:from>
    <xdr:to>
      <xdr:col>9</xdr:col>
      <xdr:colOff>228600</xdr:colOff>
      <xdr:row>317</xdr:row>
      <xdr:rowOff>165100</xdr:rowOff>
    </xdr:to>
    <xdr:pic>
      <xdr:nvPicPr>
        <xdr:cNvPr id="60400" name="Billede 16">
          <a:extLst>
            <a:ext uri="{FF2B5EF4-FFF2-40B4-BE49-F238E27FC236}">
              <a16:creationId xmlns:a16="http://schemas.microsoft.com/office/drawing/2014/main" id="{00000000-0008-0000-5200-0000F0EB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73200" y="62230000"/>
          <a:ext cx="6184900" cy="450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5</xdr:col>
      <xdr:colOff>800100</xdr:colOff>
      <xdr:row>40</xdr:row>
      <xdr:rowOff>12700</xdr:rowOff>
    </xdr:from>
    <xdr:to>
      <xdr:col>11</xdr:col>
      <xdr:colOff>76200</xdr:colOff>
      <xdr:row>52</xdr:row>
      <xdr:rowOff>12700</xdr:rowOff>
    </xdr:to>
    <xdr:graphicFrame macro="">
      <xdr:nvGraphicFramePr>
        <xdr:cNvPr id="60484" name="Diagram 1">
          <a:extLst>
            <a:ext uri="{FF2B5EF4-FFF2-40B4-BE49-F238E27FC236}">
              <a16:creationId xmlns:a16="http://schemas.microsoft.com/office/drawing/2014/main" id="{00000000-0008-0000-5300-000044E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3</xdr:col>
      <xdr:colOff>76200</xdr:colOff>
      <xdr:row>6</xdr:row>
      <xdr:rowOff>57150</xdr:rowOff>
    </xdr:from>
    <xdr:to>
      <xdr:col>13</xdr:col>
      <xdr:colOff>200025</xdr:colOff>
      <xdr:row>12</xdr:row>
      <xdr:rowOff>171520</xdr:rowOff>
    </xdr:to>
    <xdr:sp macro="" textlink="">
      <xdr:nvSpPr>
        <xdr:cNvPr id="2" name="Tekstboks 1">
          <a:extLst>
            <a:ext uri="{FF2B5EF4-FFF2-40B4-BE49-F238E27FC236}">
              <a16:creationId xmlns:a16="http://schemas.microsoft.com/office/drawing/2014/main" id="{00000000-0008-0000-5400-000002000000}"/>
            </a:ext>
          </a:extLst>
        </xdr:cNvPr>
        <xdr:cNvSpPr txBox="1"/>
      </xdr:nvSpPr>
      <xdr:spPr>
        <a:xfrm>
          <a:off x="76200" y="222250"/>
          <a:ext cx="7921625"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a-DK" sz="1100"/>
            <a:t>Virksomheden WellCare er en mindre dansk import virksomhed, der importerer diverse produktermønster </a:t>
          </a:r>
          <a:r>
            <a:rPr lang="da-DK" sz="1100">
              <a:solidFill>
                <a:schemeClr val="dk1"/>
              </a:solidFill>
              <a:latin typeface="+mn-lt"/>
              <a:ea typeface="+mn-ea"/>
              <a:cs typeface="+mn-cs"/>
            </a:rPr>
            <a:t>til personlig pleje, herunder forskellige indonesiske cremer. Produkterne afsættes primært til</a:t>
          </a:r>
          <a:endParaRPr lang="da-DK"/>
        </a:p>
        <a:p>
          <a:r>
            <a:rPr lang="da-DK" sz="1100">
              <a:solidFill>
                <a:schemeClr val="dk1"/>
              </a:solidFill>
              <a:latin typeface="+mn-lt"/>
              <a:ea typeface="+mn-ea"/>
              <a:cs typeface="+mn-cs"/>
            </a:rPr>
            <a:t>helseforretninger i Københavnsområdet. Ejeren af virksomheden har længe tænkt over, hvordan</a:t>
          </a:r>
          <a:endParaRPr lang="da-DK"/>
        </a:p>
        <a:p>
          <a:r>
            <a:rPr lang="da-DK" sz="1100">
              <a:solidFill>
                <a:schemeClr val="dk1"/>
              </a:solidFill>
              <a:latin typeface="+mn-lt"/>
              <a:ea typeface="+mn-ea"/>
              <a:cs typeface="+mn-cs"/>
            </a:rPr>
            <a:t>kunderne reagerer på prisændringer, hvorfor han har lavet en test med en af de indonesiske cremer,</a:t>
          </a:r>
          <a:endParaRPr lang="da-DK"/>
        </a:p>
        <a:p>
          <a:r>
            <a:rPr lang="da-DK" sz="1100">
              <a:solidFill>
                <a:schemeClr val="dk1"/>
              </a:solidFill>
              <a:latin typeface="+mn-lt"/>
              <a:ea typeface="+mn-ea"/>
              <a:cs typeface="+mn-cs"/>
            </a:rPr>
            <a:t>der er velindført på markedet og velkendt af de mulige brugere. For denne creme viste sig følgende mønster</a:t>
          </a:r>
          <a:r>
            <a:rPr lang="da-DK" sz="1100"/>
            <a:t>. (Alle tal er eksl. moms og priser til helseforretningerne, der selv lægger yderlige tillæg op til salgsprisen):</a:t>
          </a:r>
        </a:p>
      </xdr:txBody>
    </xdr:sp>
    <xdr:clientData/>
  </xdr:twoCellAnchor>
  <xdr:twoCellAnchor>
    <xdr:from>
      <xdr:col>3</xdr:col>
      <xdr:colOff>76201</xdr:colOff>
      <xdr:row>13</xdr:row>
      <xdr:rowOff>66676</xdr:rowOff>
    </xdr:from>
    <xdr:to>
      <xdr:col>13</xdr:col>
      <xdr:colOff>158761</xdr:colOff>
      <xdr:row>16</xdr:row>
      <xdr:rowOff>123825</xdr:rowOff>
    </xdr:to>
    <xdr:sp macro="" textlink="">
      <xdr:nvSpPr>
        <xdr:cNvPr id="3" name="Tekstboks 2">
          <a:extLst>
            <a:ext uri="{FF2B5EF4-FFF2-40B4-BE49-F238E27FC236}">
              <a16:creationId xmlns:a16="http://schemas.microsoft.com/office/drawing/2014/main" id="{00000000-0008-0000-5400-000003000000}"/>
            </a:ext>
          </a:extLst>
        </xdr:cNvPr>
        <xdr:cNvSpPr txBox="1"/>
      </xdr:nvSpPr>
      <xdr:spPr>
        <a:xfrm>
          <a:off x="76201" y="1387476"/>
          <a:ext cx="7893050" cy="542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a-DK" sz="1100" baseline="0">
              <a:solidFill>
                <a:schemeClr val="dk1"/>
              </a:solidFill>
              <a:latin typeface="+mn-lt"/>
              <a:ea typeface="+mn-ea"/>
              <a:cs typeface="+mn-cs"/>
            </a:rPr>
            <a:t>Ved en pris på 100 kr. pr. creme kan virksomheden sælge 50 stk. Hvis prisen sættes 10 % op fra 100 til 110 kr. pr. creme falder afsætningen med 20 %. Endvidere har ejeren bemærket, at efterspørgslen efter cremen ændres lineært ved prisændringer, også over og under de opgivne grænser på hhv. 110 og 100 kr.</a:t>
          </a:r>
          <a:endParaRPr lang="da-DK" sz="1100"/>
        </a:p>
      </xdr:txBody>
    </xdr:sp>
    <xdr:clientData/>
  </xdr:twoCellAnchor>
  <xdr:twoCellAnchor>
    <xdr:from>
      <xdr:col>6</xdr:col>
      <xdr:colOff>673100</xdr:colOff>
      <xdr:row>27</xdr:row>
      <xdr:rowOff>139700</xdr:rowOff>
    </xdr:from>
    <xdr:to>
      <xdr:col>12</xdr:col>
      <xdr:colOff>596900</xdr:colOff>
      <xdr:row>44</xdr:row>
      <xdr:rowOff>63500</xdr:rowOff>
    </xdr:to>
    <xdr:graphicFrame macro="">
      <xdr:nvGraphicFramePr>
        <xdr:cNvPr id="61815" name="Diagram 3">
          <a:extLst>
            <a:ext uri="{FF2B5EF4-FFF2-40B4-BE49-F238E27FC236}">
              <a16:creationId xmlns:a16="http://schemas.microsoft.com/office/drawing/2014/main" id="{00000000-0008-0000-5400-000077F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51</xdr:row>
      <xdr:rowOff>139700</xdr:rowOff>
    </xdr:from>
    <xdr:to>
      <xdr:col>15</xdr:col>
      <xdr:colOff>114300</xdr:colOff>
      <xdr:row>68</xdr:row>
      <xdr:rowOff>76200</xdr:rowOff>
    </xdr:to>
    <xdr:graphicFrame macro="">
      <xdr:nvGraphicFramePr>
        <xdr:cNvPr id="61816" name="Diagram 4">
          <a:extLst>
            <a:ext uri="{FF2B5EF4-FFF2-40B4-BE49-F238E27FC236}">
              <a16:creationId xmlns:a16="http://schemas.microsoft.com/office/drawing/2014/main" id="{00000000-0008-0000-5400-000078F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444500</xdr:colOff>
      <xdr:row>76</xdr:row>
      <xdr:rowOff>12700</xdr:rowOff>
    </xdr:from>
    <xdr:to>
      <xdr:col>16</xdr:col>
      <xdr:colOff>368300</xdr:colOff>
      <xdr:row>92</xdr:row>
      <xdr:rowOff>127000</xdr:rowOff>
    </xdr:to>
    <xdr:graphicFrame macro="">
      <xdr:nvGraphicFramePr>
        <xdr:cNvPr id="61817" name="Diagram 5">
          <a:extLst>
            <a:ext uri="{FF2B5EF4-FFF2-40B4-BE49-F238E27FC236}">
              <a16:creationId xmlns:a16="http://schemas.microsoft.com/office/drawing/2014/main" id="{00000000-0008-0000-5400-000079F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241300</xdr:colOff>
      <xdr:row>97</xdr:row>
      <xdr:rowOff>76200</xdr:rowOff>
    </xdr:from>
    <xdr:to>
      <xdr:col>18</xdr:col>
      <xdr:colOff>165100</xdr:colOff>
      <xdr:row>114</xdr:row>
      <xdr:rowOff>12700</xdr:rowOff>
    </xdr:to>
    <xdr:graphicFrame macro="">
      <xdr:nvGraphicFramePr>
        <xdr:cNvPr id="61818" name="Diagram 6">
          <a:extLst>
            <a:ext uri="{FF2B5EF4-FFF2-40B4-BE49-F238E27FC236}">
              <a16:creationId xmlns:a16="http://schemas.microsoft.com/office/drawing/2014/main" id="{00000000-0008-0000-5400-00007AF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812800</xdr:colOff>
      <xdr:row>5</xdr:row>
      <xdr:rowOff>12700</xdr:rowOff>
    </xdr:from>
    <xdr:to>
      <xdr:col>8</xdr:col>
      <xdr:colOff>622300</xdr:colOff>
      <xdr:row>11</xdr:row>
      <xdr:rowOff>63500</xdr:rowOff>
    </xdr:to>
    <xdr:pic>
      <xdr:nvPicPr>
        <xdr:cNvPr id="62589" name="Picture 1" descr="clip_image001.png">
          <a:extLst>
            <a:ext uri="{FF2B5EF4-FFF2-40B4-BE49-F238E27FC236}">
              <a16:creationId xmlns:a16="http://schemas.microsoft.com/office/drawing/2014/main" id="{00000000-0008-0000-5500-00007DF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2800" y="1028700"/>
          <a:ext cx="6413500" cy="127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26</xdr:row>
      <xdr:rowOff>0</xdr:rowOff>
    </xdr:from>
    <xdr:to>
      <xdr:col>13</xdr:col>
      <xdr:colOff>381000</xdr:colOff>
      <xdr:row>43</xdr:row>
      <xdr:rowOff>165100</xdr:rowOff>
    </xdr:to>
    <xdr:pic>
      <xdr:nvPicPr>
        <xdr:cNvPr id="62590" name="Picture 2" descr="clip_image002.png">
          <a:extLst>
            <a:ext uri="{FF2B5EF4-FFF2-40B4-BE49-F238E27FC236}">
              <a16:creationId xmlns:a16="http://schemas.microsoft.com/office/drawing/2014/main" id="{00000000-0008-0000-5500-00007EF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04000" y="5283200"/>
          <a:ext cx="4508500" cy="3619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6</xdr:col>
      <xdr:colOff>444500</xdr:colOff>
      <xdr:row>46</xdr:row>
      <xdr:rowOff>203200</xdr:rowOff>
    </xdr:from>
    <xdr:to>
      <xdr:col>11</xdr:col>
      <xdr:colOff>177800</xdr:colOff>
      <xdr:row>58</xdr:row>
      <xdr:rowOff>203200</xdr:rowOff>
    </xdr:to>
    <xdr:graphicFrame macro="">
      <xdr:nvGraphicFramePr>
        <xdr:cNvPr id="63674" name="Diagram 1">
          <a:extLst>
            <a:ext uri="{FF2B5EF4-FFF2-40B4-BE49-F238E27FC236}">
              <a16:creationId xmlns:a16="http://schemas.microsoft.com/office/drawing/2014/main" id="{00000000-0008-0000-5900-0000BAF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73</xdr:row>
      <xdr:rowOff>0</xdr:rowOff>
    </xdr:from>
    <xdr:to>
      <xdr:col>1</xdr:col>
      <xdr:colOff>647700</xdr:colOff>
      <xdr:row>73</xdr:row>
      <xdr:rowOff>190500</xdr:rowOff>
    </xdr:to>
    <xdr:pic>
      <xdr:nvPicPr>
        <xdr:cNvPr id="63675" name="Picture 29">
          <a:extLst>
            <a:ext uri="{FF2B5EF4-FFF2-40B4-BE49-F238E27FC236}">
              <a16:creationId xmlns:a16="http://schemas.microsoft.com/office/drawing/2014/main" id="{00000000-0008-0000-5900-0000BBF8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4833600"/>
          <a:ext cx="1473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75</xdr:row>
      <xdr:rowOff>0</xdr:rowOff>
    </xdr:from>
    <xdr:to>
      <xdr:col>2</xdr:col>
      <xdr:colOff>711200</xdr:colOff>
      <xdr:row>75</xdr:row>
      <xdr:rowOff>190500</xdr:rowOff>
    </xdr:to>
    <xdr:pic>
      <xdr:nvPicPr>
        <xdr:cNvPr id="63676" name="Picture 31">
          <a:extLst>
            <a:ext uri="{FF2B5EF4-FFF2-40B4-BE49-F238E27FC236}">
              <a16:creationId xmlns:a16="http://schemas.microsoft.com/office/drawing/2014/main" id="{00000000-0008-0000-5900-0000BCF8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0" y="15240000"/>
          <a:ext cx="2362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317500</xdr:colOff>
      <xdr:row>74</xdr:row>
      <xdr:rowOff>190500</xdr:rowOff>
    </xdr:from>
    <xdr:to>
      <xdr:col>12</xdr:col>
      <xdr:colOff>749300</xdr:colOff>
      <xdr:row>88</xdr:row>
      <xdr:rowOff>139700</xdr:rowOff>
    </xdr:to>
    <xdr:graphicFrame macro="">
      <xdr:nvGraphicFramePr>
        <xdr:cNvPr id="63677" name="Diagram 4">
          <a:extLst>
            <a:ext uri="{FF2B5EF4-FFF2-40B4-BE49-F238E27FC236}">
              <a16:creationId xmlns:a16="http://schemas.microsoft.com/office/drawing/2014/main" id="{00000000-0008-0000-5900-0000BDF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698500</xdr:colOff>
      <xdr:row>81</xdr:row>
      <xdr:rowOff>63500</xdr:rowOff>
    </xdr:from>
    <xdr:to>
      <xdr:col>23</xdr:col>
      <xdr:colOff>63500</xdr:colOff>
      <xdr:row>101</xdr:row>
      <xdr:rowOff>101600</xdr:rowOff>
    </xdr:to>
    <xdr:graphicFrame macro="">
      <xdr:nvGraphicFramePr>
        <xdr:cNvPr id="63678" name="Diagram 8">
          <a:extLst>
            <a:ext uri="{FF2B5EF4-FFF2-40B4-BE49-F238E27FC236}">
              <a16:creationId xmlns:a16="http://schemas.microsoft.com/office/drawing/2014/main" id="{00000000-0008-0000-5900-0000BEF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Kontor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Downloads/Erhvervs&#248;konomi%20eksamen%20sommer%202015.doc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file:///F:\Downloads\Incitamenter+i+virksomheden.pdf" TargetMode="External"/><Relationship Id="rId2" Type="http://schemas.openxmlformats.org/officeDocument/2006/relationships/hyperlink" Target="file:///F:\Downloads\Diversifikation+og+konglomerater.pdf" TargetMode="External"/><Relationship Id="rId1" Type="http://schemas.openxmlformats.org/officeDocument/2006/relationships/hyperlink" Target="file:///F:\Downloads\Virksomhedens+vertikale+afgr&#230;nsning.pdf"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7.xml.rels><?xml version="1.0" encoding="UTF-8" standalone="yes"?>
<Relationships xmlns="http://schemas.openxmlformats.org/package/2006/relationships"><Relationship Id="rId8" Type="http://schemas.openxmlformats.org/officeDocument/2006/relationships/hyperlink" Target="http://borsen.dk/vaerktoejer/virksomhedsside/flsmidth_co.html" TargetMode="External"/><Relationship Id="rId13" Type="http://schemas.openxmlformats.org/officeDocument/2006/relationships/hyperlink" Target="http://borsen.dk/vaerktoejer/virksomhedsside/novo_nordisk_b.html" TargetMode="External"/><Relationship Id="rId18" Type="http://schemas.openxmlformats.org/officeDocument/2006/relationships/hyperlink" Target="http://borsen.dk/vaerktoejer/virksomhedsside/tryg.html" TargetMode="External"/><Relationship Id="rId3" Type="http://schemas.openxmlformats.org/officeDocument/2006/relationships/hyperlink" Target="http://borsen.dk/vaerktoejer/virksomhedsside/carlsberg_b.html" TargetMode="External"/><Relationship Id="rId21" Type="http://schemas.openxmlformats.org/officeDocument/2006/relationships/drawing" Target="../drawings/drawing47.xml"/><Relationship Id="rId7" Type="http://schemas.openxmlformats.org/officeDocument/2006/relationships/hyperlink" Target="http://borsen.dk/vaerktoejer/virksomhedsside/dsv.html" TargetMode="External"/><Relationship Id="rId12" Type="http://schemas.openxmlformats.org/officeDocument/2006/relationships/hyperlink" Target="http://borsen.dk/vaerktoejer/virksomhedsside/nordea_bank_cph.html" TargetMode="External"/><Relationship Id="rId17" Type="http://schemas.openxmlformats.org/officeDocument/2006/relationships/hyperlink" Target="http://borsen.dk/vaerktoejer/virksomhedsside/topdanmark.html" TargetMode="External"/><Relationship Id="rId2" Type="http://schemas.openxmlformats.org/officeDocument/2006/relationships/hyperlink" Target="http://borsen.dk/vaerktoejer/virksomhedsside/ap_moeller_maersk_b.html" TargetMode="External"/><Relationship Id="rId16" Type="http://schemas.openxmlformats.org/officeDocument/2006/relationships/hyperlink" Target="http://borsen.dk/vaerktoejer/virksomhedsside/tdc.html" TargetMode="External"/><Relationship Id="rId20" Type="http://schemas.openxmlformats.org/officeDocument/2006/relationships/hyperlink" Target="http://borsen.dk/vaerktoejer/virksomhedsside/william_demant_holding.html" TargetMode="External"/><Relationship Id="rId1" Type="http://schemas.openxmlformats.org/officeDocument/2006/relationships/hyperlink" Target="http://borsen.dk/vaerktoejer/virksomhedsside/ap_moeller_maersk_a.html" TargetMode="External"/><Relationship Id="rId6" Type="http://schemas.openxmlformats.org/officeDocument/2006/relationships/hyperlink" Target="http://borsen.dk/vaerktoejer/virksomhedsside/danske_bank.html" TargetMode="External"/><Relationship Id="rId11" Type="http://schemas.openxmlformats.org/officeDocument/2006/relationships/hyperlink" Target="http://borsen.dk/vaerktoejer/virksomhedsside/nkt_holding.html" TargetMode="External"/><Relationship Id="rId5" Type="http://schemas.openxmlformats.org/officeDocument/2006/relationships/hyperlink" Target="http://borsen.dk/vaerktoejer/virksomhedsside/coloplast_b.html" TargetMode="External"/><Relationship Id="rId15" Type="http://schemas.openxmlformats.org/officeDocument/2006/relationships/hyperlink" Target="http://borsen.dk/vaerktoejer/virksomhedsside/sydbank.html" TargetMode="External"/><Relationship Id="rId10" Type="http://schemas.openxmlformats.org/officeDocument/2006/relationships/hyperlink" Target="http://borsen.dk/vaerktoejer/virksomhedsside/h_lundbeck.html" TargetMode="External"/><Relationship Id="rId19" Type="http://schemas.openxmlformats.org/officeDocument/2006/relationships/hyperlink" Target="http://borsen.dk/vaerktoejer/virksomhedsside/vestas_wind_systems.html" TargetMode="External"/><Relationship Id="rId4" Type="http://schemas.openxmlformats.org/officeDocument/2006/relationships/hyperlink" Target="http://borsen.dk/vaerktoejer/virksomhedsside/chr_hansen_holding.html" TargetMode="External"/><Relationship Id="rId9" Type="http://schemas.openxmlformats.org/officeDocument/2006/relationships/hyperlink" Target="http://borsen.dk/vaerktoejer/virksomhedsside/gn_store_nord.html" TargetMode="External"/><Relationship Id="rId14" Type="http://schemas.openxmlformats.org/officeDocument/2006/relationships/hyperlink" Target="http://borsen.dk/vaerktoejer/virksomhedsside/novozymes_b.html"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G302"/>
  <sheetViews>
    <sheetView topLeftCell="A80" zoomScale="91" zoomScaleNormal="70" zoomScalePageLayoutView="70" workbookViewId="0">
      <selection activeCell="E75" sqref="E75"/>
    </sheetView>
  </sheetViews>
  <sheetFormatPr defaultColWidth="10.875" defaultRowHeight="15.75" x14ac:dyDescent="0.25"/>
  <cols>
    <col min="1" max="1" width="10.875" style="1"/>
    <col min="2" max="2" width="27.5" style="1" customWidth="1"/>
    <col min="3" max="3" width="40.125" style="1" customWidth="1"/>
    <col min="4" max="4" width="41.625" style="1" bestFit="1" customWidth="1"/>
    <col min="5" max="5" width="39.375" style="1" customWidth="1"/>
    <col min="6" max="6" width="55.125" style="1" customWidth="1"/>
    <col min="7" max="7" width="14.125" style="1" bestFit="1" customWidth="1"/>
    <col min="8" max="16384" width="10.875" style="1"/>
  </cols>
  <sheetData>
    <row r="1" spans="1:7" x14ac:dyDescent="0.25">
      <c r="D1" s="949" t="s">
        <v>1026</v>
      </c>
      <c r="E1" s="949"/>
    </row>
    <row r="2" spans="1:7" ht="15" customHeight="1" x14ac:dyDescent="0.25">
      <c r="A2" s="101" t="s">
        <v>1612</v>
      </c>
      <c r="B2" s="101" t="s">
        <v>1025</v>
      </c>
      <c r="D2" s="949"/>
      <c r="E2" s="949"/>
    </row>
    <row r="3" spans="1:7" ht="15" customHeight="1" x14ac:dyDescent="0.25"/>
    <row r="4" spans="1:7" ht="15" customHeight="1" x14ac:dyDescent="0.25">
      <c r="A4" s="101" t="s">
        <v>2188</v>
      </c>
    </row>
    <row r="6" spans="1:7" x14ac:dyDescent="0.25">
      <c r="B6" s="943" t="s">
        <v>421</v>
      </c>
      <c r="C6" s="944"/>
      <c r="D6" s="944"/>
      <c r="E6" s="944"/>
      <c r="F6" s="944"/>
      <c r="G6" s="945"/>
    </row>
    <row r="7" spans="1:7" x14ac:dyDescent="0.25">
      <c r="B7" s="3"/>
      <c r="C7" s="82"/>
      <c r="D7" s="82"/>
      <c r="E7" s="82" t="s">
        <v>119</v>
      </c>
      <c r="F7" s="82"/>
      <c r="G7" s="82"/>
    </row>
    <row r="8" spans="1:7" x14ac:dyDescent="0.25">
      <c r="B8" s="85" t="s">
        <v>118</v>
      </c>
      <c r="C8" s="83"/>
      <c r="D8" s="83"/>
      <c r="E8" s="83" t="s">
        <v>120</v>
      </c>
      <c r="F8" s="83"/>
      <c r="G8" s="227" t="s">
        <v>501</v>
      </c>
    </row>
    <row r="9" spans="1:7" x14ac:dyDescent="0.25">
      <c r="B9" s="5"/>
      <c r="C9" s="84"/>
      <c r="D9" s="84"/>
      <c r="E9" s="84" t="s">
        <v>121</v>
      </c>
      <c r="F9" s="84"/>
      <c r="G9" s="84"/>
    </row>
    <row r="10" spans="1:7" x14ac:dyDescent="0.25">
      <c r="B10" s="3"/>
      <c r="C10" s="82"/>
      <c r="D10" s="82"/>
      <c r="E10" s="82" t="s">
        <v>123</v>
      </c>
      <c r="F10" s="82"/>
      <c r="G10" s="82"/>
    </row>
    <row r="11" spans="1:7" x14ac:dyDescent="0.25">
      <c r="B11" s="85" t="s">
        <v>122</v>
      </c>
      <c r="C11" s="83"/>
      <c r="D11" s="83"/>
      <c r="E11" s="83" t="s">
        <v>124</v>
      </c>
      <c r="F11" s="83"/>
      <c r="G11" s="227" t="s">
        <v>501</v>
      </c>
    </row>
    <row r="12" spans="1:7" x14ac:dyDescent="0.25">
      <c r="B12" s="5"/>
      <c r="C12" s="84"/>
      <c r="D12" s="84"/>
      <c r="E12" s="84" t="s">
        <v>125</v>
      </c>
      <c r="F12" s="84"/>
      <c r="G12" s="84"/>
    </row>
    <row r="13" spans="1:7" x14ac:dyDescent="0.25">
      <c r="B13" s="3"/>
      <c r="C13" s="82"/>
      <c r="D13" s="82"/>
      <c r="E13" s="82" t="s">
        <v>128</v>
      </c>
      <c r="F13" s="82"/>
      <c r="G13" s="82"/>
    </row>
    <row r="14" spans="1:7" x14ac:dyDescent="0.25">
      <c r="B14" s="85" t="s">
        <v>126</v>
      </c>
      <c r="C14" s="83"/>
      <c r="D14" s="83"/>
      <c r="E14" s="83" t="s">
        <v>127</v>
      </c>
      <c r="F14" s="83"/>
      <c r="G14" s="227" t="s">
        <v>501</v>
      </c>
    </row>
    <row r="15" spans="1:7" x14ac:dyDescent="0.25">
      <c r="B15" s="4"/>
      <c r="C15" s="83"/>
      <c r="D15" s="83"/>
      <c r="E15" s="83" t="s">
        <v>129</v>
      </c>
      <c r="F15" s="83"/>
      <c r="G15" s="83"/>
    </row>
    <row r="16" spans="1:7" x14ac:dyDescent="0.25">
      <c r="B16" s="5"/>
      <c r="C16" s="84"/>
      <c r="D16" s="84"/>
      <c r="E16" s="84" t="s">
        <v>130</v>
      </c>
      <c r="F16" s="84"/>
      <c r="G16" s="84"/>
    </row>
    <row r="17" spans="2:7" x14ac:dyDescent="0.25">
      <c r="B17" s="10"/>
      <c r="C17" s="8"/>
      <c r="D17" s="13"/>
      <c r="E17" s="12" t="s">
        <v>2787</v>
      </c>
      <c r="F17" s="8"/>
      <c r="G17" s="13"/>
    </row>
    <row r="18" spans="2:7" x14ac:dyDescent="0.25">
      <c r="B18" s="11"/>
      <c r="C18" s="9"/>
      <c r="D18" s="14"/>
      <c r="E18" s="7" t="s">
        <v>2788</v>
      </c>
      <c r="F18" s="9"/>
      <c r="G18" s="14"/>
    </row>
    <row r="19" spans="2:7" x14ac:dyDescent="0.25">
      <c r="B19" s="86" t="s">
        <v>131</v>
      </c>
      <c r="C19" s="9"/>
      <c r="D19" s="14"/>
      <c r="E19" s="87" t="s">
        <v>134</v>
      </c>
      <c r="F19" s="9"/>
      <c r="G19" s="14"/>
    </row>
    <row r="20" spans="2:7" x14ac:dyDescent="0.25">
      <c r="B20" s="86" t="s">
        <v>132</v>
      </c>
      <c r="C20" s="9"/>
      <c r="D20" s="14"/>
      <c r="E20" s="7" t="s">
        <v>2789</v>
      </c>
      <c r="F20" s="9"/>
      <c r="G20" s="14"/>
    </row>
    <row r="21" spans="2:7" x14ac:dyDescent="0.25">
      <c r="B21" s="86" t="s">
        <v>133</v>
      </c>
      <c r="C21" s="9"/>
      <c r="D21" s="14"/>
      <c r="E21" s="7" t="s">
        <v>2790</v>
      </c>
      <c r="F21" s="9"/>
      <c r="G21" s="14"/>
    </row>
    <row r="22" spans="2:7" x14ac:dyDescent="0.25">
      <c r="B22" s="11"/>
      <c r="C22" s="9"/>
      <c r="D22" s="14"/>
      <c r="E22" s="7" t="s">
        <v>2791</v>
      </c>
      <c r="F22" s="9"/>
      <c r="G22" s="14"/>
    </row>
    <row r="23" spans="2:7" x14ac:dyDescent="0.25">
      <c r="B23" s="88"/>
      <c r="C23" s="6"/>
      <c r="D23" s="15"/>
      <c r="E23" s="89" t="s">
        <v>2792</v>
      </c>
      <c r="F23" s="6"/>
      <c r="G23" s="15"/>
    </row>
    <row r="24" spans="2:7" x14ac:dyDescent="0.25">
      <c r="B24" s="8"/>
      <c r="C24" s="8"/>
      <c r="D24" s="8"/>
      <c r="E24" s="8" t="s">
        <v>136</v>
      </c>
      <c r="F24" s="8"/>
      <c r="G24" s="8"/>
    </row>
    <row r="25" spans="2:7" x14ac:dyDescent="0.25">
      <c r="B25" s="81"/>
      <c r="C25" s="9"/>
      <c r="D25" s="9"/>
      <c r="E25" s="9" t="s">
        <v>137</v>
      </c>
      <c r="F25" s="9"/>
      <c r="G25" s="9"/>
    </row>
    <row r="26" spans="2:7" x14ac:dyDescent="0.25">
      <c r="B26" s="85" t="s">
        <v>135</v>
      </c>
      <c r="C26" s="9"/>
      <c r="D26" s="9"/>
      <c r="E26" s="9" t="s">
        <v>138</v>
      </c>
      <c r="F26" s="9"/>
      <c r="G26" s="9"/>
    </row>
    <row r="27" spans="2:7" x14ac:dyDescent="0.25">
      <c r="B27" s="85" t="s">
        <v>132</v>
      </c>
      <c r="C27" s="9"/>
      <c r="D27" s="9"/>
      <c r="E27" s="9" t="s">
        <v>139</v>
      </c>
      <c r="F27" s="9"/>
      <c r="G27" s="9"/>
    </row>
    <row r="28" spans="2:7" x14ac:dyDescent="0.25">
      <c r="B28" s="85" t="s">
        <v>133</v>
      </c>
      <c r="C28" s="9"/>
      <c r="D28" s="9"/>
      <c r="E28" s="81" t="s">
        <v>134</v>
      </c>
      <c r="F28" s="9"/>
      <c r="G28" s="9"/>
    </row>
    <row r="29" spans="2:7" x14ac:dyDescent="0.25">
      <c r="B29" s="9"/>
      <c r="C29" s="9"/>
      <c r="D29" s="9"/>
      <c r="E29" s="9" t="s">
        <v>140</v>
      </c>
      <c r="F29" s="9"/>
      <c r="G29" s="9"/>
    </row>
    <row r="30" spans="2:7" x14ac:dyDescent="0.25">
      <c r="B30" s="9"/>
      <c r="C30" s="9"/>
      <c r="D30" s="9"/>
      <c r="E30" s="9" t="s">
        <v>141</v>
      </c>
      <c r="F30" s="9"/>
      <c r="G30" s="9"/>
    </row>
    <row r="31" spans="2:7" x14ac:dyDescent="0.25">
      <c r="B31" s="9"/>
      <c r="C31" s="90"/>
      <c r="D31" s="9"/>
      <c r="E31" s="9" t="s">
        <v>142</v>
      </c>
      <c r="F31" s="9"/>
      <c r="G31" s="9"/>
    </row>
    <row r="32" spans="2:7" x14ac:dyDescent="0.25">
      <c r="B32" s="6"/>
      <c r="C32" s="91"/>
      <c r="D32" s="6"/>
      <c r="E32" s="6" t="s">
        <v>143</v>
      </c>
      <c r="F32" s="6"/>
      <c r="G32" s="6"/>
    </row>
    <row r="33" spans="2:7" x14ac:dyDescent="0.25">
      <c r="B33" s="92" t="s">
        <v>152</v>
      </c>
      <c r="C33" s="93"/>
      <c r="D33" s="93"/>
      <c r="E33" s="93"/>
      <c r="F33" s="93"/>
      <c r="G33" s="94"/>
    </row>
    <row r="34" spans="2:7" x14ac:dyDescent="0.25">
      <c r="B34" s="8"/>
      <c r="C34" s="95"/>
      <c r="D34" s="8"/>
      <c r="E34" s="8" t="s">
        <v>146</v>
      </c>
      <c r="F34" s="8"/>
      <c r="G34" s="8"/>
    </row>
    <row r="35" spans="2:7" x14ac:dyDescent="0.25">
      <c r="B35" s="85" t="s">
        <v>145</v>
      </c>
      <c r="C35" s="9"/>
      <c r="D35" s="9"/>
      <c r="E35" s="9" t="s">
        <v>147</v>
      </c>
      <c r="F35" s="9"/>
      <c r="G35" s="65" t="s">
        <v>191</v>
      </c>
    </row>
    <row r="36" spans="2:7" x14ac:dyDescent="0.25">
      <c r="B36" s="6"/>
      <c r="C36" s="6"/>
      <c r="D36" s="6"/>
      <c r="E36" s="6" t="s">
        <v>148</v>
      </c>
      <c r="F36" s="6"/>
      <c r="G36" s="9"/>
    </row>
    <row r="37" spans="2:7" x14ac:dyDescent="0.25">
      <c r="B37" s="3"/>
      <c r="C37" s="8"/>
      <c r="D37" s="8"/>
      <c r="E37" s="96" t="s">
        <v>154</v>
      </c>
      <c r="F37" s="10"/>
      <c r="G37" s="8"/>
    </row>
    <row r="38" spans="2:7" x14ac:dyDescent="0.25">
      <c r="B38" s="4"/>
      <c r="C38" s="9"/>
      <c r="D38" s="9"/>
      <c r="E38" s="9" t="s">
        <v>155</v>
      </c>
      <c r="F38" s="11"/>
      <c r="G38" s="9"/>
    </row>
    <row r="39" spans="2:7" x14ac:dyDescent="0.25">
      <c r="B39" s="85" t="s">
        <v>153</v>
      </c>
      <c r="C39" s="9"/>
      <c r="D39" s="9"/>
      <c r="E39" s="9" t="s">
        <v>156</v>
      </c>
      <c r="F39" s="11"/>
      <c r="G39" s="9"/>
    </row>
    <row r="40" spans="2:7" x14ac:dyDescent="0.25">
      <c r="B40" s="5"/>
      <c r="C40" s="6"/>
      <c r="D40" s="6"/>
      <c r="E40" s="6" t="s">
        <v>157</v>
      </c>
      <c r="F40" s="88"/>
      <c r="G40" s="35" t="s">
        <v>2846</v>
      </c>
    </row>
    <row r="41" spans="2:7" x14ac:dyDescent="0.25">
      <c r="B41" s="3"/>
      <c r="C41" s="8"/>
      <c r="D41" s="8"/>
      <c r="E41" s="96" t="s">
        <v>158</v>
      </c>
      <c r="F41" s="10"/>
      <c r="G41" s="9"/>
    </row>
    <row r="42" spans="2:7" x14ac:dyDescent="0.25">
      <c r="B42" s="4"/>
      <c r="C42" s="9"/>
      <c r="D42" s="9"/>
      <c r="E42" s="81" t="s">
        <v>252</v>
      </c>
      <c r="F42" s="11" t="s">
        <v>162</v>
      </c>
      <c r="G42" s="9"/>
    </row>
    <row r="43" spans="2:7" x14ac:dyDescent="0.25">
      <c r="B43" s="85" t="s">
        <v>68</v>
      </c>
      <c r="C43" s="9"/>
      <c r="D43" s="9"/>
      <c r="E43" s="81" t="s">
        <v>2847</v>
      </c>
      <c r="F43" s="11"/>
      <c r="G43" s="9"/>
    </row>
    <row r="44" spans="2:7" x14ac:dyDescent="0.25">
      <c r="B44" s="5"/>
      <c r="C44" s="6"/>
      <c r="D44" s="6"/>
      <c r="E44" s="100" t="s">
        <v>253</v>
      </c>
      <c r="F44" s="88"/>
      <c r="G44" s="6"/>
    </row>
    <row r="45" spans="2:7" x14ac:dyDescent="0.25">
      <c r="B45" s="8" t="s">
        <v>159</v>
      </c>
      <c r="C45" s="8"/>
      <c r="D45" s="8"/>
      <c r="E45" s="8"/>
      <c r="F45" s="8"/>
      <c r="G45" s="9"/>
    </row>
    <row r="46" spans="2:7" x14ac:dyDescent="0.25">
      <c r="B46" s="6" t="s">
        <v>160</v>
      </c>
      <c r="C46" s="6"/>
      <c r="D46" s="6"/>
      <c r="E46" s="6"/>
      <c r="F46" s="6"/>
      <c r="G46" s="6"/>
    </row>
    <row r="47" spans="2:7" x14ac:dyDescent="0.25">
      <c r="B47" s="3"/>
      <c r="C47" s="8"/>
      <c r="D47" s="8"/>
      <c r="E47" s="8" t="s">
        <v>2793</v>
      </c>
      <c r="F47" s="8"/>
      <c r="G47" s="8"/>
    </row>
    <row r="48" spans="2:7" x14ac:dyDescent="0.25">
      <c r="B48" s="85" t="s">
        <v>149</v>
      </c>
      <c r="C48" s="9"/>
      <c r="D48" s="9"/>
      <c r="E48" s="9" t="s">
        <v>150</v>
      </c>
      <c r="F48" s="9"/>
      <c r="G48" s="176" t="s">
        <v>191</v>
      </c>
    </row>
    <row r="49" spans="2:7" x14ac:dyDescent="0.25">
      <c r="B49" s="4"/>
      <c r="C49" s="9"/>
      <c r="D49" s="9"/>
      <c r="E49" s="9" t="s">
        <v>151</v>
      </c>
      <c r="F49" s="9"/>
      <c r="G49" s="9"/>
    </row>
    <row r="50" spans="2:7" x14ac:dyDescent="0.25">
      <c r="B50" s="8"/>
      <c r="C50" s="8"/>
      <c r="D50" s="8"/>
      <c r="E50" s="8" t="s">
        <v>164</v>
      </c>
      <c r="F50" s="8"/>
      <c r="G50" s="8"/>
    </row>
    <row r="51" spans="2:7" x14ac:dyDescent="0.25">
      <c r="B51" s="9"/>
      <c r="C51" s="9"/>
      <c r="D51" s="9"/>
      <c r="E51" s="9" t="s">
        <v>165</v>
      </c>
      <c r="F51" s="9"/>
      <c r="G51" s="9"/>
    </row>
    <row r="52" spans="2:7" x14ac:dyDescent="0.25">
      <c r="B52" s="9"/>
      <c r="C52" s="9"/>
      <c r="D52" s="9"/>
      <c r="E52" s="81" t="s">
        <v>161</v>
      </c>
      <c r="F52" s="9"/>
      <c r="G52" s="9"/>
    </row>
    <row r="53" spans="2:7" x14ac:dyDescent="0.25">
      <c r="B53" s="9"/>
      <c r="C53" s="9"/>
      <c r="D53" s="9"/>
      <c r="E53" s="9" t="s">
        <v>2794</v>
      </c>
      <c r="F53" s="9"/>
      <c r="G53" s="9"/>
    </row>
    <row r="54" spans="2:7" ht="15.75" customHeight="1" x14ac:dyDescent="0.25">
      <c r="B54" s="9"/>
      <c r="C54" s="9"/>
      <c r="D54" s="9" t="s">
        <v>171</v>
      </c>
      <c r="E54" s="81" t="s">
        <v>175</v>
      </c>
      <c r="F54" s="9"/>
      <c r="G54" s="35" t="s">
        <v>591</v>
      </c>
    </row>
    <row r="55" spans="2:7" ht="15.75" customHeight="1" x14ac:dyDescent="0.25">
      <c r="B55" s="85" t="s">
        <v>27</v>
      </c>
      <c r="C55" s="9"/>
      <c r="D55" s="9" t="s">
        <v>10</v>
      </c>
      <c r="E55" s="9" t="s">
        <v>176</v>
      </c>
      <c r="F55" s="9"/>
      <c r="G55" s="9"/>
    </row>
    <row r="56" spans="2:7" x14ac:dyDescent="0.25">
      <c r="B56" s="371" t="s">
        <v>1331</v>
      </c>
      <c r="C56" s="9"/>
      <c r="D56" s="9" t="s">
        <v>172</v>
      </c>
      <c r="E56" s="9" t="s">
        <v>177</v>
      </c>
      <c r="F56" s="9"/>
      <c r="G56" s="9"/>
    </row>
    <row r="57" spans="2:7" x14ac:dyDescent="0.25">
      <c r="B57" s="9"/>
      <c r="C57" s="9"/>
      <c r="D57" s="9" t="s">
        <v>10</v>
      </c>
      <c r="E57" s="9" t="s">
        <v>178</v>
      </c>
      <c r="F57" s="9"/>
      <c r="G57" s="9"/>
    </row>
    <row r="58" spans="2:7" x14ac:dyDescent="0.25">
      <c r="B58" s="9"/>
      <c r="C58" s="9"/>
      <c r="D58" s="9" t="s">
        <v>1330</v>
      </c>
      <c r="E58" s="9" t="s">
        <v>179</v>
      </c>
      <c r="F58" s="9"/>
      <c r="G58" s="9"/>
    </row>
    <row r="59" spans="2:7" x14ac:dyDescent="0.25">
      <c r="B59" s="9"/>
      <c r="C59" s="9"/>
      <c r="D59" s="9"/>
      <c r="E59" s="81" t="s">
        <v>187</v>
      </c>
      <c r="F59" s="9"/>
      <c r="G59" s="9"/>
    </row>
    <row r="60" spans="2:7" x14ac:dyDescent="0.25">
      <c r="B60" s="9"/>
      <c r="C60" s="9"/>
      <c r="D60" s="9"/>
      <c r="E60" s="9" t="s">
        <v>188</v>
      </c>
      <c r="F60" s="9"/>
      <c r="G60" s="9"/>
    </row>
    <row r="61" spans="2:7" x14ac:dyDescent="0.25">
      <c r="B61" s="8"/>
      <c r="C61" s="8"/>
      <c r="D61" s="8"/>
      <c r="E61" s="96" t="s">
        <v>166</v>
      </c>
      <c r="F61" s="8"/>
      <c r="G61" s="8"/>
    </row>
    <row r="62" spans="2:7" x14ac:dyDescent="0.25">
      <c r="B62" s="85" t="s">
        <v>28</v>
      </c>
      <c r="C62" s="9"/>
      <c r="D62" s="9"/>
      <c r="E62" s="81" t="s">
        <v>167</v>
      </c>
      <c r="F62" s="9"/>
      <c r="G62" s="9"/>
    </row>
    <row r="63" spans="2:7" x14ac:dyDescent="0.25">
      <c r="B63" s="6"/>
      <c r="C63" s="6"/>
      <c r="D63" s="6"/>
      <c r="E63" s="100" t="s">
        <v>168</v>
      </c>
      <c r="F63" s="6"/>
      <c r="G63" s="6"/>
    </row>
    <row r="64" spans="2:7" x14ac:dyDescent="0.25">
      <c r="B64" s="8"/>
      <c r="C64" s="8"/>
      <c r="D64" s="8"/>
      <c r="E64" s="8" t="s">
        <v>169</v>
      </c>
      <c r="F64" s="8"/>
      <c r="G64" s="8"/>
    </row>
    <row r="65" spans="2:7" x14ac:dyDescent="0.25">
      <c r="B65" s="85" t="s">
        <v>144</v>
      </c>
      <c r="C65" s="9"/>
      <c r="D65" s="4" t="s">
        <v>189</v>
      </c>
      <c r="E65" s="9" t="s">
        <v>170</v>
      </c>
      <c r="F65" s="9"/>
      <c r="G65" s="9"/>
    </row>
    <row r="66" spans="2:7" x14ac:dyDescent="0.25">
      <c r="B66" s="9"/>
      <c r="C66" s="9"/>
      <c r="D66" s="9"/>
      <c r="E66" s="9" t="s">
        <v>190</v>
      </c>
      <c r="F66" s="9"/>
      <c r="G66" s="35" t="s">
        <v>191</v>
      </c>
    </row>
    <row r="67" spans="2:7" x14ac:dyDescent="0.25">
      <c r="B67" s="6"/>
      <c r="C67" s="6"/>
      <c r="D67" s="6"/>
      <c r="E67" s="6"/>
      <c r="F67" s="6"/>
      <c r="G67" s="6"/>
    </row>
    <row r="68" spans="2:7" x14ac:dyDescent="0.25">
      <c r="B68" s="8"/>
      <c r="C68" s="8"/>
      <c r="D68" s="8"/>
      <c r="E68" s="8"/>
      <c r="F68" s="8"/>
      <c r="G68" s="8"/>
    </row>
    <row r="69" spans="2:7" x14ac:dyDescent="0.25">
      <c r="B69" s="85" t="s">
        <v>192</v>
      </c>
      <c r="C69" s="9" t="s">
        <v>194</v>
      </c>
      <c r="E69" s="9"/>
      <c r="F69" s="9"/>
      <c r="G69" s="65" t="s">
        <v>193</v>
      </c>
    </row>
    <row r="70" spans="2:7" x14ac:dyDescent="0.25">
      <c r="B70" s="6"/>
      <c r="C70" s="6"/>
      <c r="D70" s="6"/>
      <c r="E70" s="6"/>
      <c r="F70" s="6"/>
      <c r="G70" s="6"/>
    </row>
    <row r="71" spans="2:7" x14ac:dyDescent="0.25">
      <c r="B71" s="8"/>
      <c r="C71" s="8"/>
      <c r="D71" s="8"/>
      <c r="E71" s="8" t="s">
        <v>2796</v>
      </c>
      <c r="F71" s="8"/>
      <c r="G71" s="8"/>
    </row>
    <row r="72" spans="2:7" x14ac:dyDescent="0.25">
      <c r="B72" s="9"/>
      <c r="C72" s="9"/>
      <c r="D72" s="9"/>
      <c r="E72" s="9" t="s">
        <v>2799</v>
      </c>
      <c r="F72" s="9"/>
      <c r="G72" s="9"/>
    </row>
    <row r="73" spans="2:7" x14ac:dyDescent="0.25">
      <c r="B73" s="9"/>
      <c r="C73" s="9"/>
      <c r="D73" s="9"/>
      <c r="E73" s="9" t="s">
        <v>2797</v>
      </c>
      <c r="F73" s="9"/>
      <c r="G73" s="9"/>
    </row>
    <row r="74" spans="2:7" x14ac:dyDescent="0.25">
      <c r="B74" s="9"/>
      <c r="C74" s="9"/>
      <c r="D74" s="9"/>
      <c r="E74" s="9" t="s">
        <v>2798</v>
      </c>
      <c r="F74" s="9"/>
      <c r="G74" s="9"/>
    </row>
    <row r="75" spans="2:7" x14ac:dyDescent="0.25">
      <c r="B75" s="85" t="s">
        <v>173</v>
      </c>
      <c r="C75" s="9"/>
      <c r="D75" s="9"/>
      <c r="E75" s="81" t="s">
        <v>2802</v>
      </c>
      <c r="F75" s="9"/>
      <c r="G75" s="35" t="s">
        <v>702</v>
      </c>
    </row>
    <row r="76" spans="2:7" x14ac:dyDescent="0.25">
      <c r="B76" s="9"/>
      <c r="C76" s="9"/>
      <c r="D76" s="9"/>
      <c r="E76" s="9" t="s">
        <v>2800</v>
      </c>
      <c r="F76" s="9"/>
      <c r="G76" s="9"/>
    </row>
    <row r="77" spans="2:7" x14ac:dyDescent="0.25">
      <c r="B77" s="9"/>
      <c r="C77" s="9"/>
      <c r="D77" s="9"/>
      <c r="E77" s="9" t="s">
        <v>2801</v>
      </c>
      <c r="F77" s="9"/>
      <c r="G77" s="9"/>
    </row>
    <row r="78" spans="2:7" x14ac:dyDescent="0.25">
      <c r="B78" s="9"/>
      <c r="C78" s="9"/>
      <c r="D78" s="9"/>
      <c r="E78" s="9" t="s">
        <v>2803</v>
      </c>
      <c r="F78" s="9"/>
      <c r="G78" s="9"/>
    </row>
    <row r="79" spans="2:7" x14ac:dyDescent="0.25">
      <c r="B79" s="6"/>
      <c r="C79" s="6"/>
      <c r="D79" s="6"/>
      <c r="E79" s="6" t="s">
        <v>2804</v>
      </c>
      <c r="F79" s="6"/>
      <c r="G79" s="6"/>
    </row>
    <row r="80" spans="2:7" x14ac:dyDescent="0.25">
      <c r="B80" s="8"/>
      <c r="C80" s="8"/>
      <c r="D80" s="8"/>
      <c r="E80" s="8" t="s">
        <v>2805</v>
      </c>
      <c r="F80" s="8"/>
      <c r="G80" s="8"/>
    </row>
    <row r="81" spans="2:7" x14ac:dyDescent="0.25">
      <c r="B81" s="9"/>
      <c r="C81" s="9"/>
      <c r="D81" s="9"/>
      <c r="E81" s="9" t="s">
        <v>2806</v>
      </c>
      <c r="F81" s="9"/>
      <c r="G81" s="9"/>
    </row>
    <row r="82" spans="2:7" x14ac:dyDescent="0.25">
      <c r="B82" s="9"/>
      <c r="C82" s="9"/>
      <c r="D82" s="9"/>
      <c r="E82" s="9" t="s">
        <v>2807</v>
      </c>
      <c r="F82" s="9"/>
      <c r="G82" s="9"/>
    </row>
    <row r="83" spans="2:7" x14ac:dyDescent="0.25">
      <c r="B83" s="81" t="s">
        <v>174</v>
      </c>
      <c r="C83" s="9"/>
      <c r="D83" s="9"/>
      <c r="E83" s="9" t="s">
        <v>2808</v>
      </c>
      <c r="F83" s="9"/>
      <c r="G83" s="9"/>
    </row>
    <row r="84" spans="2:7" x14ac:dyDescent="0.25">
      <c r="B84" s="9"/>
      <c r="C84" s="9"/>
      <c r="D84" s="9"/>
      <c r="E84" s="81" t="s">
        <v>419</v>
      </c>
      <c r="F84" s="9"/>
      <c r="G84" s="9"/>
    </row>
    <row r="85" spans="2:7" x14ac:dyDescent="0.25">
      <c r="B85" s="9"/>
      <c r="C85" s="9"/>
      <c r="D85" s="9"/>
      <c r="E85" s="9" t="s">
        <v>2810</v>
      </c>
      <c r="F85" s="9"/>
      <c r="G85" s="9"/>
    </row>
    <row r="86" spans="2:7" x14ac:dyDescent="0.25">
      <c r="B86" s="6"/>
      <c r="C86" s="6"/>
      <c r="D86" s="6"/>
      <c r="E86" s="6" t="s">
        <v>2809</v>
      </c>
      <c r="F86" s="6"/>
      <c r="G86" s="6"/>
    </row>
    <row r="87" spans="2:7" x14ac:dyDescent="0.25">
      <c r="B87" s="8"/>
      <c r="C87" s="8"/>
      <c r="D87" s="8"/>
      <c r="E87" s="96" t="s">
        <v>592</v>
      </c>
      <c r="F87" s="8"/>
      <c r="G87" s="8"/>
    </row>
    <row r="88" spans="2:7" x14ac:dyDescent="0.25">
      <c r="B88" s="9"/>
      <c r="C88" s="9"/>
      <c r="D88" s="9"/>
      <c r="E88" s="9" t="s">
        <v>181</v>
      </c>
      <c r="F88" s="9"/>
      <c r="G88" s="9"/>
    </row>
    <row r="89" spans="2:7" x14ac:dyDescent="0.25">
      <c r="B89" s="9"/>
      <c r="C89" s="9"/>
      <c r="D89" s="9"/>
      <c r="E89" s="9" t="s">
        <v>182</v>
      </c>
      <c r="F89" s="9"/>
      <c r="G89" s="9"/>
    </row>
    <row r="90" spans="2:7" x14ac:dyDescent="0.25">
      <c r="B90" s="85" t="s">
        <v>180</v>
      </c>
      <c r="C90" s="9"/>
      <c r="D90" s="9"/>
      <c r="E90" s="9" t="s">
        <v>2811</v>
      </c>
      <c r="F90" s="9"/>
      <c r="G90" s="9"/>
    </row>
    <row r="91" spans="2:7" x14ac:dyDescent="0.25">
      <c r="B91" s="4" t="s">
        <v>541</v>
      </c>
      <c r="C91" s="9"/>
      <c r="D91" s="9"/>
      <c r="E91" s="81" t="s">
        <v>593</v>
      </c>
      <c r="F91" s="9"/>
      <c r="G91" s="35" t="s">
        <v>564</v>
      </c>
    </row>
    <row r="92" spans="2:7" x14ac:dyDescent="0.25">
      <c r="B92" s="9"/>
      <c r="C92" s="65" t="s">
        <v>3083</v>
      </c>
      <c r="D92" s="9"/>
      <c r="E92" s="81" t="s">
        <v>594</v>
      </c>
      <c r="F92" s="9"/>
      <c r="G92" s="9"/>
    </row>
    <row r="93" spans="2:7" x14ac:dyDescent="0.25">
      <c r="B93" s="9"/>
      <c r="C93" s="9"/>
      <c r="D93" s="9"/>
      <c r="E93" s="81" t="s">
        <v>595</v>
      </c>
      <c r="F93" s="9"/>
      <c r="G93" s="9"/>
    </row>
    <row r="94" spans="2:7" x14ac:dyDescent="0.25">
      <c r="B94" s="9"/>
      <c r="C94" s="9"/>
      <c r="D94" s="9"/>
      <c r="E94" s="81" t="s">
        <v>596</v>
      </c>
      <c r="F94" s="9"/>
      <c r="G94" s="9"/>
    </row>
    <row r="95" spans="2:7" x14ac:dyDescent="0.25">
      <c r="B95" s="9"/>
      <c r="C95" s="9"/>
      <c r="D95" s="9"/>
      <c r="E95" s="278" t="s">
        <v>597</v>
      </c>
      <c r="F95" s="9"/>
      <c r="G95" s="9"/>
    </row>
    <row r="96" spans="2:7" x14ac:dyDescent="0.25">
      <c r="B96" s="8"/>
      <c r="C96" s="8"/>
      <c r="D96" s="8"/>
      <c r="E96" s="96" t="s">
        <v>592</v>
      </c>
      <c r="F96" s="8"/>
      <c r="G96" s="8"/>
    </row>
    <row r="97" spans="2:7" x14ac:dyDescent="0.25">
      <c r="B97" s="9"/>
      <c r="C97" s="9"/>
      <c r="D97" s="9"/>
      <c r="E97" s="9" t="s">
        <v>183</v>
      </c>
      <c r="F97" s="9"/>
      <c r="G97" s="9"/>
    </row>
    <row r="98" spans="2:7" x14ac:dyDescent="0.25">
      <c r="B98" s="85" t="s">
        <v>488</v>
      </c>
      <c r="C98" s="9"/>
      <c r="D98" s="777" t="s">
        <v>2795</v>
      </c>
      <c r="E98" s="9" t="s">
        <v>184</v>
      </c>
      <c r="F98" s="9"/>
      <c r="G98" s="35" t="s">
        <v>359</v>
      </c>
    </row>
    <row r="99" spans="2:7" x14ac:dyDescent="0.25">
      <c r="B99" s="9"/>
      <c r="C99" s="9"/>
      <c r="D99" s="9"/>
      <c r="E99" s="9" t="s">
        <v>185</v>
      </c>
      <c r="F99" s="9"/>
      <c r="G99" s="9"/>
    </row>
    <row r="100" spans="2:7" x14ac:dyDescent="0.25">
      <c r="B100" s="6"/>
      <c r="C100" s="6"/>
      <c r="D100" s="6"/>
      <c r="E100" s="6" t="s">
        <v>186</v>
      </c>
      <c r="F100" s="6"/>
      <c r="G100" s="6"/>
    </row>
    <row r="101" spans="2:7" x14ac:dyDescent="0.25">
      <c r="B101" s="8"/>
      <c r="C101" s="8"/>
      <c r="D101" s="8"/>
      <c r="E101" s="8"/>
      <c r="F101" s="8"/>
      <c r="G101" s="8"/>
    </row>
    <row r="102" spans="2:7" x14ac:dyDescent="0.25">
      <c r="B102" s="85" t="s">
        <v>540</v>
      </c>
      <c r="C102" s="9" t="s">
        <v>539</v>
      </c>
      <c r="D102" s="9"/>
      <c r="E102" s="9"/>
      <c r="F102" s="9"/>
      <c r="G102" s="65" t="s">
        <v>360</v>
      </c>
    </row>
    <row r="103" spans="2:7" x14ac:dyDescent="0.25">
      <c r="B103" s="6"/>
      <c r="C103" s="6"/>
      <c r="D103" s="6"/>
      <c r="E103" s="6"/>
      <c r="F103" s="6"/>
      <c r="G103" s="6"/>
    </row>
    <row r="104" spans="2:7" x14ac:dyDescent="0.25">
      <c r="B104" s="8"/>
      <c r="C104" s="8"/>
      <c r="D104" s="8"/>
      <c r="E104" s="8" t="s">
        <v>362</v>
      </c>
      <c r="F104" s="8"/>
      <c r="G104" s="8"/>
    </row>
    <row r="105" spans="2:7" x14ac:dyDescent="0.25">
      <c r="B105" s="85" t="s">
        <v>361</v>
      </c>
      <c r="C105" s="9"/>
      <c r="D105" s="9"/>
      <c r="E105" s="9" t="s">
        <v>2813</v>
      </c>
      <c r="F105" s="9"/>
      <c r="G105" s="9"/>
    </row>
    <row r="106" spans="2:7" x14ac:dyDescent="0.25">
      <c r="B106" s="9"/>
      <c r="C106" s="9"/>
      <c r="D106" s="9"/>
      <c r="E106" s="9" t="s">
        <v>2814</v>
      </c>
      <c r="F106" s="9"/>
      <c r="G106" s="9"/>
    </row>
    <row r="107" spans="2:7" x14ac:dyDescent="0.25">
      <c r="B107" s="8"/>
      <c r="C107" s="8"/>
      <c r="D107" s="8"/>
      <c r="E107" s="8" t="s">
        <v>367</v>
      </c>
      <c r="F107" s="8"/>
      <c r="G107" s="8"/>
    </row>
    <row r="108" spans="2:7" x14ac:dyDescent="0.25">
      <c r="B108" s="9"/>
      <c r="C108" s="9"/>
      <c r="D108" s="9"/>
      <c r="E108" s="9" t="s">
        <v>410</v>
      </c>
      <c r="F108" s="9"/>
      <c r="G108" s="9"/>
    </row>
    <row r="109" spans="2:7" x14ac:dyDescent="0.25">
      <c r="B109" s="9"/>
      <c r="C109" s="9"/>
      <c r="D109" s="9"/>
      <c r="E109" s="9" t="s">
        <v>409</v>
      </c>
      <c r="F109" s="9"/>
      <c r="G109" s="9"/>
    </row>
    <row r="110" spans="2:7" x14ac:dyDescent="0.25">
      <c r="B110" s="85" t="s">
        <v>411</v>
      </c>
      <c r="C110" s="9"/>
      <c r="D110" s="9"/>
      <c r="E110" s="81" t="s">
        <v>365</v>
      </c>
      <c r="F110" s="9"/>
      <c r="G110" s="35" t="s">
        <v>412</v>
      </c>
    </row>
    <row r="111" spans="2:7" x14ac:dyDescent="0.25">
      <c r="B111" s="9"/>
      <c r="C111" s="9"/>
      <c r="D111" s="9"/>
      <c r="E111" s="9" t="s">
        <v>366</v>
      </c>
      <c r="F111" s="9"/>
      <c r="G111" s="9"/>
    </row>
    <row r="112" spans="2:7" x14ac:dyDescent="0.25">
      <c r="B112" s="9"/>
      <c r="C112" s="9"/>
      <c r="D112" s="9"/>
      <c r="E112" s="81" t="s">
        <v>252</v>
      </c>
      <c r="F112" s="9"/>
      <c r="G112" s="9"/>
    </row>
    <row r="113" spans="2:7" x14ac:dyDescent="0.25">
      <c r="B113" s="9"/>
      <c r="C113" s="9"/>
      <c r="D113" s="9"/>
      <c r="E113" s="81" t="s">
        <v>363</v>
      </c>
      <c r="F113" s="9"/>
      <c r="G113" s="9"/>
    </row>
    <row r="114" spans="2:7" x14ac:dyDescent="0.25">
      <c r="B114" s="6"/>
      <c r="C114" s="6"/>
      <c r="D114" s="6"/>
      <c r="E114" s="100" t="s">
        <v>364</v>
      </c>
      <c r="F114" s="6"/>
      <c r="G114" s="6"/>
    </row>
    <row r="115" spans="2:7" x14ac:dyDescent="0.25">
      <c r="B115" s="8"/>
      <c r="C115" s="8"/>
      <c r="D115" s="8"/>
      <c r="E115" s="95" t="s">
        <v>413</v>
      </c>
      <c r="F115" s="8"/>
      <c r="G115" s="8"/>
    </row>
    <row r="116" spans="2:7" x14ac:dyDescent="0.25">
      <c r="B116" s="9"/>
      <c r="C116" s="9"/>
      <c r="D116" s="9"/>
      <c r="E116" s="97" t="s">
        <v>414</v>
      </c>
      <c r="F116" s="9"/>
      <c r="G116" s="9"/>
    </row>
    <row r="117" spans="2:7" x14ac:dyDescent="0.25">
      <c r="B117" s="85"/>
      <c r="C117" s="9"/>
      <c r="D117" s="9"/>
      <c r="E117" s="97" t="s">
        <v>415</v>
      </c>
      <c r="F117" s="9"/>
      <c r="G117" s="9"/>
    </row>
    <row r="118" spans="2:7" x14ac:dyDescent="0.25">
      <c r="B118" s="85"/>
      <c r="C118" s="9"/>
      <c r="D118" s="9"/>
      <c r="E118" s="81" t="s">
        <v>416</v>
      </c>
      <c r="F118" s="9"/>
      <c r="G118" s="35" t="s">
        <v>471</v>
      </c>
    </row>
    <row r="119" spans="2:7" x14ac:dyDescent="0.25">
      <c r="B119" s="85" t="s">
        <v>60</v>
      </c>
      <c r="C119" s="9"/>
      <c r="D119" s="9"/>
      <c r="E119" s="97" t="s">
        <v>417</v>
      </c>
      <c r="F119" s="9"/>
      <c r="G119" s="9"/>
    </row>
    <row r="120" spans="2:7" x14ac:dyDescent="0.25">
      <c r="B120" s="85"/>
      <c r="C120" s="9"/>
      <c r="D120" s="9"/>
      <c r="E120" s="97" t="s">
        <v>418</v>
      </c>
      <c r="F120" s="9"/>
      <c r="G120" s="9"/>
    </row>
    <row r="121" spans="2:7" x14ac:dyDescent="0.25">
      <c r="B121" s="85"/>
      <c r="C121" s="9"/>
      <c r="D121" s="9"/>
      <c r="E121" s="97" t="s">
        <v>2815</v>
      </c>
      <c r="F121" s="9"/>
      <c r="G121" s="9"/>
    </row>
    <row r="122" spans="2:7" x14ac:dyDescent="0.25">
      <c r="B122" s="196"/>
      <c r="C122" s="6"/>
      <c r="D122" s="6"/>
      <c r="E122" s="198" t="s">
        <v>2816</v>
      </c>
      <c r="F122" s="6"/>
      <c r="G122" s="6"/>
    </row>
    <row r="123" spans="2:7" x14ac:dyDescent="0.25">
      <c r="B123" s="9"/>
      <c r="C123" s="9"/>
      <c r="D123" s="9"/>
      <c r="E123" s="81" t="s">
        <v>370</v>
      </c>
      <c r="F123" s="9"/>
      <c r="G123" s="9"/>
    </row>
    <row r="124" spans="2:7" x14ac:dyDescent="0.25">
      <c r="B124" s="9"/>
      <c r="C124" s="9"/>
      <c r="D124" s="9"/>
      <c r="E124" s="9" t="s">
        <v>371</v>
      </c>
      <c r="F124" s="9"/>
      <c r="G124" s="81" t="s">
        <v>2918</v>
      </c>
    </row>
    <row r="125" spans="2:7" x14ac:dyDescent="0.25">
      <c r="B125" s="85" t="s">
        <v>369</v>
      </c>
      <c r="C125" s="9"/>
      <c r="D125" s="9"/>
      <c r="E125" s="9" t="s">
        <v>372</v>
      </c>
      <c r="F125" s="9"/>
      <c r="G125" s="9"/>
    </row>
    <row r="126" spans="2:7" x14ac:dyDescent="0.25">
      <c r="B126" s="9"/>
      <c r="C126" s="9"/>
      <c r="D126" s="9"/>
      <c r="E126" s="81" t="s">
        <v>373</v>
      </c>
      <c r="F126" s="9"/>
      <c r="G126" s="35" t="s">
        <v>2919</v>
      </c>
    </row>
    <row r="127" spans="2:7" x14ac:dyDescent="0.25">
      <c r="B127" s="9"/>
      <c r="C127" s="9"/>
      <c r="D127" s="9"/>
      <c r="E127" s="9" t="s">
        <v>374</v>
      </c>
      <c r="F127" s="9"/>
      <c r="G127" s="9"/>
    </row>
    <row r="128" spans="2:7" x14ac:dyDescent="0.25">
      <c r="B128" s="6"/>
      <c r="C128" s="6"/>
      <c r="D128" s="6"/>
      <c r="E128" s="6" t="s">
        <v>375</v>
      </c>
      <c r="F128" s="6"/>
      <c r="G128" s="6"/>
    </row>
    <row r="129" spans="2:7" x14ac:dyDescent="0.25">
      <c r="B129" s="92" t="s">
        <v>376</v>
      </c>
      <c r="C129" s="93"/>
      <c r="D129" s="93"/>
      <c r="E129" s="93"/>
      <c r="F129" s="93"/>
      <c r="G129" s="94"/>
    </row>
    <row r="130" spans="2:7" x14ac:dyDescent="0.25">
      <c r="B130" s="8"/>
      <c r="C130" s="8"/>
      <c r="D130" s="8"/>
      <c r="E130" s="96" t="s">
        <v>378</v>
      </c>
      <c r="F130" s="8"/>
      <c r="G130" s="8"/>
    </row>
    <row r="131" spans="2:7" x14ac:dyDescent="0.25">
      <c r="B131" s="9"/>
      <c r="C131" s="9"/>
      <c r="D131" s="9"/>
      <c r="E131" s="9" t="s">
        <v>2818</v>
      </c>
      <c r="F131" s="9"/>
      <c r="G131" s="9"/>
    </row>
    <row r="132" spans="2:7" x14ac:dyDescent="0.25">
      <c r="B132" s="9"/>
      <c r="C132" s="9"/>
      <c r="D132" s="9"/>
      <c r="E132" s="9" t="s">
        <v>2819</v>
      </c>
      <c r="F132" s="9"/>
      <c r="G132" s="9"/>
    </row>
    <row r="133" spans="2:7" x14ac:dyDescent="0.25">
      <c r="B133" s="85" t="s">
        <v>377</v>
      </c>
      <c r="C133" s="9"/>
      <c r="D133" s="9"/>
      <c r="E133" s="81" t="s">
        <v>379</v>
      </c>
      <c r="F133" s="9"/>
      <c r="G133" s="9"/>
    </row>
    <row r="134" spans="2:7" x14ac:dyDescent="0.25">
      <c r="B134" s="9"/>
      <c r="C134" s="9"/>
      <c r="D134" s="9"/>
      <c r="E134" s="9" t="s">
        <v>2817</v>
      </c>
      <c r="F134" s="9"/>
      <c r="G134" s="9"/>
    </row>
    <row r="135" spans="2:7" x14ac:dyDescent="0.25">
      <c r="B135" s="9"/>
      <c r="C135" s="9"/>
      <c r="D135" s="9"/>
      <c r="E135" s="9" t="s">
        <v>2820</v>
      </c>
      <c r="F135" s="9"/>
      <c r="G135" s="9"/>
    </row>
    <row r="136" spans="2:7" x14ac:dyDescent="0.25">
      <c r="B136" s="6"/>
      <c r="C136" s="6"/>
      <c r="D136" s="6"/>
      <c r="E136" s="6" t="s">
        <v>2821</v>
      </c>
      <c r="F136" s="6"/>
      <c r="G136" s="6"/>
    </row>
    <row r="137" spans="2:7" x14ac:dyDescent="0.25">
      <c r="B137" s="8"/>
      <c r="C137" s="8"/>
      <c r="D137" s="8"/>
      <c r="E137" s="96" t="s">
        <v>378</v>
      </c>
      <c r="F137" s="8"/>
      <c r="G137" s="8"/>
    </row>
    <row r="138" spans="2:7" x14ac:dyDescent="0.25">
      <c r="B138" s="9"/>
      <c r="C138" s="9"/>
      <c r="D138" s="9"/>
      <c r="E138" s="9" t="s">
        <v>2822</v>
      </c>
      <c r="F138" s="9"/>
      <c r="G138" s="9"/>
    </row>
    <row r="139" spans="2:7" x14ac:dyDescent="0.25">
      <c r="B139" s="9"/>
      <c r="C139" s="9"/>
      <c r="D139" s="9"/>
      <c r="E139" s="9" t="s">
        <v>2823</v>
      </c>
      <c r="F139" s="9"/>
      <c r="G139" s="9"/>
    </row>
    <row r="140" spans="2:7" x14ac:dyDescent="0.25">
      <c r="B140" s="85" t="s">
        <v>380</v>
      </c>
      <c r="C140" s="9"/>
      <c r="D140" s="9"/>
      <c r="E140" s="9" t="s">
        <v>2824</v>
      </c>
      <c r="F140" s="9"/>
      <c r="G140" s="9"/>
    </row>
    <row r="141" spans="2:7" x14ac:dyDescent="0.25">
      <c r="B141" s="9"/>
      <c r="C141" s="9"/>
      <c r="D141" s="9"/>
      <c r="E141" s="81" t="s">
        <v>381</v>
      </c>
      <c r="F141" s="9"/>
      <c r="G141" s="9"/>
    </row>
    <row r="142" spans="2:7" x14ac:dyDescent="0.25">
      <c r="B142" s="9"/>
      <c r="C142" s="9"/>
      <c r="D142" s="9"/>
      <c r="E142" s="9" t="s">
        <v>382</v>
      </c>
      <c r="F142" s="9"/>
      <c r="G142" s="9"/>
    </row>
    <row r="143" spans="2:7" x14ac:dyDescent="0.25">
      <c r="B143" s="9"/>
      <c r="C143" s="9"/>
      <c r="D143" s="9"/>
      <c r="E143" s="9" t="s">
        <v>383</v>
      </c>
      <c r="F143" s="9"/>
      <c r="G143" s="9"/>
    </row>
    <row r="144" spans="2:7" x14ac:dyDescent="0.25">
      <c r="B144" s="6"/>
      <c r="C144" s="6"/>
      <c r="D144" s="6"/>
      <c r="E144" s="6" t="s">
        <v>384</v>
      </c>
      <c r="F144" s="6"/>
      <c r="G144" s="6"/>
    </row>
    <row r="145" spans="2:7" x14ac:dyDescent="0.25">
      <c r="B145" s="8"/>
      <c r="C145" s="8"/>
      <c r="D145" s="8"/>
      <c r="E145" s="96" t="s">
        <v>378</v>
      </c>
      <c r="F145" s="8"/>
      <c r="G145" s="8"/>
    </row>
    <row r="146" spans="2:7" x14ac:dyDescent="0.25">
      <c r="B146" s="9"/>
      <c r="C146" s="9"/>
      <c r="D146" s="9"/>
      <c r="E146" s="97" t="s">
        <v>2826</v>
      </c>
      <c r="F146" s="9"/>
      <c r="G146" s="9"/>
    </row>
    <row r="147" spans="2:7" x14ac:dyDescent="0.25">
      <c r="B147" s="9"/>
      <c r="C147" s="9"/>
      <c r="D147" s="9"/>
      <c r="E147" s="9" t="s">
        <v>2825</v>
      </c>
      <c r="F147" s="9"/>
      <c r="G147" s="9"/>
    </row>
    <row r="148" spans="2:7" x14ac:dyDescent="0.25">
      <c r="B148" s="85" t="s">
        <v>385</v>
      </c>
      <c r="C148" s="9"/>
      <c r="D148" s="9"/>
      <c r="E148" s="9" t="s">
        <v>386</v>
      </c>
      <c r="F148" s="9"/>
      <c r="G148" s="9"/>
    </row>
    <row r="149" spans="2:7" x14ac:dyDescent="0.25">
      <c r="B149" s="9"/>
      <c r="C149" s="9"/>
      <c r="D149" s="9"/>
      <c r="E149" s="81" t="s">
        <v>379</v>
      </c>
      <c r="F149" s="9"/>
      <c r="G149" s="9"/>
    </row>
    <row r="150" spans="2:7" x14ac:dyDescent="0.25">
      <c r="B150" s="6"/>
      <c r="C150" s="6"/>
      <c r="D150" s="6"/>
      <c r="E150" s="6" t="s">
        <v>2827</v>
      </c>
      <c r="F150" s="6"/>
      <c r="G150" s="6"/>
    </row>
    <row r="151" spans="2:7" x14ac:dyDescent="0.25">
      <c r="B151" s="8"/>
      <c r="C151" s="8"/>
      <c r="D151" s="8"/>
      <c r="E151" s="96" t="s">
        <v>378</v>
      </c>
      <c r="F151" s="8"/>
      <c r="G151" s="8"/>
    </row>
    <row r="152" spans="2:7" x14ac:dyDescent="0.25">
      <c r="B152" s="9"/>
      <c r="C152" s="9"/>
      <c r="D152" s="9"/>
      <c r="E152" s="9" t="s">
        <v>2828</v>
      </c>
      <c r="F152" s="9"/>
      <c r="G152" s="9"/>
    </row>
    <row r="153" spans="2:7" x14ac:dyDescent="0.25">
      <c r="B153" s="9"/>
      <c r="C153" s="9"/>
      <c r="D153" s="9"/>
      <c r="E153" s="9" t="s">
        <v>2829</v>
      </c>
      <c r="F153" s="9"/>
      <c r="G153" s="9"/>
    </row>
    <row r="154" spans="2:7" x14ac:dyDescent="0.25">
      <c r="B154" s="85" t="s">
        <v>387</v>
      </c>
      <c r="C154" s="9"/>
      <c r="D154" s="9"/>
      <c r="E154" s="9" t="s">
        <v>388</v>
      </c>
      <c r="F154" s="9"/>
      <c r="G154" s="9"/>
    </row>
    <row r="155" spans="2:7" x14ac:dyDescent="0.25">
      <c r="B155" s="9"/>
      <c r="C155" s="9"/>
      <c r="D155" s="9"/>
      <c r="E155" s="81" t="s">
        <v>389</v>
      </c>
      <c r="F155" s="9"/>
      <c r="G155" s="35" t="s">
        <v>754</v>
      </c>
    </row>
    <row r="156" spans="2:7" x14ac:dyDescent="0.25">
      <c r="B156" s="9"/>
      <c r="C156" s="9"/>
      <c r="D156" s="9"/>
      <c r="E156" s="9" t="s">
        <v>2830</v>
      </c>
      <c r="F156" s="9"/>
      <c r="G156" s="9"/>
    </row>
    <row r="157" spans="2:7" x14ac:dyDescent="0.25">
      <c r="B157" s="6"/>
      <c r="C157" s="6"/>
      <c r="D157" s="6"/>
      <c r="E157" s="6" t="s">
        <v>390</v>
      </c>
      <c r="F157" s="6"/>
      <c r="G157" s="6"/>
    </row>
    <row r="158" spans="2:7" x14ac:dyDescent="0.25">
      <c r="B158" s="92" t="s">
        <v>391</v>
      </c>
      <c r="C158" s="93"/>
      <c r="D158" s="93"/>
      <c r="E158" s="93"/>
      <c r="F158" s="93"/>
      <c r="G158" s="94"/>
    </row>
    <row r="159" spans="2:7" x14ac:dyDescent="0.25">
      <c r="B159" s="98" t="s">
        <v>392</v>
      </c>
      <c r="C159" s="3" t="s">
        <v>2866</v>
      </c>
      <c r="D159" s="8"/>
      <c r="E159" s="8" t="s">
        <v>393</v>
      </c>
      <c r="F159" s="3" t="s">
        <v>2898</v>
      </c>
      <c r="G159" s="8"/>
    </row>
    <row r="160" spans="2:7" x14ac:dyDescent="0.25">
      <c r="B160" s="5" t="s">
        <v>625</v>
      </c>
      <c r="C160" s="6"/>
      <c r="D160" s="6"/>
      <c r="E160" s="6" t="s">
        <v>394</v>
      </c>
      <c r="F160" s="6"/>
      <c r="G160" s="308" t="s">
        <v>663</v>
      </c>
    </row>
    <row r="161" spans="2:7" x14ac:dyDescent="0.25">
      <c r="B161" s="98" t="s">
        <v>395</v>
      </c>
      <c r="C161" s="8"/>
      <c r="D161" s="8"/>
      <c r="E161" s="8" t="s">
        <v>396</v>
      </c>
      <c r="F161" s="8"/>
      <c r="G161" s="8"/>
    </row>
    <row r="162" spans="2:7" x14ac:dyDescent="0.25">
      <c r="B162" s="5" t="s">
        <v>626</v>
      </c>
      <c r="C162" s="6"/>
      <c r="D162" s="6"/>
      <c r="E162" s="6" t="s">
        <v>394</v>
      </c>
      <c r="F162" s="6"/>
      <c r="G162" s="308" t="s">
        <v>663</v>
      </c>
    </row>
    <row r="163" spans="2:7" x14ac:dyDescent="0.25">
      <c r="B163" s="98" t="s">
        <v>397</v>
      </c>
      <c r="C163" s="8"/>
      <c r="D163" s="8"/>
      <c r="E163" s="8" t="s">
        <v>398</v>
      </c>
      <c r="F163" s="8"/>
      <c r="G163" s="8"/>
    </row>
    <row r="164" spans="2:7" x14ac:dyDescent="0.25">
      <c r="B164" s="5" t="s">
        <v>627</v>
      </c>
      <c r="C164" s="6"/>
      <c r="D164" s="6"/>
      <c r="E164" s="6" t="s">
        <v>399</v>
      </c>
      <c r="F164" s="6"/>
      <c r="G164" s="308" t="s">
        <v>663</v>
      </c>
    </row>
    <row r="165" spans="2:7" x14ac:dyDescent="0.25">
      <c r="B165" s="8"/>
      <c r="C165" s="8"/>
      <c r="D165" s="8"/>
      <c r="E165" s="8" t="s">
        <v>404</v>
      </c>
      <c r="F165" s="8"/>
      <c r="G165" s="8"/>
    </row>
    <row r="166" spans="2:7" x14ac:dyDescent="0.25">
      <c r="B166" s="9"/>
      <c r="C166" s="9"/>
      <c r="D166" s="9"/>
      <c r="E166" s="9" t="s">
        <v>403</v>
      </c>
      <c r="G166" s="9"/>
    </row>
    <row r="167" spans="2:7" x14ac:dyDescent="0.25">
      <c r="B167" s="85" t="s">
        <v>400</v>
      </c>
      <c r="C167" s="197" t="s">
        <v>401</v>
      </c>
      <c r="D167" s="9"/>
      <c r="E167" s="9" t="s">
        <v>405</v>
      </c>
      <c r="F167" s="9" t="s">
        <v>402</v>
      </c>
      <c r="G167" s="35" t="s">
        <v>663</v>
      </c>
    </row>
    <row r="168" spans="2:7" x14ac:dyDescent="0.25">
      <c r="B168" s="4" t="s">
        <v>624</v>
      </c>
      <c r="C168" s="9"/>
      <c r="D168" s="9"/>
      <c r="E168" s="9" t="s">
        <v>406</v>
      </c>
      <c r="F168" s="197" t="s">
        <v>401</v>
      </c>
      <c r="G168" s="9"/>
    </row>
    <row r="169" spans="2:7" x14ac:dyDescent="0.25">
      <c r="B169" s="9"/>
      <c r="C169" s="9"/>
      <c r="D169" s="9"/>
      <c r="E169" s="9" t="s">
        <v>407</v>
      </c>
      <c r="F169" s="9"/>
      <c r="G169" s="9"/>
    </row>
    <row r="170" spans="2:7" x14ac:dyDescent="0.25">
      <c r="B170" s="6"/>
      <c r="C170" s="6"/>
      <c r="D170" s="6"/>
      <c r="E170" s="100" t="s">
        <v>408</v>
      </c>
      <c r="F170" s="6"/>
      <c r="G170" s="6"/>
    </row>
    <row r="171" spans="2:7" x14ac:dyDescent="0.25">
      <c r="B171" s="8"/>
      <c r="C171" s="8"/>
      <c r="D171" s="8"/>
      <c r="E171" s="8" t="s">
        <v>434</v>
      </c>
      <c r="F171" s="8"/>
      <c r="G171" s="8"/>
    </row>
    <row r="172" spans="2:7" x14ac:dyDescent="0.25">
      <c r="B172" s="9"/>
      <c r="C172" s="9"/>
      <c r="D172" s="9"/>
      <c r="E172" s="9" t="s">
        <v>435</v>
      </c>
      <c r="F172" s="9"/>
      <c r="G172" s="9"/>
    </row>
    <row r="173" spans="2:7" x14ac:dyDescent="0.25">
      <c r="B173" s="85" t="s">
        <v>440</v>
      </c>
      <c r="C173" s="9"/>
      <c r="D173" s="9"/>
      <c r="E173" s="9" t="s">
        <v>436</v>
      </c>
      <c r="F173" s="9"/>
      <c r="G173" s="9"/>
    </row>
    <row r="174" spans="2:7" x14ac:dyDescent="0.25">
      <c r="B174" s="9"/>
      <c r="C174" s="9"/>
      <c r="D174" s="9"/>
      <c r="E174" s="9" t="s">
        <v>437</v>
      </c>
      <c r="F174" s="9"/>
      <c r="G174" s="9"/>
    </row>
    <row r="175" spans="2:7" x14ac:dyDescent="0.25">
      <c r="B175" s="9"/>
      <c r="C175" s="9"/>
      <c r="D175" s="9"/>
      <c r="E175" s="9" t="s">
        <v>438</v>
      </c>
      <c r="F175" s="9"/>
      <c r="G175" s="9"/>
    </row>
    <row r="176" spans="2:7" x14ac:dyDescent="0.25">
      <c r="B176" s="6"/>
      <c r="C176" s="6"/>
      <c r="D176" s="6"/>
      <c r="E176" s="6" t="s">
        <v>439</v>
      </c>
      <c r="F176" s="6"/>
      <c r="G176" s="6"/>
    </row>
    <row r="177" spans="2:7" x14ac:dyDescent="0.25">
      <c r="B177" s="946" t="s">
        <v>1024</v>
      </c>
      <c r="C177" s="947"/>
      <c r="D177" s="947"/>
      <c r="E177" s="947"/>
      <c r="F177" s="947"/>
      <c r="G177" s="948"/>
    </row>
    <row r="178" spans="2:7" x14ac:dyDescent="0.25">
      <c r="B178" s="201" t="s">
        <v>422</v>
      </c>
      <c r="C178" s="199"/>
      <c r="D178" s="199"/>
      <c r="E178" s="199"/>
      <c r="F178" s="199"/>
      <c r="G178" s="200"/>
    </row>
    <row r="179" spans="2:7" x14ac:dyDescent="0.25">
      <c r="B179" s="8"/>
      <c r="C179" s="8"/>
      <c r="D179" s="8"/>
      <c r="E179" s="8"/>
      <c r="F179" s="8" t="s">
        <v>2832</v>
      </c>
      <c r="G179" s="8"/>
    </row>
    <row r="180" spans="2:7" x14ac:dyDescent="0.25">
      <c r="B180" s="9"/>
      <c r="C180" s="9"/>
      <c r="D180" s="9"/>
      <c r="E180" s="9"/>
      <c r="F180" s="9" t="s">
        <v>442</v>
      </c>
      <c r="G180" s="9"/>
    </row>
    <row r="181" spans="2:7" x14ac:dyDescent="0.25">
      <c r="B181" s="85" t="s">
        <v>441</v>
      </c>
      <c r="C181" s="9"/>
      <c r="D181" s="9"/>
      <c r="E181" s="9"/>
      <c r="F181" s="81" t="s">
        <v>443</v>
      </c>
      <c r="G181" s="9"/>
    </row>
    <row r="182" spans="2:7" x14ac:dyDescent="0.25">
      <c r="B182" s="9"/>
      <c r="C182" s="9"/>
      <c r="D182" s="9"/>
      <c r="E182" s="9"/>
      <c r="F182" s="9" t="s">
        <v>444</v>
      </c>
      <c r="G182" s="9"/>
    </row>
    <row r="183" spans="2:7" x14ac:dyDescent="0.25">
      <c r="B183" s="9"/>
      <c r="C183" s="9"/>
      <c r="D183" s="9"/>
      <c r="E183" s="9"/>
      <c r="F183" s="9" t="s">
        <v>445</v>
      </c>
      <c r="G183" s="9"/>
    </row>
    <row r="184" spans="2:7" x14ac:dyDescent="0.25">
      <c r="B184" s="6"/>
      <c r="C184" s="6"/>
      <c r="D184" s="6"/>
      <c r="E184" s="6"/>
      <c r="F184" s="6" t="s">
        <v>446</v>
      </c>
      <c r="G184" s="6"/>
    </row>
    <row r="185" spans="2:7" x14ac:dyDescent="0.25">
      <c r="B185" s="8"/>
      <c r="C185" s="8"/>
      <c r="D185" s="8"/>
      <c r="E185" s="9" t="s">
        <v>425</v>
      </c>
      <c r="F185" s="8"/>
      <c r="G185" s="8"/>
    </row>
    <row r="186" spans="2:7" x14ac:dyDescent="0.25">
      <c r="B186" s="85" t="s">
        <v>423</v>
      </c>
      <c r="C186" s="9" t="s">
        <v>424</v>
      </c>
      <c r="D186" s="9"/>
      <c r="E186" s="9"/>
      <c r="F186" s="9"/>
      <c r="G186" s="9"/>
    </row>
    <row r="187" spans="2:7" x14ac:dyDescent="0.25">
      <c r="B187" s="6"/>
      <c r="C187" s="6"/>
      <c r="D187" s="6"/>
      <c r="E187" s="6"/>
      <c r="F187" s="6"/>
      <c r="G187" s="6"/>
    </row>
    <row r="188" spans="2:7" x14ac:dyDescent="0.25">
      <c r="B188" s="8"/>
      <c r="C188" s="8"/>
      <c r="D188" s="8"/>
      <c r="E188" s="8"/>
      <c r="F188" s="8"/>
      <c r="G188" s="8"/>
    </row>
    <row r="189" spans="2:7" x14ac:dyDescent="0.25">
      <c r="B189" s="85" t="s">
        <v>426</v>
      </c>
      <c r="C189" s="9" t="s">
        <v>427</v>
      </c>
      <c r="D189" s="9"/>
      <c r="E189" s="9"/>
      <c r="F189" s="9"/>
      <c r="G189" s="9"/>
    </row>
    <row r="190" spans="2:7" x14ac:dyDescent="0.25">
      <c r="B190" s="6"/>
      <c r="C190" s="6"/>
      <c r="D190" s="6"/>
      <c r="E190" s="6"/>
      <c r="F190" s="6"/>
      <c r="G190" s="6"/>
    </row>
    <row r="191" spans="2:7" x14ac:dyDescent="0.25">
      <c r="B191" s="8"/>
      <c r="C191" s="8"/>
      <c r="D191" s="8"/>
      <c r="E191" s="8" t="s">
        <v>429</v>
      </c>
      <c r="F191" s="8"/>
      <c r="G191" s="8"/>
    </row>
    <row r="192" spans="2:7" x14ac:dyDescent="0.25">
      <c r="B192" s="85" t="s">
        <v>428</v>
      </c>
      <c r="C192" s="9"/>
      <c r="D192" s="9"/>
      <c r="E192" s="9" t="s">
        <v>430</v>
      </c>
      <c r="F192" s="9"/>
      <c r="G192" s="9"/>
    </row>
    <row r="193" spans="2:7" x14ac:dyDescent="0.25">
      <c r="B193" s="6"/>
      <c r="C193" s="6"/>
      <c r="D193" s="6"/>
      <c r="E193" s="6" t="s">
        <v>431</v>
      </c>
      <c r="F193" s="6"/>
      <c r="G193" s="6"/>
    </row>
    <row r="194" spans="2:7" x14ac:dyDescent="0.25">
      <c r="B194" s="8"/>
      <c r="C194" s="8"/>
      <c r="D194" s="8"/>
      <c r="E194" s="8"/>
      <c r="F194" s="8"/>
      <c r="G194" s="8"/>
    </row>
    <row r="195" spans="2:7" x14ac:dyDescent="0.25">
      <c r="B195" s="85" t="s">
        <v>392</v>
      </c>
      <c r="C195" s="9" t="s">
        <v>432</v>
      </c>
      <c r="D195" s="9"/>
      <c r="E195" s="9" t="s">
        <v>433</v>
      </c>
      <c r="F195" s="9"/>
      <c r="G195" s="9"/>
    </row>
    <row r="196" spans="2:7" x14ac:dyDescent="0.25">
      <c r="B196" s="6"/>
      <c r="C196" s="6"/>
      <c r="D196" s="6"/>
      <c r="E196" s="6"/>
      <c r="F196" s="6"/>
      <c r="G196" s="6"/>
    </row>
    <row r="197" spans="2:7" x14ac:dyDescent="0.25">
      <c r="B197" s="73" t="s">
        <v>1</v>
      </c>
      <c r="C197" s="74"/>
    </row>
    <row r="198" spans="2:7" x14ac:dyDescent="0.25">
      <c r="B198" s="75" t="s">
        <v>111</v>
      </c>
      <c r="C198" s="76"/>
      <c r="D198" s="69"/>
      <c r="E198" s="69"/>
      <c r="F198" s="69"/>
    </row>
    <row r="199" spans="2:7" x14ac:dyDescent="0.25">
      <c r="B199" s="77" t="s">
        <v>112</v>
      </c>
      <c r="C199" s="78"/>
    </row>
    <row r="200" spans="2:7" x14ac:dyDescent="0.25">
      <c r="B200" s="202" t="s">
        <v>447</v>
      </c>
      <c r="C200" s="79"/>
      <c r="D200" s="79"/>
      <c r="E200" s="79"/>
      <c r="F200" s="79"/>
      <c r="G200" s="80"/>
    </row>
    <row r="201" spans="2:7" x14ac:dyDescent="0.25">
      <c r="B201" s="8"/>
      <c r="C201" s="33"/>
      <c r="D201" s="33"/>
      <c r="E201" s="13" t="s">
        <v>94</v>
      </c>
      <c r="F201" s="13" t="s">
        <v>95</v>
      </c>
      <c r="G201" s="8"/>
    </row>
    <row r="202" spans="2:7" x14ac:dyDescent="0.25">
      <c r="B202" s="9"/>
      <c r="C202" s="9"/>
      <c r="D202" s="32"/>
      <c r="E202" s="14" t="s">
        <v>2833</v>
      </c>
      <c r="F202" s="14" t="s">
        <v>163</v>
      </c>
      <c r="G202" s="9"/>
    </row>
    <row r="203" spans="2:7" x14ac:dyDescent="0.25">
      <c r="B203" s="9"/>
      <c r="C203" s="9"/>
      <c r="D203" s="32"/>
      <c r="E203" s="14" t="s">
        <v>96</v>
      </c>
      <c r="F203" s="67" t="s">
        <v>97</v>
      </c>
      <c r="G203" s="9"/>
    </row>
    <row r="204" spans="2:7" x14ac:dyDescent="0.25">
      <c r="B204" s="85"/>
      <c r="C204" s="362" t="s">
        <v>92</v>
      </c>
      <c r="D204" s="32"/>
      <c r="E204" s="14"/>
      <c r="F204" s="67" t="s">
        <v>99</v>
      </c>
      <c r="G204" s="9"/>
    </row>
    <row r="205" spans="2:7" x14ac:dyDescent="0.25">
      <c r="B205" s="85" t="s">
        <v>93</v>
      </c>
      <c r="C205" s="32" t="s">
        <v>971</v>
      </c>
      <c r="D205" s="32"/>
      <c r="E205" s="14"/>
      <c r="F205" s="361" t="s">
        <v>977</v>
      </c>
      <c r="G205" s="9"/>
    </row>
    <row r="206" spans="2:7" x14ac:dyDescent="0.25">
      <c r="B206" s="85" t="s">
        <v>10</v>
      </c>
      <c r="C206" s="32" t="s">
        <v>987</v>
      </c>
      <c r="D206" s="32"/>
      <c r="E206" s="14"/>
      <c r="F206" s="361" t="s">
        <v>978</v>
      </c>
      <c r="G206" s="65" t="s">
        <v>98</v>
      </c>
    </row>
    <row r="207" spans="2:7" x14ac:dyDescent="0.25">
      <c r="B207" s="85" t="s">
        <v>42</v>
      </c>
      <c r="C207" s="32" t="s">
        <v>988</v>
      </c>
      <c r="D207" s="32"/>
      <c r="E207" s="14"/>
      <c r="F207" s="361" t="s">
        <v>979</v>
      </c>
      <c r="G207" s="9"/>
    </row>
    <row r="208" spans="2:7" x14ac:dyDescent="0.25">
      <c r="B208" s="85"/>
      <c r="C208" s="32" t="s">
        <v>975</v>
      </c>
      <c r="D208" s="32"/>
      <c r="E208" s="14"/>
      <c r="F208" s="361" t="s">
        <v>2834</v>
      </c>
      <c r="G208" s="9"/>
    </row>
    <row r="209" spans="2:7" x14ac:dyDescent="0.25">
      <c r="B209" s="85"/>
      <c r="C209" s="32" t="s">
        <v>988</v>
      </c>
      <c r="D209" s="32"/>
      <c r="E209" s="14"/>
      <c r="F209" s="361" t="s">
        <v>980</v>
      </c>
      <c r="G209" s="9"/>
    </row>
    <row r="210" spans="2:7" x14ac:dyDescent="0.25">
      <c r="B210" s="85"/>
      <c r="C210" s="32" t="s">
        <v>976</v>
      </c>
      <c r="D210" s="32"/>
      <c r="E210" s="14"/>
      <c r="F210" s="361" t="s">
        <v>981</v>
      </c>
      <c r="G210" s="9"/>
    </row>
    <row r="211" spans="2:7" x14ac:dyDescent="0.25">
      <c r="B211" s="85"/>
      <c r="C211" s="32" t="s">
        <v>988</v>
      </c>
      <c r="D211" s="32"/>
      <c r="E211" s="14"/>
      <c r="F211" s="361" t="s">
        <v>2835</v>
      </c>
      <c r="G211" s="9"/>
    </row>
    <row r="212" spans="2:7" x14ac:dyDescent="0.25">
      <c r="B212" s="85"/>
      <c r="C212" s="32"/>
      <c r="D212" s="32"/>
      <c r="E212" s="14"/>
      <c r="F212" s="361" t="s">
        <v>982</v>
      </c>
      <c r="G212" s="9"/>
    </row>
    <row r="213" spans="2:7" x14ac:dyDescent="0.25">
      <c r="B213" s="85"/>
      <c r="C213" s="32"/>
      <c r="D213" s="32"/>
      <c r="E213" s="14"/>
      <c r="F213" s="361"/>
      <c r="G213" s="9"/>
    </row>
    <row r="214" spans="2:7" x14ac:dyDescent="0.25">
      <c r="B214" s="85"/>
      <c r="C214" s="32"/>
      <c r="D214" s="32"/>
      <c r="E214" s="14"/>
      <c r="F214" s="361"/>
      <c r="G214" s="9"/>
    </row>
    <row r="215" spans="2:7" x14ac:dyDescent="0.25">
      <c r="B215" s="85"/>
      <c r="C215" s="32"/>
      <c r="D215" s="32"/>
      <c r="E215" s="14"/>
      <c r="F215" s="361"/>
      <c r="G215" s="9"/>
    </row>
    <row r="216" spans="2:7" x14ac:dyDescent="0.25">
      <c r="B216" s="85"/>
      <c r="C216" s="32"/>
      <c r="D216" s="32"/>
      <c r="E216" s="14"/>
      <c r="F216" s="361"/>
      <c r="G216" s="9"/>
    </row>
    <row r="217" spans="2:7" x14ac:dyDescent="0.25">
      <c r="B217" s="98" t="s">
        <v>41</v>
      </c>
      <c r="C217" s="33"/>
      <c r="D217" s="33"/>
      <c r="E217" s="13" t="s">
        <v>44</v>
      </c>
      <c r="F217" s="13" t="s">
        <v>48</v>
      </c>
      <c r="G217" s="8"/>
    </row>
    <row r="218" spans="2:7" x14ac:dyDescent="0.25">
      <c r="B218" s="85" t="s">
        <v>10</v>
      </c>
      <c r="C218" s="32" t="s">
        <v>81</v>
      </c>
      <c r="D218" s="32"/>
      <c r="E218" s="14" t="s">
        <v>46</v>
      </c>
      <c r="F218" s="14" t="s">
        <v>49</v>
      </c>
      <c r="G218" s="65" t="s">
        <v>78</v>
      </c>
    </row>
    <row r="219" spans="2:7" x14ac:dyDescent="0.25">
      <c r="B219" s="85" t="s">
        <v>47</v>
      </c>
      <c r="C219" s="32"/>
      <c r="D219" s="32"/>
      <c r="E219" s="14" t="s">
        <v>45</v>
      </c>
      <c r="F219" s="14" t="s">
        <v>972</v>
      </c>
      <c r="G219" s="6"/>
    </row>
    <row r="220" spans="2:7" x14ac:dyDescent="0.25">
      <c r="B220" s="99"/>
      <c r="C220" s="3"/>
      <c r="D220" s="33"/>
      <c r="E220" s="13" t="s">
        <v>83</v>
      </c>
      <c r="F220" s="13" t="s">
        <v>84</v>
      </c>
      <c r="G220" s="13"/>
    </row>
    <row r="221" spans="2:7" x14ac:dyDescent="0.25">
      <c r="B221" s="86" t="s">
        <v>79</v>
      </c>
      <c r="C221" s="4" t="s">
        <v>82</v>
      </c>
      <c r="D221" s="32"/>
      <c r="E221" s="14" t="s">
        <v>89</v>
      </c>
      <c r="F221" s="14" t="s">
        <v>85</v>
      </c>
      <c r="G221" s="66" t="s">
        <v>88</v>
      </c>
    </row>
    <row r="222" spans="2:7" x14ac:dyDescent="0.25">
      <c r="B222" s="86" t="s">
        <v>80</v>
      </c>
      <c r="C222" s="4"/>
      <c r="D222" s="32"/>
      <c r="E222" s="14" t="s">
        <v>90</v>
      </c>
      <c r="F222" s="14" t="s">
        <v>86</v>
      </c>
      <c r="G222" s="14"/>
    </row>
    <row r="223" spans="2:7" x14ac:dyDescent="0.25">
      <c r="B223" s="86" t="s">
        <v>3004</v>
      </c>
      <c r="C223" s="4"/>
      <c r="D223" s="32"/>
      <c r="E223" s="14" t="s">
        <v>91</v>
      </c>
      <c r="F223" s="14" t="s">
        <v>87</v>
      </c>
      <c r="G223" s="15"/>
    </row>
    <row r="224" spans="2:7" x14ac:dyDescent="0.25">
      <c r="B224" s="98"/>
      <c r="C224" s="3"/>
      <c r="D224" s="3"/>
      <c r="E224" s="12"/>
      <c r="F224" s="8" t="s">
        <v>6</v>
      </c>
      <c r="G224" s="8"/>
    </row>
    <row r="225" spans="2:7" x14ac:dyDescent="0.25">
      <c r="B225" s="85"/>
      <c r="C225" s="32"/>
      <c r="D225" s="4"/>
      <c r="E225" s="7"/>
      <c r="F225" s="31" t="s">
        <v>40</v>
      </c>
      <c r="G225" s="9"/>
    </row>
    <row r="226" spans="2:7" x14ac:dyDescent="0.25">
      <c r="B226" s="85"/>
      <c r="C226" s="32"/>
      <c r="D226" s="4"/>
      <c r="E226" s="7"/>
      <c r="F226" s="9" t="s">
        <v>12</v>
      </c>
      <c r="G226" s="9"/>
    </row>
    <row r="227" spans="2:7" x14ac:dyDescent="0.25">
      <c r="B227" s="85"/>
      <c r="C227" s="34"/>
      <c r="D227" s="71"/>
      <c r="E227" s="9" t="s">
        <v>8</v>
      </c>
      <c r="F227" s="14" t="s">
        <v>13</v>
      </c>
      <c r="G227" s="9"/>
    </row>
    <row r="228" spans="2:7" x14ac:dyDescent="0.25">
      <c r="B228" s="85" t="s">
        <v>0</v>
      </c>
      <c r="C228" s="362" t="s">
        <v>2</v>
      </c>
      <c r="D228" s="72"/>
      <c r="E228" s="9" t="s">
        <v>7</v>
      </c>
      <c r="F228" s="7"/>
      <c r="G228" s="9"/>
    </row>
    <row r="229" spans="2:7" x14ac:dyDescent="0.25">
      <c r="B229" s="85" t="s">
        <v>10</v>
      </c>
      <c r="C229" s="32" t="s">
        <v>449</v>
      </c>
      <c r="D229" s="72"/>
      <c r="E229" s="9" t="s">
        <v>14</v>
      </c>
      <c r="F229" s="14" t="s">
        <v>113</v>
      </c>
      <c r="G229" s="9"/>
    </row>
    <row r="230" spans="2:7" x14ac:dyDescent="0.25">
      <c r="B230" s="85" t="s">
        <v>11</v>
      </c>
      <c r="C230" s="32" t="s">
        <v>50</v>
      </c>
      <c r="D230" s="70"/>
      <c r="E230" s="14" t="s">
        <v>16</v>
      </c>
      <c r="F230" s="14" t="s">
        <v>114</v>
      </c>
      <c r="G230" s="35" t="s">
        <v>17</v>
      </c>
    </row>
    <row r="231" spans="2:7" x14ac:dyDescent="0.25">
      <c r="B231" s="85"/>
      <c r="C231" s="4" t="s">
        <v>448</v>
      </c>
      <c r="D231" s="70"/>
      <c r="E231" s="14"/>
      <c r="F231" s="14" t="s">
        <v>115</v>
      </c>
      <c r="G231" s="9"/>
    </row>
    <row r="232" spans="2:7" x14ac:dyDescent="0.25">
      <c r="B232" s="85"/>
      <c r="C232" s="4"/>
      <c r="D232" s="70"/>
      <c r="E232" s="14"/>
      <c r="F232" s="7" t="s">
        <v>116</v>
      </c>
      <c r="G232" s="9"/>
    </row>
    <row r="233" spans="2:7" x14ac:dyDescent="0.25">
      <c r="B233" s="85"/>
      <c r="C233" s="32"/>
      <c r="D233" s="70"/>
      <c r="E233" s="14"/>
      <c r="F233" s="7" t="s">
        <v>117</v>
      </c>
      <c r="G233" s="9"/>
    </row>
    <row r="234" spans="2:7" x14ac:dyDescent="0.25">
      <c r="B234" s="85"/>
      <c r="C234" s="32"/>
      <c r="D234" s="70"/>
      <c r="E234" s="14"/>
      <c r="F234" s="7"/>
      <c r="G234" s="9"/>
    </row>
    <row r="235" spans="2:7" x14ac:dyDescent="0.25">
      <c r="B235" s="85"/>
      <c r="C235" s="32"/>
      <c r="D235" s="70"/>
      <c r="E235" s="14"/>
      <c r="F235" s="7"/>
      <c r="G235" s="9"/>
    </row>
    <row r="236" spans="2:7" x14ac:dyDescent="0.25">
      <c r="B236" s="98" t="s">
        <v>100</v>
      </c>
      <c r="C236" s="33"/>
      <c r="D236" s="33"/>
      <c r="E236" s="13" t="s">
        <v>103</v>
      </c>
      <c r="F236" s="13"/>
      <c r="G236" s="8"/>
    </row>
    <row r="237" spans="2:7" x14ac:dyDescent="0.25">
      <c r="B237" s="85" t="s">
        <v>101</v>
      </c>
      <c r="C237" s="32" t="s">
        <v>102</v>
      </c>
      <c r="D237" s="32"/>
      <c r="E237" s="14" t="s">
        <v>104</v>
      </c>
      <c r="F237" s="14"/>
      <c r="G237" s="9"/>
    </row>
    <row r="238" spans="2:7" x14ac:dyDescent="0.25">
      <c r="B238" s="85"/>
      <c r="C238" s="32"/>
      <c r="D238" s="32"/>
      <c r="E238" s="14" t="s">
        <v>105</v>
      </c>
      <c r="F238" s="14"/>
      <c r="G238" s="6"/>
    </row>
    <row r="239" spans="2:7" x14ac:dyDescent="0.25">
      <c r="B239" s="99" t="s">
        <v>106</v>
      </c>
      <c r="C239" s="68"/>
      <c r="D239" s="68"/>
      <c r="E239" s="10" t="s">
        <v>109</v>
      </c>
      <c r="F239" s="8"/>
      <c r="G239" s="8"/>
    </row>
    <row r="240" spans="2:7" x14ac:dyDescent="0.25">
      <c r="B240" s="86" t="s">
        <v>107</v>
      </c>
      <c r="C240" s="34" t="s">
        <v>108</v>
      </c>
      <c r="D240" s="34"/>
      <c r="E240" s="11" t="s">
        <v>110</v>
      </c>
      <c r="F240" s="9"/>
      <c r="G240" s="9"/>
    </row>
    <row r="241" spans="2:7" x14ac:dyDescent="0.25">
      <c r="B241" s="34"/>
      <c r="C241" s="34"/>
      <c r="D241" s="34"/>
      <c r="E241" s="11"/>
      <c r="F241" s="9"/>
      <c r="G241" s="9"/>
    </row>
    <row r="242" spans="2:7" x14ac:dyDescent="0.25">
      <c r="B242" s="202" t="s">
        <v>450</v>
      </c>
      <c r="C242" s="79"/>
      <c r="D242" s="79"/>
      <c r="E242" s="79"/>
      <c r="F242" s="79"/>
      <c r="G242" s="80"/>
    </row>
    <row r="243" spans="2:7" x14ac:dyDescent="0.25">
      <c r="B243" s="8"/>
      <c r="C243" s="3"/>
      <c r="D243" s="3"/>
      <c r="E243" s="8"/>
      <c r="F243" s="8" t="s">
        <v>2836</v>
      </c>
      <c r="G243" s="8"/>
    </row>
    <row r="244" spans="2:7" x14ac:dyDescent="0.25">
      <c r="B244" s="85" t="s">
        <v>451</v>
      </c>
      <c r="C244" s="4"/>
      <c r="D244" s="4"/>
      <c r="E244" s="9"/>
      <c r="F244" s="9" t="s">
        <v>2837</v>
      </c>
      <c r="G244" s="9"/>
    </row>
    <row r="245" spans="2:7" x14ac:dyDescent="0.25">
      <c r="B245" s="85"/>
      <c r="C245" s="4"/>
      <c r="D245" s="4"/>
      <c r="E245" s="9"/>
      <c r="F245" s="9" t="s">
        <v>794</v>
      </c>
      <c r="G245" s="9"/>
    </row>
    <row r="246" spans="2:7" x14ac:dyDescent="0.25">
      <c r="B246" s="6"/>
      <c r="C246" s="5"/>
      <c r="D246" s="5"/>
      <c r="E246" s="6"/>
      <c r="F246" s="6" t="s">
        <v>803</v>
      </c>
      <c r="G246" s="6"/>
    </row>
    <row r="247" spans="2:7" x14ac:dyDescent="0.25">
      <c r="B247" s="8"/>
      <c r="C247" s="3"/>
      <c r="D247" s="3"/>
      <c r="E247" s="8" t="s">
        <v>797</v>
      </c>
      <c r="F247" s="8" t="s">
        <v>800</v>
      </c>
      <c r="G247" s="8"/>
    </row>
    <row r="248" spans="2:7" x14ac:dyDescent="0.25">
      <c r="B248" s="85" t="s">
        <v>795</v>
      </c>
      <c r="C248" s="4"/>
      <c r="D248" s="4"/>
      <c r="E248" s="9" t="s">
        <v>798</v>
      </c>
      <c r="F248" s="9" t="s">
        <v>801</v>
      </c>
      <c r="G248" s="35" t="s">
        <v>875</v>
      </c>
    </row>
    <row r="249" spans="2:7" x14ac:dyDescent="0.25">
      <c r="B249" s="4" t="s">
        <v>804</v>
      </c>
      <c r="C249" s="4" t="s">
        <v>796</v>
      </c>
      <c r="D249" s="9"/>
      <c r="E249" s="9" t="s">
        <v>799</v>
      </c>
      <c r="F249" s="9" t="s">
        <v>802</v>
      </c>
      <c r="G249" s="9"/>
    </row>
    <row r="250" spans="2:7" x14ac:dyDescent="0.25">
      <c r="B250" s="6"/>
      <c r="C250" s="6"/>
      <c r="D250" s="6"/>
      <c r="E250" s="6"/>
      <c r="F250" s="6" t="s">
        <v>803</v>
      </c>
      <c r="G250" s="6"/>
    </row>
    <row r="251" spans="2:7" x14ac:dyDescent="0.25">
      <c r="B251" s="8"/>
      <c r="C251" s="8"/>
      <c r="D251" s="8"/>
      <c r="E251" s="8"/>
      <c r="F251" s="8" t="s">
        <v>809</v>
      </c>
      <c r="G251" s="8"/>
    </row>
    <row r="252" spans="2:7" x14ac:dyDescent="0.25">
      <c r="B252" s="85" t="s">
        <v>822</v>
      </c>
      <c r="C252" s="9"/>
      <c r="D252" s="9"/>
      <c r="E252" s="9" t="s">
        <v>807</v>
      </c>
      <c r="F252" s="9" t="s">
        <v>810</v>
      </c>
      <c r="G252" s="9"/>
    </row>
    <row r="253" spans="2:7" x14ac:dyDescent="0.25">
      <c r="B253" s="4" t="s">
        <v>805</v>
      </c>
      <c r="C253" s="4" t="s">
        <v>806</v>
      </c>
      <c r="D253" s="9"/>
      <c r="E253" s="9" t="s">
        <v>808</v>
      </c>
      <c r="F253" s="9" t="s">
        <v>811</v>
      </c>
      <c r="G253" s="35" t="s">
        <v>875</v>
      </c>
    </row>
    <row r="254" spans="2:7" x14ac:dyDescent="0.25">
      <c r="B254" s="9"/>
      <c r="C254" s="9"/>
      <c r="D254" s="9"/>
      <c r="E254" s="9"/>
      <c r="F254" s="9" t="s">
        <v>812</v>
      </c>
      <c r="G254" s="9"/>
    </row>
    <row r="255" spans="2:7" x14ac:dyDescent="0.25">
      <c r="B255" s="6"/>
      <c r="C255" s="6"/>
      <c r="D255" s="6"/>
      <c r="E255" s="6"/>
      <c r="F255" s="6" t="s">
        <v>813</v>
      </c>
      <c r="G255" s="6"/>
    </row>
    <row r="256" spans="2:7" x14ac:dyDescent="0.25">
      <c r="B256" s="8"/>
      <c r="C256" s="8"/>
      <c r="D256" s="8"/>
      <c r="E256" s="8" t="s">
        <v>815</v>
      </c>
      <c r="F256" s="8" t="s">
        <v>818</v>
      </c>
      <c r="G256" s="8"/>
    </row>
    <row r="257" spans="2:7" x14ac:dyDescent="0.25">
      <c r="B257" s="85" t="s">
        <v>955</v>
      </c>
      <c r="C257" s="4" t="s">
        <v>814</v>
      </c>
      <c r="D257" s="9"/>
      <c r="E257" s="9" t="s">
        <v>816</v>
      </c>
      <c r="F257" s="9" t="s">
        <v>819</v>
      </c>
      <c r="G257" s="9"/>
    </row>
    <row r="258" spans="2:7" x14ac:dyDescent="0.25">
      <c r="B258" s="9"/>
      <c r="C258" s="9"/>
      <c r="D258" s="9"/>
      <c r="E258" s="9" t="s">
        <v>817</v>
      </c>
      <c r="F258" s="9" t="s">
        <v>820</v>
      </c>
      <c r="G258" s="9"/>
    </row>
    <row r="259" spans="2:7" x14ac:dyDescent="0.25">
      <c r="B259" s="6"/>
      <c r="C259" s="6"/>
      <c r="D259" s="6"/>
      <c r="E259" s="6"/>
      <c r="F259" s="6" t="s">
        <v>821</v>
      </c>
      <c r="G259" s="6"/>
    </row>
    <row r="260" spans="2:7" x14ac:dyDescent="0.25">
      <c r="B260" s="8"/>
      <c r="C260" s="98" t="s">
        <v>824</v>
      </c>
      <c r="D260" s="8"/>
      <c r="E260" s="8" t="s">
        <v>826</v>
      </c>
      <c r="F260" s="8" t="s">
        <v>973</v>
      </c>
      <c r="G260" s="8"/>
    </row>
    <row r="261" spans="2:7" x14ac:dyDescent="0.25">
      <c r="B261" s="9"/>
      <c r="C261" s="4" t="s">
        <v>10</v>
      </c>
      <c r="D261" s="9"/>
      <c r="E261" s="9" t="s">
        <v>827</v>
      </c>
      <c r="F261" s="9" t="s">
        <v>974</v>
      </c>
      <c r="G261" s="9"/>
    </row>
    <row r="262" spans="2:7" x14ac:dyDescent="0.25">
      <c r="B262" s="9"/>
      <c r="C262" s="4" t="s">
        <v>825</v>
      </c>
      <c r="D262" s="9"/>
      <c r="E262" s="9"/>
      <c r="F262" s="9" t="s">
        <v>828</v>
      </c>
      <c r="G262" s="9"/>
    </row>
    <row r="263" spans="2:7" x14ac:dyDescent="0.25">
      <c r="B263" s="85" t="s">
        <v>823</v>
      </c>
      <c r="C263" s="4" t="s">
        <v>10</v>
      </c>
      <c r="D263" s="9"/>
      <c r="E263" s="9"/>
      <c r="F263" s="9" t="s">
        <v>829</v>
      </c>
      <c r="G263" s="9"/>
    </row>
    <row r="264" spans="2:7" x14ac:dyDescent="0.25">
      <c r="B264" s="4" t="s">
        <v>2843</v>
      </c>
      <c r="C264" s="4" t="s">
        <v>2844</v>
      </c>
      <c r="D264" s="9"/>
      <c r="E264" s="9"/>
      <c r="F264" s="81" t="s">
        <v>983</v>
      </c>
      <c r="G264" s="9"/>
    </row>
    <row r="265" spans="2:7" x14ac:dyDescent="0.25">
      <c r="B265" s="9"/>
      <c r="C265" s="4"/>
      <c r="D265" s="9"/>
      <c r="E265" s="9"/>
      <c r="F265" s="81" t="s">
        <v>984</v>
      </c>
      <c r="G265" s="9"/>
    </row>
    <row r="266" spans="2:7" x14ac:dyDescent="0.25">
      <c r="B266" s="9"/>
      <c r="C266" s="4"/>
      <c r="D266" s="9"/>
      <c r="E266" s="9"/>
      <c r="F266" s="81" t="s">
        <v>985</v>
      </c>
      <c r="G266" s="9"/>
    </row>
    <row r="267" spans="2:7" x14ac:dyDescent="0.25">
      <c r="B267" s="9"/>
      <c r="C267" s="4"/>
      <c r="D267" s="9"/>
      <c r="E267" s="9"/>
      <c r="F267" s="9" t="s">
        <v>986</v>
      </c>
      <c r="G267" s="9"/>
    </row>
    <row r="268" spans="2:7" x14ac:dyDescent="0.25">
      <c r="B268" s="6"/>
      <c r="C268" s="5"/>
      <c r="D268" s="6"/>
      <c r="E268" s="6"/>
      <c r="F268" s="6"/>
      <c r="G268" s="6"/>
    </row>
    <row r="269" spans="2:7" x14ac:dyDescent="0.25">
      <c r="B269" s="363" t="s">
        <v>876</v>
      </c>
      <c r="C269" s="364"/>
      <c r="D269" s="364"/>
      <c r="E269" s="364"/>
      <c r="F269" s="364"/>
      <c r="G269" s="365"/>
    </row>
    <row r="270" spans="2:7" x14ac:dyDescent="0.25">
      <c r="B270" s="8"/>
      <c r="C270" s="8"/>
      <c r="D270" s="8"/>
      <c r="E270" s="8" t="s">
        <v>877</v>
      </c>
      <c r="F270" s="8" t="s">
        <v>2838</v>
      </c>
      <c r="G270" s="8"/>
    </row>
    <row r="271" spans="2:7" x14ac:dyDescent="0.25">
      <c r="B271" s="85" t="s">
        <v>880</v>
      </c>
      <c r="C271" s="4" t="s">
        <v>883</v>
      </c>
      <c r="D271" s="9"/>
      <c r="E271" s="9" t="s">
        <v>878</v>
      </c>
      <c r="F271" s="9" t="s">
        <v>2839</v>
      </c>
      <c r="G271" s="35" t="s">
        <v>876</v>
      </c>
    </row>
    <row r="272" spans="2:7" x14ac:dyDescent="0.25">
      <c r="B272" s="5" t="s">
        <v>879</v>
      </c>
      <c r="C272" s="6"/>
      <c r="D272" s="6"/>
      <c r="E272" s="6"/>
      <c r="F272" s="6" t="s">
        <v>2840</v>
      </c>
      <c r="G272" s="6"/>
    </row>
    <row r="273" spans="2:7" x14ac:dyDescent="0.25">
      <c r="B273" s="8"/>
      <c r="C273" s="8"/>
      <c r="D273" s="8"/>
      <c r="E273" s="8" t="s">
        <v>877</v>
      </c>
      <c r="F273" s="8" t="s">
        <v>885</v>
      </c>
      <c r="G273" s="8"/>
    </row>
    <row r="274" spans="2:7" x14ac:dyDescent="0.25">
      <c r="B274" s="85" t="s">
        <v>881</v>
      </c>
      <c r="C274" s="4" t="s">
        <v>2842</v>
      </c>
      <c r="D274" s="9"/>
      <c r="E274" s="9" t="s">
        <v>884</v>
      </c>
      <c r="F274" s="9" t="s">
        <v>886</v>
      </c>
      <c r="G274" s="9"/>
    </row>
    <row r="275" spans="2:7" x14ac:dyDescent="0.25">
      <c r="B275" s="5" t="s">
        <v>882</v>
      </c>
      <c r="C275" s="6"/>
      <c r="D275" s="6"/>
      <c r="E275" s="6"/>
      <c r="F275" s="6"/>
      <c r="G275" s="6"/>
    </row>
    <row r="276" spans="2:7" x14ac:dyDescent="0.25">
      <c r="B276" s="8"/>
      <c r="C276" s="8"/>
      <c r="D276" s="8"/>
      <c r="E276" s="8" t="s">
        <v>807</v>
      </c>
      <c r="F276" s="8" t="s">
        <v>958</v>
      </c>
      <c r="G276" s="8"/>
    </row>
    <row r="277" spans="2:7" x14ac:dyDescent="0.25">
      <c r="B277" s="85" t="s">
        <v>75</v>
      </c>
      <c r="C277" s="4" t="s">
        <v>956</v>
      </c>
      <c r="D277" s="9"/>
      <c r="E277" s="9" t="s">
        <v>957</v>
      </c>
      <c r="F277" s="9" t="s">
        <v>2841</v>
      </c>
      <c r="G277" s="9"/>
    </row>
    <row r="278" spans="2:7" x14ac:dyDescent="0.25">
      <c r="B278" s="9"/>
      <c r="C278" s="9"/>
      <c r="D278" s="9"/>
      <c r="E278" s="9"/>
      <c r="F278" s="9" t="s">
        <v>959</v>
      </c>
      <c r="G278" s="9"/>
    </row>
    <row r="279" spans="2:7" x14ac:dyDescent="0.25">
      <c r="B279" s="6"/>
      <c r="C279" s="6"/>
      <c r="D279" s="6"/>
      <c r="E279" s="6"/>
      <c r="F279" s="6" t="s">
        <v>960</v>
      </c>
      <c r="G279" s="6"/>
    </row>
    <row r="280" spans="2:7" x14ac:dyDescent="0.25">
      <c r="B280" s="201" t="s">
        <v>961</v>
      </c>
      <c r="C280" s="199"/>
      <c r="D280" s="199"/>
      <c r="E280" s="199"/>
      <c r="F280" s="199"/>
      <c r="G280" s="200"/>
    </row>
    <row r="281" spans="2:7" x14ac:dyDescent="0.25">
      <c r="B281" s="8"/>
      <c r="C281" s="8"/>
      <c r="D281" s="8"/>
      <c r="E281" s="8" t="s">
        <v>965</v>
      </c>
      <c r="F281" s="8"/>
      <c r="G281" s="8"/>
    </row>
    <row r="282" spans="2:7" x14ac:dyDescent="0.25">
      <c r="B282" s="85" t="s">
        <v>1175</v>
      </c>
      <c r="C282" s="360" t="s">
        <v>968</v>
      </c>
      <c r="D282" s="9"/>
      <c r="E282" s="9" t="s">
        <v>966</v>
      </c>
      <c r="F282" s="9"/>
      <c r="G282" s="9"/>
    </row>
    <row r="283" spans="2:7" x14ac:dyDescent="0.25">
      <c r="B283" s="85" t="s">
        <v>1176</v>
      </c>
      <c r="C283" s="9" t="s">
        <v>963</v>
      </c>
      <c r="D283" s="9"/>
      <c r="E283" s="9"/>
      <c r="F283" s="9"/>
      <c r="G283" s="9"/>
    </row>
    <row r="284" spans="2:7" x14ac:dyDescent="0.25">
      <c r="B284" s="4" t="s">
        <v>962</v>
      </c>
      <c r="C284" s="6" t="s">
        <v>964</v>
      </c>
      <c r="D284" s="6"/>
      <c r="E284" s="6"/>
      <c r="F284" s="6"/>
      <c r="G284" s="6"/>
    </row>
    <row r="285" spans="2:7" x14ac:dyDescent="0.25">
      <c r="B285" s="8"/>
      <c r="C285" s="8"/>
      <c r="D285" s="8"/>
      <c r="E285" s="8"/>
      <c r="F285" s="8"/>
      <c r="G285" s="8"/>
    </row>
    <row r="286" spans="2:7" x14ac:dyDescent="0.25">
      <c r="B286" s="85" t="s">
        <v>967</v>
      </c>
      <c r="C286" s="4" t="s">
        <v>969</v>
      </c>
      <c r="D286" s="9"/>
      <c r="E286" s="9"/>
      <c r="F286" s="9" t="s">
        <v>970</v>
      </c>
      <c r="G286" s="9"/>
    </row>
    <row r="287" spans="2:7" x14ac:dyDescent="0.25">
      <c r="B287" s="6"/>
      <c r="C287" s="6"/>
      <c r="D287" s="6"/>
      <c r="E287" s="6"/>
      <c r="F287" s="6"/>
      <c r="G287" s="6"/>
    </row>
    <row r="288" spans="2:7" x14ac:dyDescent="0.25">
      <c r="B288" s="8"/>
      <c r="C288" s="8"/>
      <c r="D288" s="8"/>
      <c r="E288" s="8" t="s">
        <v>994</v>
      </c>
      <c r="F288" s="8" t="s">
        <v>997</v>
      </c>
      <c r="G288" s="8"/>
    </row>
    <row r="289" spans="2:7" x14ac:dyDescent="0.25">
      <c r="B289" s="85" t="s">
        <v>991</v>
      </c>
      <c r="C289" s="9" t="s">
        <v>993</v>
      </c>
      <c r="D289" s="9"/>
      <c r="E289" s="9" t="s">
        <v>995</v>
      </c>
      <c r="F289" s="9" t="s">
        <v>998</v>
      </c>
      <c r="G289" s="9"/>
    </row>
    <row r="290" spans="2:7" x14ac:dyDescent="0.25">
      <c r="B290" s="4" t="s">
        <v>992</v>
      </c>
      <c r="C290" s="9"/>
      <c r="D290" s="9"/>
      <c r="E290" s="9" t="s">
        <v>996</v>
      </c>
      <c r="F290" s="9" t="s">
        <v>999</v>
      </c>
      <c r="G290" s="35" t="s">
        <v>876</v>
      </c>
    </row>
    <row r="291" spans="2:7" x14ac:dyDescent="0.25">
      <c r="B291" s="5" t="s">
        <v>950</v>
      </c>
      <c r="C291" s="6"/>
      <c r="D291" s="6"/>
      <c r="E291" s="6"/>
      <c r="F291" s="6" t="s">
        <v>1000</v>
      </c>
      <c r="G291" s="6"/>
    </row>
    <row r="292" spans="2:7" x14ac:dyDescent="0.25">
      <c r="B292" s="8"/>
      <c r="C292" s="8"/>
      <c r="D292" s="8"/>
      <c r="E292" s="8" t="s">
        <v>1001</v>
      </c>
      <c r="F292" s="8" t="s">
        <v>1006</v>
      </c>
      <c r="G292" s="8"/>
    </row>
    <row r="293" spans="2:7" x14ac:dyDescent="0.25">
      <c r="B293" s="9"/>
      <c r="C293" s="9"/>
      <c r="D293" s="9"/>
      <c r="E293" s="9" t="s">
        <v>1002</v>
      </c>
      <c r="F293" s="9" t="s">
        <v>2845</v>
      </c>
      <c r="G293" s="9"/>
    </row>
    <row r="294" spans="2:7" x14ac:dyDescent="0.25">
      <c r="B294" s="9"/>
      <c r="C294" s="9"/>
      <c r="D294" s="9"/>
      <c r="E294" s="81" t="s">
        <v>1003</v>
      </c>
      <c r="F294" s="9" t="s">
        <v>1009</v>
      </c>
      <c r="G294" s="35" t="s">
        <v>876</v>
      </c>
    </row>
    <row r="295" spans="2:7" x14ac:dyDescent="0.25">
      <c r="B295" s="85" t="s">
        <v>989</v>
      </c>
      <c r="C295" s="9" t="s">
        <v>990</v>
      </c>
      <c r="D295" s="9"/>
      <c r="E295" s="81" t="s">
        <v>1004</v>
      </c>
      <c r="F295" s="9" t="s">
        <v>1010</v>
      </c>
      <c r="G295" s="9"/>
    </row>
    <row r="296" spans="2:7" x14ac:dyDescent="0.25">
      <c r="B296" s="9"/>
      <c r="C296" s="9"/>
      <c r="D296" s="9"/>
      <c r="E296" s="81" t="s">
        <v>1005</v>
      </c>
      <c r="F296" s="9" t="s">
        <v>1011</v>
      </c>
      <c r="G296" s="35" t="s">
        <v>2401</v>
      </c>
    </row>
    <row r="297" spans="2:7" x14ac:dyDescent="0.25">
      <c r="B297" s="6"/>
      <c r="C297" s="6"/>
      <c r="D297" s="6"/>
      <c r="E297" s="6" t="s">
        <v>1008</v>
      </c>
      <c r="F297" s="6" t="s">
        <v>1012</v>
      </c>
      <c r="G297" s="6"/>
    </row>
    <row r="298" spans="2:7" x14ac:dyDescent="0.25">
      <c r="B298" s="8"/>
      <c r="C298" s="8"/>
      <c r="D298" s="8"/>
      <c r="E298" s="8" t="s">
        <v>1015</v>
      </c>
      <c r="F298" s="8" t="s">
        <v>1017</v>
      </c>
      <c r="G298" s="8"/>
    </row>
    <row r="299" spans="2:7" x14ac:dyDescent="0.25">
      <c r="B299" s="9"/>
      <c r="C299" s="9"/>
      <c r="D299" s="9"/>
      <c r="E299" s="9" t="s">
        <v>1016</v>
      </c>
      <c r="F299" s="9" t="s">
        <v>1018</v>
      </c>
      <c r="G299" s="9"/>
    </row>
    <row r="300" spans="2:7" x14ac:dyDescent="0.25">
      <c r="B300" s="85" t="s">
        <v>1013</v>
      </c>
      <c r="C300" s="9" t="s">
        <v>1014</v>
      </c>
      <c r="D300" s="9"/>
      <c r="E300" s="9"/>
      <c r="F300" s="9" t="s">
        <v>1019</v>
      </c>
      <c r="G300" s="35" t="s">
        <v>1022</v>
      </c>
    </row>
    <row r="301" spans="2:7" x14ac:dyDescent="0.25">
      <c r="B301" s="9"/>
      <c r="C301" s="9"/>
      <c r="D301" s="9"/>
      <c r="E301" s="9"/>
      <c r="F301" s="9" t="s">
        <v>1020</v>
      </c>
      <c r="G301" s="9"/>
    </row>
    <row r="302" spans="2:7" x14ac:dyDescent="0.25">
      <c r="B302" s="6"/>
      <c r="C302" s="6"/>
      <c r="D302" s="6"/>
      <c r="E302" s="6"/>
      <c r="F302" s="6" t="s">
        <v>1021</v>
      </c>
      <c r="G302" s="6"/>
    </row>
  </sheetData>
  <mergeCells count="3">
    <mergeCell ref="B6:G6"/>
    <mergeCell ref="B177:G177"/>
    <mergeCell ref="D1:E2"/>
  </mergeCells>
  <hyperlinks>
    <hyperlink ref="G230" location="'AG - Eksempel'!A1" display="AG - Eks" xr:uid="{00000000-0004-0000-0000-000000000000}"/>
    <hyperlink ref="G218" location="'OG - Eksempel'!A1" display="OG - Eksempel" xr:uid="{00000000-0004-0000-0000-000001000000}"/>
    <hyperlink ref="G221" location="'AOH - Eksempel'!A1" display="AOH - Eksempel" xr:uid="{00000000-0004-0000-0000-000002000000}"/>
    <hyperlink ref="G206" location="'EKF - Eksempel'!A1" display="EKF - Eksempel" xr:uid="{00000000-0004-0000-0000-000003000000}"/>
    <hyperlink ref="G66" location="'Aktiver = passiver'!A1" display="Aktiver = passiver" xr:uid="{00000000-0004-0000-0000-000004000000}"/>
    <hyperlink ref="G69" location="'Bogføring - debet - kredit'!A1" display="Bogføring - debet - kredit" xr:uid="{00000000-0004-0000-0000-000005000000}"/>
    <hyperlink ref="G35" location="'Aktiver = passiver'!A1" display="Aktiver = passiver" xr:uid="{00000000-0004-0000-0000-000006000000}"/>
    <hyperlink ref="G48" location="'Aktiver = passiver'!A1" display="Aktiver = passiver" xr:uid="{00000000-0004-0000-0000-000007000000}"/>
    <hyperlink ref="G98" location="'Resultatopgørelse - eksempel'!A1" display="'Resultatopgørelse - eksempel'!A1" xr:uid="{00000000-0004-0000-0000-000008000000}"/>
    <hyperlink ref="G102" location="'Resultatopgørelse - eksempel'!A1" display="Rigtigt årsregnskab" xr:uid="{00000000-0004-0000-0000-000009000000}"/>
    <hyperlink ref="G110" location="'Periodisering - eksempel'!A1" display="'Periodisering - eksempel" xr:uid="{00000000-0004-0000-0000-00000A000000}"/>
    <hyperlink ref="G118" location="'Afskrivning - eksempel'!A1" display="'Afskrivning - eksempel" xr:uid="{00000000-0004-0000-0000-00000B000000}"/>
    <hyperlink ref="G8" location="'Virksomheds aktiviteter - eks'!A1" display="'Virksomheds aktiviteter - eks" xr:uid="{00000000-0004-0000-0000-00000C000000}"/>
    <hyperlink ref="G11" location="'Virksomheds aktiviteter - eks'!A1" display="'Virksomheds aktiviteter - eks" xr:uid="{00000000-0004-0000-0000-00000D000000}"/>
    <hyperlink ref="G14" location="'Virksomheds aktiviteter - eks'!A1" display="'Virksomheds aktiviteter - eks" xr:uid="{00000000-0004-0000-0000-00000E000000}"/>
    <hyperlink ref="G91" location="'Pengestrøm - eksempel'!A1" display="'Pengestrøm - eksempel'!A1" xr:uid="{00000000-0004-0000-0000-00000F000000}"/>
    <hyperlink ref="G54" location="'Egenkapitalopgørelse - eks'!A1" display="'Egenkapitalopgørelse - eks" xr:uid="{00000000-0004-0000-0000-000010000000}"/>
    <hyperlink ref="G160" location="'Værdiansættelse - eksempel'!A1" display="'Værdiansættelse - eksempel" xr:uid="{00000000-0004-0000-0000-000011000000}"/>
    <hyperlink ref="G162" location="'Værdiansættelse - eksempel'!A1" display="'Værdiansættelse - eksempel" xr:uid="{00000000-0004-0000-0000-000012000000}"/>
    <hyperlink ref="G167" location="'Værdiansættelse - eksempel'!A1" display="'Værdiansættelse - eksempel" xr:uid="{00000000-0004-0000-0000-000013000000}"/>
    <hyperlink ref="G164" location="'Værdiansættelse - eksempel'!A1" display="'Værdiansættelse - eksempel" xr:uid="{00000000-0004-0000-0000-000014000000}"/>
    <hyperlink ref="G75" location="'Indtægter(matching) - eks'!A1" display="'Indtægter(matching) - eks" xr:uid="{00000000-0004-0000-0000-000015000000}"/>
    <hyperlink ref="G155" location="'Konsistens - eksempel'!A1" display="'Konsistens - eksempel" xr:uid="{00000000-0004-0000-0000-000016000000}"/>
    <hyperlink ref="G248" location="'Dupont dekomponering - eks'!A1" display="'Dupont dekomponering - eks" xr:uid="{00000000-0004-0000-0000-000017000000}"/>
    <hyperlink ref="G253" location="'Dupont dekomponering - eks'!A1" display="'Dupont dekomponering - eks" xr:uid="{00000000-0004-0000-0000-000018000000}"/>
    <hyperlink ref="G271" location="'Solvens og soliditetsgrad'!A1" display="'Solvens og soliditetsgrad" xr:uid="{00000000-0004-0000-0000-000019000000}"/>
    <hyperlink ref="G290" location="'Solvens og soliditetsgrad'!A1" display="'Solvens og soliditetsgrad" xr:uid="{00000000-0004-0000-0000-00001A000000}"/>
    <hyperlink ref="G294" location="'Solvens og soliditetsgrad'!A1" display="'Solvens og soliditetsgrad" xr:uid="{00000000-0004-0000-0000-00001B000000}"/>
    <hyperlink ref="G300" location="'Aktieafkast - eksempel'!A1" display="'Aktieafkast - eksempel" xr:uid="{00000000-0004-0000-0000-00001C000000}"/>
    <hyperlink ref="B2" location="Investeringsteori!A1" display="Investeringsteori" xr:uid="{00000000-0004-0000-0000-00001D000000}"/>
    <hyperlink ref="A2" location="Finansieringsteori!A1" display="Finansieringsteori!A1" xr:uid="{00000000-0004-0000-0000-00001E000000}"/>
    <hyperlink ref="A4" location="Strategi!A1" display="Strategi!A1" xr:uid="{00000000-0004-0000-0000-00001F000000}"/>
    <hyperlink ref="G296" location="'P-E-forhold - eks'!A1" display="'P-E-forhold - eks'!A1" xr:uid="{00000000-0004-0000-0000-000020000000}"/>
    <hyperlink ref="G40" location="'Omsætning- og anlægsaktiver'!A1" display="'Omsætning- og anlægsaktiver'!A1" xr:uid="{00000000-0004-0000-0000-000021000000}"/>
    <hyperlink ref="G126" location="'Afskrivning - eksempel'!A1" display="'Afskrivning - eksempel'!A1" xr:uid="{00000000-0004-0000-0000-000022000000}"/>
    <hyperlink ref="C92" r:id="rId1" xr:uid="{00000000-0004-0000-0000-000023000000}"/>
  </hyperlinks>
  <pageMargins left="0.75" right="0.75" top="1" bottom="1" header="0.5" footer="0.5"/>
  <pageSetup paperSize="9" orientation="portrait" horizontalDpi="4294967292" verticalDpi="4294967292"/>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G172"/>
  <sheetViews>
    <sheetView topLeftCell="A145" zoomScale="80" zoomScaleNormal="80" zoomScalePageLayoutView="80" workbookViewId="0">
      <selection activeCell="G166" sqref="G166"/>
    </sheetView>
  </sheetViews>
  <sheetFormatPr defaultColWidth="10.875" defaultRowHeight="15.75" x14ac:dyDescent="0.25"/>
  <cols>
    <col min="1" max="1" width="10.875" style="1" customWidth="1"/>
    <col min="2" max="2" width="28.125" style="1" customWidth="1"/>
    <col min="3" max="3" width="32" style="1" customWidth="1"/>
    <col min="4" max="4" width="41.125" style="1" bestFit="1" customWidth="1"/>
    <col min="5" max="5" width="35.5" style="1" customWidth="1"/>
    <col min="6" max="6" width="56.875" style="1" customWidth="1"/>
    <col min="7" max="7" width="14.375" style="1" customWidth="1"/>
    <col min="8" max="16384" width="10.875" style="1"/>
  </cols>
  <sheetData>
    <row r="1" spans="1:7" x14ac:dyDescent="0.25">
      <c r="A1" s="278"/>
    </row>
    <row r="2" spans="1:7" x14ac:dyDescent="0.25">
      <c r="A2" s="101" t="s">
        <v>1612</v>
      </c>
      <c r="B2" s="101" t="s">
        <v>1026</v>
      </c>
      <c r="D2" s="949" t="s">
        <v>1025</v>
      </c>
      <c r="E2" s="951"/>
    </row>
    <row r="3" spans="1:7" x14ac:dyDescent="0.25">
      <c r="D3" s="951"/>
      <c r="E3" s="951"/>
    </row>
    <row r="4" spans="1:7" x14ac:dyDescent="0.25">
      <c r="A4" s="101" t="s">
        <v>2188</v>
      </c>
      <c r="B4" s="950" t="s">
        <v>368</v>
      </c>
      <c r="C4" s="950"/>
      <c r="D4" s="950"/>
      <c r="E4" s="950"/>
      <c r="F4" s="950"/>
      <c r="G4" s="950"/>
    </row>
    <row r="5" spans="1:7" x14ac:dyDescent="0.25">
      <c r="B5" s="950"/>
      <c r="C5" s="950"/>
      <c r="D5" s="950"/>
      <c r="E5" s="950"/>
      <c r="F5" s="950"/>
      <c r="G5" s="950"/>
    </row>
    <row r="6" spans="1:7" x14ac:dyDescent="0.25">
      <c r="B6" s="2" t="s">
        <v>420</v>
      </c>
      <c r="C6" s="2" t="s">
        <v>3</v>
      </c>
      <c r="D6" s="2" t="s">
        <v>43</v>
      </c>
      <c r="E6" s="2" t="s">
        <v>5</v>
      </c>
      <c r="F6" s="2" t="s">
        <v>4</v>
      </c>
      <c r="G6" s="2" t="s">
        <v>9</v>
      </c>
    </row>
    <row r="7" spans="1:7" x14ac:dyDescent="0.25">
      <c r="B7" s="366" t="s">
        <v>1027</v>
      </c>
      <c r="C7" s="367"/>
      <c r="D7" s="367"/>
      <c r="E7" s="367"/>
      <c r="F7" s="367"/>
      <c r="G7" s="368"/>
    </row>
    <row r="8" spans="1:7" x14ac:dyDescent="0.25">
      <c r="B8" s="8"/>
      <c r="C8" s="12"/>
      <c r="D8" s="8"/>
      <c r="E8" s="8" t="s">
        <v>1028</v>
      </c>
      <c r="F8" s="8"/>
      <c r="G8" s="8"/>
    </row>
    <row r="9" spans="1:7" x14ac:dyDescent="0.25">
      <c r="B9" s="9"/>
      <c r="C9" s="7"/>
      <c r="D9" s="9"/>
      <c r="E9" s="9" t="s">
        <v>1029</v>
      </c>
      <c r="F9" s="9"/>
      <c r="G9" s="9"/>
    </row>
    <row r="10" spans="1:7" x14ac:dyDescent="0.25">
      <c r="B10" s="81" t="s">
        <v>1052</v>
      </c>
      <c r="C10" s="7"/>
      <c r="D10" s="9"/>
      <c r="E10" s="9" t="s">
        <v>1030</v>
      </c>
      <c r="F10" s="9"/>
      <c r="G10" s="9"/>
    </row>
    <row r="11" spans="1:7" x14ac:dyDescent="0.25">
      <c r="B11" s="85" t="s">
        <v>1053</v>
      </c>
      <c r="C11" s="7"/>
      <c r="D11" s="9"/>
      <c r="E11" s="9" t="s">
        <v>1054</v>
      </c>
      <c r="F11" s="9"/>
      <c r="G11" s="9"/>
    </row>
    <row r="12" spans="1:7" x14ac:dyDescent="0.25">
      <c r="B12" s="4"/>
      <c r="C12" s="7"/>
      <c r="D12" s="9"/>
      <c r="E12" s="9" t="s">
        <v>1055</v>
      </c>
      <c r="F12" s="9"/>
      <c r="G12" s="9"/>
    </row>
    <row r="13" spans="1:7" x14ac:dyDescent="0.25">
      <c r="B13" s="4"/>
      <c r="C13" s="7"/>
      <c r="D13" s="9"/>
      <c r="E13" s="9" t="s">
        <v>1056</v>
      </c>
      <c r="F13" s="9"/>
      <c r="G13" s="9"/>
    </row>
    <row r="14" spans="1:7" x14ac:dyDescent="0.25">
      <c r="B14" s="5"/>
      <c r="C14" s="7"/>
      <c r="D14" s="6"/>
      <c r="E14" s="6" t="s">
        <v>1057</v>
      </c>
      <c r="F14" s="6"/>
      <c r="G14" s="6"/>
    </row>
    <row r="15" spans="1:7" x14ac:dyDescent="0.25">
      <c r="B15" s="8"/>
      <c r="C15" s="8"/>
      <c r="D15" s="8"/>
      <c r="E15" s="8" t="s">
        <v>1034</v>
      </c>
      <c r="F15" s="8" t="s">
        <v>1032</v>
      </c>
      <c r="G15" s="8"/>
    </row>
    <row r="16" spans="1:7" x14ac:dyDescent="0.25">
      <c r="B16" s="9"/>
      <c r="C16" s="9"/>
      <c r="D16" s="9"/>
      <c r="E16" s="9" t="s">
        <v>1035</v>
      </c>
      <c r="F16" s="9" t="s">
        <v>1033</v>
      </c>
      <c r="G16" s="9"/>
    </row>
    <row r="17" spans="2:7" x14ac:dyDescent="0.25">
      <c r="B17" s="85" t="s">
        <v>1031</v>
      </c>
      <c r="C17" s="9"/>
      <c r="D17" s="9"/>
      <c r="E17" s="9" t="s">
        <v>1039</v>
      </c>
      <c r="F17" s="9"/>
      <c r="G17" s="9"/>
    </row>
    <row r="18" spans="2:7" x14ac:dyDescent="0.25">
      <c r="B18" s="9"/>
      <c r="C18" s="9"/>
      <c r="D18" s="9"/>
      <c r="E18" s="9" t="s">
        <v>1036</v>
      </c>
      <c r="F18" s="9"/>
      <c r="G18" s="9"/>
    </row>
    <row r="19" spans="2:7" x14ac:dyDescent="0.25">
      <c r="B19" s="9"/>
      <c r="C19" s="9"/>
      <c r="D19" s="9"/>
      <c r="E19" s="9" t="s">
        <v>1037</v>
      </c>
      <c r="F19" s="9"/>
      <c r="G19" s="9"/>
    </row>
    <row r="20" spans="2:7" x14ac:dyDescent="0.25">
      <c r="B20" s="6"/>
      <c r="C20" s="6"/>
      <c r="D20" s="6"/>
      <c r="E20" s="6" t="s">
        <v>1038</v>
      </c>
      <c r="F20" s="6"/>
      <c r="G20" s="6"/>
    </row>
    <row r="21" spans="2:7" x14ac:dyDescent="0.25">
      <c r="B21" s="8"/>
      <c r="C21" s="8"/>
      <c r="D21" s="8"/>
      <c r="E21" s="96" t="s">
        <v>1042</v>
      </c>
      <c r="F21" s="8"/>
      <c r="G21" s="8"/>
    </row>
    <row r="22" spans="2:7" x14ac:dyDescent="0.25">
      <c r="B22" s="9"/>
      <c r="C22" s="9"/>
      <c r="D22" s="9"/>
      <c r="E22" s="97" t="s">
        <v>1043</v>
      </c>
      <c r="F22" s="9"/>
      <c r="G22" s="9"/>
    </row>
    <row r="23" spans="2:7" x14ac:dyDescent="0.25">
      <c r="B23" s="85" t="s">
        <v>1040</v>
      </c>
      <c r="C23" s="9"/>
      <c r="D23" s="9"/>
      <c r="E23" s="97" t="s">
        <v>1041</v>
      </c>
      <c r="F23" s="9"/>
      <c r="G23" s="9"/>
    </row>
    <row r="24" spans="2:7" x14ac:dyDescent="0.25">
      <c r="B24" s="9"/>
      <c r="C24" s="9"/>
      <c r="D24" s="9"/>
      <c r="E24" s="9" t="s">
        <v>1044</v>
      </c>
      <c r="F24" s="9"/>
      <c r="G24" s="9"/>
    </row>
    <row r="25" spans="2:7" x14ac:dyDescent="0.25">
      <c r="B25" s="6"/>
      <c r="C25" s="6"/>
      <c r="D25" s="6"/>
      <c r="E25" s="6" t="s">
        <v>1045</v>
      </c>
      <c r="F25" s="6"/>
      <c r="G25" s="6"/>
    </row>
    <row r="26" spans="2:7" x14ac:dyDescent="0.25">
      <c r="B26" s="8"/>
      <c r="C26" s="8"/>
      <c r="D26" s="8"/>
      <c r="E26" s="96" t="s">
        <v>1042</v>
      </c>
      <c r="F26" s="8"/>
      <c r="G26" s="8"/>
    </row>
    <row r="27" spans="2:7" x14ac:dyDescent="0.25">
      <c r="B27" s="9"/>
      <c r="C27" s="9"/>
      <c r="D27" s="9"/>
      <c r="E27" s="9" t="s">
        <v>1047</v>
      </c>
      <c r="F27" s="9"/>
      <c r="G27" s="9"/>
    </row>
    <row r="28" spans="2:7" x14ac:dyDescent="0.25">
      <c r="B28" s="9"/>
      <c r="C28" s="9"/>
      <c r="D28" s="9"/>
      <c r="E28" s="9" t="s">
        <v>1048</v>
      </c>
      <c r="F28" s="9"/>
      <c r="G28" s="9"/>
    </row>
    <row r="29" spans="2:7" x14ac:dyDescent="0.25">
      <c r="B29" s="85" t="s">
        <v>1046</v>
      </c>
      <c r="C29" s="9"/>
      <c r="D29" s="9"/>
      <c r="E29" s="9" t="s">
        <v>1049</v>
      </c>
      <c r="F29" s="9"/>
      <c r="G29" s="9"/>
    </row>
    <row r="30" spans="2:7" x14ac:dyDescent="0.25">
      <c r="B30" s="9"/>
      <c r="C30" s="9"/>
      <c r="D30" s="9"/>
      <c r="E30" s="9" t="s">
        <v>1050</v>
      </c>
      <c r="F30" s="9"/>
      <c r="G30" s="9"/>
    </row>
    <row r="31" spans="2:7" x14ac:dyDescent="0.25">
      <c r="B31" s="6"/>
      <c r="C31" s="6"/>
      <c r="D31" s="6"/>
      <c r="E31" s="6" t="s">
        <v>1051</v>
      </c>
      <c r="F31" s="6"/>
      <c r="G31" s="6"/>
    </row>
    <row r="32" spans="2:7" x14ac:dyDescent="0.25">
      <c r="B32" s="372" t="s">
        <v>1058</v>
      </c>
      <c r="C32" s="373"/>
      <c r="D32" s="373"/>
      <c r="E32" s="373"/>
      <c r="F32" s="373"/>
      <c r="G32" s="374"/>
    </row>
    <row r="33" spans="2:7" x14ac:dyDescent="0.25">
      <c r="B33" s="8"/>
      <c r="C33" s="8"/>
      <c r="D33" s="8"/>
      <c r="E33" s="8" t="s">
        <v>404</v>
      </c>
      <c r="F33" s="8" t="s">
        <v>1065</v>
      </c>
      <c r="G33" s="8"/>
    </row>
    <row r="34" spans="2:7" x14ac:dyDescent="0.25">
      <c r="B34" s="9"/>
      <c r="C34" s="9"/>
      <c r="D34" s="9"/>
      <c r="E34" s="9" t="s">
        <v>403</v>
      </c>
      <c r="F34" s="9" t="s">
        <v>1089</v>
      </c>
      <c r="G34" s="9"/>
    </row>
    <row r="35" spans="2:7" x14ac:dyDescent="0.25">
      <c r="B35" s="9"/>
      <c r="C35" s="9"/>
      <c r="D35" s="9"/>
      <c r="E35" s="9" t="s">
        <v>405</v>
      </c>
      <c r="F35" s="9" t="s">
        <v>1090</v>
      </c>
      <c r="G35" s="9"/>
    </row>
    <row r="36" spans="2:7" x14ac:dyDescent="0.25">
      <c r="B36" s="9"/>
      <c r="C36" s="371" t="s">
        <v>1064</v>
      </c>
      <c r="E36" s="9" t="s">
        <v>406</v>
      </c>
      <c r="F36" s="9" t="s">
        <v>1066</v>
      </c>
      <c r="G36" s="9"/>
    </row>
    <row r="37" spans="2:7" x14ac:dyDescent="0.25">
      <c r="B37" s="85" t="s">
        <v>1059</v>
      </c>
      <c r="C37" s="9"/>
      <c r="D37" s="4"/>
      <c r="E37" s="9" t="s">
        <v>407</v>
      </c>
      <c r="F37" s="9" t="s">
        <v>1067</v>
      </c>
      <c r="G37" s="924" t="s">
        <v>1094</v>
      </c>
    </row>
    <row r="38" spans="2:7" x14ac:dyDescent="0.25">
      <c r="B38" s="4" t="s">
        <v>1061</v>
      </c>
      <c r="C38" s="9" t="s">
        <v>1078</v>
      </c>
      <c r="D38" s="4" t="s">
        <v>1085</v>
      </c>
      <c r="E38" s="9" t="s">
        <v>408</v>
      </c>
      <c r="F38" s="9" t="s">
        <v>1068</v>
      </c>
      <c r="G38" s="9"/>
    </row>
    <row r="39" spans="2:7" x14ac:dyDescent="0.25">
      <c r="B39" s="9"/>
      <c r="C39" s="9" t="s">
        <v>1079</v>
      </c>
      <c r="D39" s="9"/>
      <c r="E39" s="9"/>
      <c r="F39" s="9" t="s">
        <v>1069</v>
      </c>
      <c r="G39" s="9"/>
    </row>
    <row r="40" spans="2:7" x14ac:dyDescent="0.25">
      <c r="B40" s="9"/>
      <c r="C40" s="9" t="s">
        <v>1080</v>
      </c>
      <c r="D40" s="9"/>
      <c r="E40" s="9"/>
      <c r="F40" s="9" t="s">
        <v>1070</v>
      </c>
      <c r="G40" s="35" t="s">
        <v>1461</v>
      </c>
    </row>
    <row r="41" spans="2:7" x14ac:dyDescent="0.25">
      <c r="B41" s="9"/>
      <c r="C41" s="9"/>
      <c r="D41" s="9"/>
      <c r="E41" s="9"/>
      <c r="F41" s="9" t="s">
        <v>1071</v>
      </c>
      <c r="G41" s="9"/>
    </row>
    <row r="42" spans="2:7" x14ac:dyDescent="0.25">
      <c r="B42" s="6"/>
      <c r="C42" s="6"/>
      <c r="D42" s="6"/>
      <c r="E42" s="6"/>
      <c r="F42" s="6" t="s">
        <v>1092</v>
      </c>
      <c r="G42" s="6"/>
    </row>
    <row r="43" spans="2:7" x14ac:dyDescent="0.25">
      <c r="B43" s="9"/>
      <c r="C43" s="9"/>
      <c r="D43" s="9" t="s">
        <v>1125</v>
      </c>
      <c r="E43" s="9" t="s">
        <v>1073</v>
      </c>
      <c r="F43" s="9" t="s">
        <v>1075</v>
      </c>
      <c r="G43" s="9"/>
    </row>
    <row r="44" spans="2:7" x14ac:dyDescent="0.25">
      <c r="B44" s="85" t="s">
        <v>1072</v>
      </c>
      <c r="C44" s="9"/>
      <c r="D44" s="1" t="s">
        <v>1126</v>
      </c>
      <c r="E44" s="9" t="s">
        <v>1074</v>
      </c>
      <c r="F44" s="9" t="s">
        <v>1076</v>
      </c>
      <c r="G44" s="9"/>
    </row>
    <row r="45" spans="2:7" x14ac:dyDescent="0.25">
      <c r="B45" s="6"/>
      <c r="C45" s="6"/>
      <c r="D45" s="6"/>
      <c r="E45" s="6"/>
      <c r="F45" s="6" t="s">
        <v>1077</v>
      </c>
      <c r="G45" s="6"/>
    </row>
    <row r="46" spans="2:7" x14ac:dyDescent="0.25">
      <c r="B46" s="8"/>
      <c r="C46" s="8"/>
      <c r="D46" s="8"/>
      <c r="E46" s="8" t="s">
        <v>1082</v>
      </c>
      <c r="F46" s="8" t="s">
        <v>1087</v>
      </c>
      <c r="G46" s="8"/>
    </row>
    <row r="47" spans="2:7" x14ac:dyDescent="0.25">
      <c r="B47" s="85" t="s">
        <v>1081</v>
      </c>
      <c r="C47" s="9" t="s">
        <v>1084</v>
      </c>
      <c r="D47" s="4" t="s">
        <v>1086</v>
      </c>
      <c r="E47" s="9" t="s">
        <v>1083</v>
      </c>
      <c r="F47" s="9" t="s">
        <v>1088</v>
      </c>
      <c r="G47" s="35" t="s">
        <v>1093</v>
      </c>
    </row>
    <row r="48" spans="2:7" x14ac:dyDescent="0.25">
      <c r="B48" s="196"/>
      <c r="C48" s="6"/>
      <c r="D48" s="6"/>
      <c r="E48" s="6"/>
      <c r="F48" s="6" t="s">
        <v>1091</v>
      </c>
      <c r="G48" s="6"/>
    </row>
    <row r="49" spans="2:7" x14ac:dyDescent="0.25">
      <c r="B49" s="8"/>
      <c r="C49" s="8"/>
      <c r="D49" s="8"/>
      <c r="E49" s="8" t="s">
        <v>1097</v>
      </c>
      <c r="F49" s="8"/>
      <c r="G49" s="8"/>
    </row>
    <row r="50" spans="2:7" x14ac:dyDescent="0.25">
      <c r="B50" s="196" t="s">
        <v>1095</v>
      </c>
      <c r="C50" s="6" t="s">
        <v>1096</v>
      </c>
      <c r="D50" s="6"/>
      <c r="E50" s="6" t="s">
        <v>1098</v>
      </c>
      <c r="F50" s="6"/>
      <c r="G50" s="6"/>
    </row>
    <row r="51" spans="2:7" x14ac:dyDescent="0.25">
      <c r="B51" s="8"/>
      <c r="C51" s="8"/>
      <c r="D51" s="3" t="s">
        <v>1128</v>
      </c>
      <c r="E51" s="8" t="s">
        <v>1131</v>
      </c>
      <c r="F51" s="8"/>
      <c r="G51" s="8"/>
    </row>
    <row r="52" spans="2:7" x14ac:dyDescent="0.25">
      <c r="B52" s="85" t="s">
        <v>1127</v>
      </c>
      <c r="C52" s="9"/>
      <c r="D52" s="9" t="s">
        <v>1129</v>
      </c>
      <c r="E52" s="9" t="s">
        <v>1132</v>
      </c>
      <c r="F52" s="9"/>
      <c r="G52" s="9"/>
    </row>
    <row r="53" spans="2:7" x14ac:dyDescent="0.25">
      <c r="B53" s="6"/>
      <c r="C53" s="6"/>
      <c r="D53" s="6" t="s">
        <v>1130</v>
      </c>
      <c r="E53" s="6"/>
      <c r="F53" s="6"/>
      <c r="G53" s="6"/>
    </row>
    <row r="54" spans="2:7" x14ac:dyDescent="0.25">
      <c r="B54" s="370" t="s">
        <v>1099</v>
      </c>
      <c r="C54" s="367"/>
      <c r="D54" s="367"/>
      <c r="E54" s="367"/>
      <c r="F54" s="367"/>
      <c r="G54" s="368"/>
    </row>
    <row r="55" spans="2:7" x14ac:dyDescent="0.25">
      <c r="B55" s="98" t="s">
        <v>1100</v>
      </c>
      <c r="C55" s="8"/>
      <c r="D55" s="3" t="s">
        <v>1062</v>
      </c>
      <c r="E55" s="8"/>
      <c r="F55" s="8"/>
      <c r="G55" s="8"/>
    </row>
    <row r="56" spans="2:7" x14ac:dyDescent="0.25">
      <c r="B56" s="4" t="s">
        <v>1101</v>
      </c>
      <c r="C56" s="9" t="s">
        <v>1102</v>
      </c>
      <c r="D56" s="9"/>
      <c r="E56" s="9" t="s">
        <v>1242</v>
      </c>
      <c r="F56" s="9"/>
      <c r="G56" s="35" t="s">
        <v>1108</v>
      </c>
    </row>
    <row r="57" spans="2:7" x14ac:dyDescent="0.25">
      <c r="B57" s="5" t="s">
        <v>1060</v>
      </c>
      <c r="C57" s="382"/>
      <c r="D57" s="6"/>
      <c r="E57" s="6"/>
      <c r="F57" s="6"/>
      <c r="G57" s="6"/>
    </row>
    <row r="58" spans="2:7" x14ac:dyDescent="0.25">
      <c r="B58" s="8"/>
      <c r="C58" s="8"/>
      <c r="D58" s="4" t="s">
        <v>1153</v>
      </c>
      <c r="E58" s="8"/>
      <c r="F58" s="8" t="s">
        <v>1110</v>
      </c>
      <c r="G58" s="8"/>
    </row>
    <row r="59" spans="2:7" x14ac:dyDescent="0.25">
      <c r="B59" s="4" t="s">
        <v>1114</v>
      </c>
      <c r="C59" s="4" t="s">
        <v>1152</v>
      </c>
      <c r="D59" s="9" t="s">
        <v>1122</v>
      </c>
      <c r="E59" s="9"/>
      <c r="F59" s="9" t="s">
        <v>1111</v>
      </c>
      <c r="G59" s="35" t="s">
        <v>1121</v>
      </c>
    </row>
    <row r="60" spans="2:7" x14ac:dyDescent="0.25">
      <c r="B60" s="9"/>
      <c r="C60" s="9" t="s">
        <v>1109</v>
      </c>
      <c r="D60" s="4" t="s">
        <v>1123</v>
      </c>
      <c r="E60" s="9"/>
      <c r="F60" s="9" t="s">
        <v>1112</v>
      </c>
      <c r="G60" s="9"/>
    </row>
    <row r="61" spans="2:7" x14ac:dyDescent="0.25">
      <c r="B61" s="6"/>
      <c r="C61" s="6"/>
      <c r="D61" s="6" t="s">
        <v>1124</v>
      </c>
      <c r="E61" s="6"/>
      <c r="F61" s="6" t="s">
        <v>1113</v>
      </c>
      <c r="G61" s="6"/>
    </row>
    <row r="62" spans="2:7" x14ac:dyDescent="0.25">
      <c r="B62" s="8"/>
      <c r="C62" s="8"/>
      <c r="D62" s="8"/>
      <c r="E62" s="8" t="s">
        <v>1117</v>
      </c>
      <c r="F62" s="8"/>
      <c r="G62" s="8"/>
    </row>
    <row r="63" spans="2:7" x14ac:dyDescent="0.25">
      <c r="B63" s="85" t="s">
        <v>1115</v>
      </c>
      <c r="C63" s="4" t="s">
        <v>1116</v>
      </c>
      <c r="D63" s="9"/>
      <c r="E63" s="9" t="s">
        <v>1118</v>
      </c>
      <c r="F63" s="9"/>
      <c r="G63" s="9"/>
    </row>
    <row r="64" spans="2:7" x14ac:dyDescent="0.25">
      <c r="B64" s="6"/>
      <c r="C64" s="6"/>
      <c r="D64" s="6"/>
      <c r="E64" s="6"/>
      <c r="F64" s="6"/>
      <c r="G64" s="6"/>
    </row>
    <row r="65" spans="2:7" x14ac:dyDescent="0.25">
      <c r="B65" s="8"/>
      <c r="C65" s="8" t="s">
        <v>1141</v>
      </c>
      <c r="D65" s="8"/>
      <c r="E65" s="8" t="s">
        <v>1134</v>
      </c>
      <c r="F65" s="8" t="s">
        <v>1138</v>
      </c>
      <c r="G65" s="8"/>
    </row>
    <row r="66" spans="2:7" x14ac:dyDescent="0.25">
      <c r="B66" s="9"/>
      <c r="C66" s="81" t="s">
        <v>1142</v>
      </c>
      <c r="D66" s="9"/>
      <c r="E66" s="9" t="s">
        <v>1135</v>
      </c>
      <c r="F66" s="9" t="s">
        <v>1139</v>
      </c>
      <c r="G66" s="9"/>
    </row>
    <row r="67" spans="2:7" x14ac:dyDescent="0.25">
      <c r="B67" s="85" t="s">
        <v>1133</v>
      </c>
      <c r="C67" s="9" t="s">
        <v>1143</v>
      </c>
      <c r="D67" s="9"/>
      <c r="E67" s="9" t="s">
        <v>1136</v>
      </c>
      <c r="F67" s="9" t="s">
        <v>1140</v>
      </c>
      <c r="G67" s="9"/>
    </row>
    <row r="68" spans="2:7" x14ac:dyDescent="0.25">
      <c r="B68" s="85" t="s">
        <v>1137</v>
      </c>
      <c r="C68" s="85" t="s">
        <v>1144</v>
      </c>
      <c r="D68" s="9"/>
      <c r="E68" s="9"/>
      <c r="F68" s="9"/>
      <c r="G68" s="9"/>
    </row>
    <row r="69" spans="2:7" x14ac:dyDescent="0.25">
      <c r="B69" s="9"/>
      <c r="C69" s="9" t="s">
        <v>1145</v>
      </c>
      <c r="D69" s="9"/>
      <c r="E69" s="9"/>
      <c r="F69" s="9"/>
      <c r="G69" s="9"/>
    </row>
    <row r="70" spans="2:7" x14ac:dyDescent="0.25">
      <c r="B70" s="6"/>
      <c r="C70" s="6" t="s">
        <v>1146</v>
      </c>
      <c r="D70" s="6"/>
      <c r="E70" s="6"/>
      <c r="F70" s="6"/>
      <c r="G70" s="6"/>
    </row>
    <row r="71" spans="2:7" x14ac:dyDescent="0.25">
      <c r="B71" s="8"/>
      <c r="C71" s="8"/>
      <c r="D71" s="3" t="s">
        <v>1154</v>
      </c>
      <c r="E71" s="8" t="s">
        <v>1147</v>
      </c>
      <c r="F71" s="8" t="s">
        <v>1149</v>
      </c>
      <c r="G71" s="8"/>
    </row>
    <row r="72" spans="2:7" x14ac:dyDescent="0.25">
      <c r="B72" s="85" t="s">
        <v>1157</v>
      </c>
      <c r="C72" s="9" t="s">
        <v>1151</v>
      </c>
      <c r="D72" s="9"/>
      <c r="E72" s="9" t="s">
        <v>1148</v>
      </c>
      <c r="F72" s="9" t="s">
        <v>1150</v>
      </c>
      <c r="G72" s="35" t="s">
        <v>1160</v>
      </c>
    </row>
    <row r="73" spans="2:7" x14ac:dyDescent="0.25">
      <c r="B73" s="85"/>
      <c r="C73" s="9"/>
      <c r="D73" s="9"/>
      <c r="E73" s="9"/>
      <c r="F73" s="9" t="s">
        <v>1162</v>
      </c>
      <c r="G73" s="35"/>
    </row>
    <row r="74" spans="2:7" x14ac:dyDescent="0.25">
      <c r="B74" s="196"/>
      <c r="C74" s="6"/>
      <c r="D74" s="5" t="s">
        <v>1155</v>
      </c>
      <c r="E74" s="6"/>
      <c r="F74" s="6" t="s">
        <v>1161</v>
      </c>
      <c r="G74" s="6"/>
    </row>
    <row r="75" spans="2:7" x14ac:dyDescent="0.25">
      <c r="B75" s="8"/>
      <c r="C75" s="8"/>
      <c r="D75" s="8"/>
      <c r="E75" s="8"/>
      <c r="F75" s="8"/>
      <c r="G75" s="8"/>
    </row>
    <row r="76" spans="2:7" x14ac:dyDescent="0.25">
      <c r="B76" s="85" t="s">
        <v>1156</v>
      </c>
      <c r="C76" s="9" t="s">
        <v>1158</v>
      </c>
      <c r="D76" s="9"/>
      <c r="E76" s="9"/>
      <c r="F76" s="9"/>
      <c r="G76" s="9"/>
    </row>
    <row r="77" spans="2:7" x14ac:dyDescent="0.25">
      <c r="B77" s="6"/>
      <c r="C77" s="6"/>
      <c r="D77" s="6"/>
      <c r="E77" s="6"/>
      <c r="F77" s="6"/>
      <c r="G77" s="6"/>
    </row>
    <row r="78" spans="2:7" x14ac:dyDescent="0.25">
      <c r="B78" s="8"/>
      <c r="C78" s="8" t="s">
        <v>1166</v>
      </c>
      <c r="D78" s="8"/>
      <c r="E78" s="8" t="s">
        <v>1168</v>
      </c>
      <c r="F78" s="8" t="s">
        <v>1172</v>
      </c>
      <c r="G78" s="8"/>
    </row>
    <row r="79" spans="2:7" x14ac:dyDescent="0.25">
      <c r="B79" s="9"/>
      <c r="C79" s="9" t="s">
        <v>1164</v>
      </c>
      <c r="D79" s="9"/>
      <c r="E79" s="9" t="s">
        <v>1169</v>
      </c>
      <c r="F79" s="9" t="s">
        <v>1173</v>
      </c>
      <c r="G79" s="35" t="s">
        <v>1174</v>
      </c>
    </row>
    <row r="80" spans="2:7" x14ac:dyDescent="0.25">
      <c r="B80" s="85" t="s">
        <v>1163</v>
      </c>
      <c r="C80" s="9" t="s">
        <v>1165</v>
      </c>
      <c r="D80" s="9"/>
      <c r="E80" s="9" t="s">
        <v>1170</v>
      </c>
      <c r="F80" s="9"/>
      <c r="G80" s="9"/>
    </row>
    <row r="81" spans="2:7" x14ac:dyDescent="0.25">
      <c r="B81" s="6"/>
      <c r="C81" s="6" t="s">
        <v>1167</v>
      </c>
      <c r="D81" s="6"/>
      <c r="E81" s="6" t="s">
        <v>1171</v>
      </c>
      <c r="F81" s="6"/>
      <c r="G81" s="6"/>
    </row>
    <row r="82" spans="2:7" x14ac:dyDescent="0.25">
      <c r="B82" s="370" t="s">
        <v>1177</v>
      </c>
      <c r="C82" s="367"/>
      <c r="D82" s="367"/>
      <c r="E82" s="367"/>
      <c r="F82" s="367"/>
      <c r="G82" s="368"/>
    </row>
    <row r="83" spans="2:7" x14ac:dyDescent="0.25">
      <c r="B83" s="8"/>
      <c r="C83" s="8"/>
      <c r="D83" s="8"/>
      <c r="E83" s="8" t="s">
        <v>1178</v>
      </c>
      <c r="F83" s="8" t="s">
        <v>1180</v>
      </c>
      <c r="G83" s="8"/>
    </row>
    <row r="84" spans="2:7" x14ac:dyDescent="0.25">
      <c r="B84" s="85" t="s">
        <v>1177</v>
      </c>
      <c r="C84" s="9"/>
      <c r="D84" s="9"/>
      <c r="E84" s="9" t="s">
        <v>1179</v>
      </c>
      <c r="F84" s="9" t="s">
        <v>1181</v>
      </c>
      <c r="G84" s="35" t="s">
        <v>1218</v>
      </c>
    </row>
    <row r="85" spans="2:7" x14ac:dyDescent="0.25">
      <c r="B85" s="9"/>
      <c r="C85" s="9"/>
      <c r="D85" s="9"/>
      <c r="E85" s="9"/>
      <c r="F85" s="9" t="s">
        <v>1182</v>
      </c>
      <c r="G85" s="9"/>
    </row>
    <row r="86" spans="2:7" x14ac:dyDescent="0.25">
      <c r="B86" s="6"/>
      <c r="C86" s="6"/>
      <c r="D86" s="6"/>
      <c r="E86" s="6"/>
      <c r="F86" s="6" t="s">
        <v>1183</v>
      </c>
      <c r="G86" s="6"/>
    </row>
    <row r="87" spans="2:7" x14ac:dyDescent="0.25">
      <c r="B87" s="8"/>
      <c r="C87" s="8"/>
      <c r="D87" s="8"/>
      <c r="E87" s="8"/>
      <c r="F87" s="8" t="s">
        <v>1221</v>
      </c>
      <c r="G87" s="8"/>
    </row>
    <row r="88" spans="2:7" x14ac:dyDescent="0.25">
      <c r="B88" s="9"/>
      <c r="C88" s="9"/>
      <c r="D88" s="9"/>
      <c r="E88" s="9"/>
      <c r="F88" s="9" t="s">
        <v>1222</v>
      </c>
      <c r="G88" s="9"/>
    </row>
    <row r="89" spans="2:7" x14ac:dyDescent="0.25">
      <c r="B89" s="85" t="s">
        <v>1219</v>
      </c>
      <c r="C89" s="9"/>
      <c r="D89" s="9"/>
      <c r="E89" s="9"/>
      <c r="F89" s="9" t="s">
        <v>1223</v>
      </c>
      <c r="G89" s="35" t="s">
        <v>1230</v>
      </c>
    </row>
    <row r="90" spans="2:7" x14ac:dyDescent="0.25">
      <c r="B90" s="85"/>
      <c r="C90" s="9"/>
      <c r="D90" s="9"/>
      <c r="E90" s="9"/>
      <c r="F90" s="9" t="s">
        <v>1224</v>
      </c>
      <c r="G90" s="9"/>
    </row>
    <row r="91" spans="2:7" x14ac:dyDescent="0.25">
      <c r="B91" s="6"/>
      <c r="C91" s="6"/>
      <c r="D91" s="6"/>
      <c r="E91" s="6"/>
      <c r="F91" s="100" t="s">
        <v>1225</v>
      </c>
      <c r="G91" s="6"/>
    </row>
    <row r="92" spans="2:7" x14ac:dyDescent="0.25">
      <c r="B92" s="95"/>
      <c r="C92" s="399" t="s">
        <v>968</v>
      </c>
      <c r="D92" s="8"/>
      <c r="E92" s="8"/>
      <c r="F92" s="8" t="s">
        <v>1226</v>
      </c>
      <c r="G92" s="400" t="s">
        <v>1230</v>
      </c>
    </row>
    <row r="93" spans="2:7" x14ac:dyDescent="0.25">
      <c r="B93" s="85" t="s">
        <v>1176</v>
      </c>
      <c r="C93" s="9" t="s">
        <v>963</v>
      </c>
      <c r="D93" s="9"/>
      <c r="E93" s="9"/>
      <c r="F93" s="9" t="s">
        <v>1227</v>
      </c>
      <c r="G93" s="9"/>
    </row>
    <row r="94" spans="2:7" x14ac:dyDescent="0.25">
      <c r="B94" s="6"/>
      <c r="C94" s="6" t="s">
        <v>964</v>
      </c>
      <c r="D94" s="6"/>
      <c r="E94" s="6"/>
      <c r="F94" s="6"/>
      <c r="G94" s="6"/>
    </row>
    <row r="95" spans="2:7" x14ac:dyDescent="0.25">
      <c r="B95" s="370" t="s">
        <v>1231</v>
      </c>
      <c r="C95" s="367"/>
      <c r="D95" s="367"/>
      <c r="E95" s="367"/>
      <c r="F95" s="367"/>
      <c r="G95" s="368"/>
    </row>
    <row r="96" spans="2:7" x14ac:dyDescent="0.25">
      <c r="B96" s="8"/>
      <c r="C96" s="8"/>
      <c r="D96" s="8"/>
      <c r="E96" s="8" t="s">
        <v>1233</v>
      </c>
      <c r="F96" s="8" t="s">
        <v>1234</v>
      </c>
      <c r="G96" s="8"/>
    </row>
    <row r="97" spans="2:7" x14ac:dyDescent="0.25">
      <c r="B97" s="9"/>
      <c r="C97" s="9"/>
      <c r="D97" s="4" t="s">
        <v>1062</v>
      </c>
      <c r="E97" s="9" t="s">
        <v>1235</v>
      </c>
      <c r="F97" s="9" t="s">
        <v>1252</v>
      </c>
      <c r="G97" s="9"/>
    </row>
    <row r="98" spans="2:7" x14ac:dyDescent="0.25">
      <c r="B98" s="85" t="s">
        <v>1240</v>
      </c>
      <c r="C98" s="9" t="s">
        <v>1102</v>
      </c>
      <c r="D98" s="9"/>
      <c r="E98" s="9" t="s">
        <v>1236</v>
      </c>
      <c r="F98" s="9" t="s">
        <v>1239</v>
      </c>
      <c r="G98" s="9"/>
    </row>
    <row r="99" spans="2:7" x14ac:dyDescent="0.25">
      <c r="B99" s="85" t="s">
        <v>1241</v>
      </c>
      <c r="C99" s="9"/>
      <c r="D99" s="9"/>
      <c r="E99" s="9" t="s">
        <v>1237</v>
      </c>
      <c r="F99" s="9" t="s">
        <v>1243</v>
      </c>
      <c r="G99" s="9"/>
    </row>
    <row r="100" spans="2:7" x14ac:dyDescent="0.25">
      <c r="B100" s="9"/>
      <c r="C100" s="9"/>
      <c r="D100" s="9"/>
      <c r="E100" s="9" t="s">
        <v>1238</v>
      </c>
      <c r="F100" s="81" t="s">
        <v>1244</v>
      </c>
      <c r="G100" s="35" t="s">
        <v>1249</v>
      </c>
    </row>
    <row r="101" spans="2:7" x14ac:dyDescent="0.25">
      <c r="B101" s="9"/>
      <c r="C101" s="9"/>
      <c r="D101" s="9"/>
      <c r="E101" s="9"/>
      <c r="F101" s="9" t="s">
        <v>1245</v>
      </c>
      <c r="G101" s="9"/>
    </row>
    <row r="102" spans="2:7" x14ac:dyDescent="0.25">
      <c r="B102" s="9"/>
      <c r="C102" s="9"/>
      <c r="D102" s="9"/>
      <c r="E102" s="9"/>
      <c r="F102" s="9" t="s">
        <v>1246</v>
      </c>
      <c r="G102" s="9"/>
    </row>
    <row r="103" spans="2:7" x14ac:dyDescent="0.25">
      <c r="B103" s="6"/>
      <c r="C103" s="6"/>
      <c r="D103" s="6"/>
      <c r="E103" s="6"/>
      <c r="F103" s="6" t="s">
        <v>1247</v>
      </c>
      <c r="G103" s="6"/>
    </row>
    <row r="104" spans="2:7" x14ac:dyDescent="0.25">
      <c r="B104" s="8"/>
      <c r="C104" s="8"/>
      <c r="D104" s="8"/>
      <c r="E104" s="8"/>
      <c r="F104" s="8" t="s">
        <v>1253</v>
      </c>
      <c r="G104" s="8"/>
    </row>
    <row r="105" spans="2:7" x14ac:dyDescent="0.25">
      <c r="B105" s="9"/>
      <c r="C105" s="9"/>
      <c r="D105" s="9"/>
      <c r="E105" s="9"/>
      <c r="F105" s="9" t="s">
        <v>1259</v>
      </c>
      <c r="G105" s="9"/>
    </row>
    <row r="106" spans="2:7" x14ac:dyDescent="0.25">
      <c r="B106" s="9"/>
      <c r="C106" s="9"/>
      <c r="D106" s="9"/>
      <c r="E106" s="9"/>
      <c r="F106" s="81" t="s">
        <v>1244</v>
      </c>
      <c r="G106" s="9"/>
    </row>
    <row r="107" spans="2:7" x14ac:dyDescent="0.25">
      <c r="B107" s="9"/>
      <c r="C107" s="9"/>
      <c r="D107" s="9"/>
      <c r="E107" s="9"/>
      <c r="F107" s="9" t="s">
        <v>1254</v>
      </c>
      <c r="G107" s="35" t="s">
        <v>1261</v>
      </c>
    </row>
    <row r="108" spans="2:7" x14ac:dyDescent="0.25">
      <c r="B108" s="85" t="s">
        <v>1250</v>
      </c>
      <c r="C108" s="9"/>
      <c r="D108" s="9"/>
      <c r="E108" s="9"/>
      <c r="F108" s="9" t="s">
        <v>1255</v>
      </c>
      <c r="G108" s="9"/>
    </row>
    <row r="109" spans="2:7" x14ac:dyDescent="0.25">
      <c r="B109" s="85" t="s">
        <v>1251</v>
      </c>
      <c r="C109" s="9"/>
      <c r="D109" s="9"/>
      <c r="E109" s="9"/>
      <c r="F109" s="9" t="s">
        <v>1256</v>
      </c>
      <c r="G109" s="9"/>
    </row>
    <row r="110" spans="2:7" x14ac:dyDescent="0.25">
      <c r="B110" s="9"/>
      <c r="C110" s="9"/>
      <c r="D110" s="9"/>
      <c r="E110" s="9"/>
      <c r="F110" s="9" t="s">
        <v>1257</v>
      </c>
      <c r="G110" s="9"/>
    </row>
    <row r="111" spans="2:7" x14ac:dyDescent="0.25">
      <c r="B111" s="9"/>
      <c r="C111" s="9"/>
      <c r="D111" s="9"/>
      <c r="E111" s="9"/>
      <c r="F111" s="9" t="s">
        <v>1258</v>
      </c>
      <c r="G111" s="9"/>
    </row>
    <row r="112" spans="2:7" x14ac:dyDescent="0.25">
      <c r="B112" s="6"/>
      <c r="C112" s="6"/>
      <c r="D112" s="6"/>
      <c r="E112" s="6"/>
      <c r="F112" s="6" t="s">
        <v>1260</v>
      </c>
      <c r="G112" s="6"/>
    </row>
    <row r="113" spans="2:7" x14ac:dyDescent="0.25">
      <c r="B113" s="8"/>
      <c r="C113" s="8"/>
      <c r="D113" s="8"/>
      <c r="E113" s="8" t="s">
        <v>1263</v>
      </c>
      <c r="F113" s="8" t="s">
        <v>1266</v>
      </c>
      <c r="G113" s="8"/>
    </row>
    <row r="114" spans="2:7" x14ac:dyDescent="0.25">
      <c r="B114" s="9"/>
      <c r="C114" s="9"/>
      <c r="D114" s="9"/>
      <c r="E114" s="9" t="s">
        <v>1264</v>
      </c>
      <c r="F114" s="9" t="s">
        <v>1267</v>
      </c>
      <c r="G114" s="9"/>
    </row>
    <row r="115" spans="2:7" x14ac:dyDescent="0.25">
      <c r="B115" s="85" t="s">
        <v>1262</v>
      </c>
      <c r="C115" s="85" t="s">
        <v>1189</v>
      </c>
      <c r="D115" s="9"/>
      <c r="E115" s="9" t="s">
        <v>1265</v>
      </c>
      <c r="F115" s="9" t="s">
        <v>1268</v>
      </c>
      <c r="G115" s="9"/>
    </row>
    <row r="116" spans="2:7" x14ac:dyDescent="0.25">
      <c r="B116" s="9"/>
      <c r="C116" s="9"/>
      <c r="D116" s="9"/>
      <c r="E116" s="9"/>
      <c r="F116" s="9" t="s">
        <v>1269</v>
      </c>
      <c r="G116" s="35" t="s">
        <v>1261</v>
      </c>
    </row>
    <row r="117" spans="2:7" x14ac:dyDescent="0.25">
      <c r="B117" s="9"/>
      <c r="C117" s="9"/>
      <c r="D117" s="9"/>
      <c r="E117" s="9"/>
      <c r="F117" s="9" t="s">
        <v>1271</v>
      </c>
      <c r="G117" s="9"/>
    </row>
    <row r="118" spans="2:7" x14ac:dyDescent="0.25">
      <c r="B118" s="9"/>
      <c r="C118" s="9"/>
      <c r="D118" s="9"/>
      <c r="E118" s="9"/>
      <c r="F118" s="81" t="s">
        <v>379</v>
      </c>
      <c r="G118" s="9"/>
    </row>
    <row r="119" spans="2:7" x14ac:dyDescent="0.25">
      <c r="B119" s="6"/>
      <c r="C119" s="6"/>
      <c r="D119" s="6"/>
      <c r="E119" s="6"/>
      <c r="F119" s="6" t="s">
        <v>1270</v>
      </c>
      <c r="G119" s="6"/>
    </row>
    <row r="120" spans="2:7" x14ac:dyDescent="0.25">
      <c r="B120" s="8"/>
      <c r="C120" s="8"/>
      <c r="D120" s="8"/>
      <c r="E120" s="8"/>
      <c r="F120" s="8" t="s">
        <v>1275</v>
      </c>
      <c r="G120" s="8"/>
    </row>
    <row r="121" spans="2:7" x14ac:dyDescent="0.25">
      <c r="B121" s="9"/>
      <c r="C121" s="9"/>
      <c r="D121" s="9"/>
      <c r="E121" s="9"/>
      <c r="F121" s="9" t="s">
        <v>1274</v>
      </c>
      <c r="G121" s="9"/>
    </row>
    <row r="122" spans="2:7" x14ac:dyDescent="0.25">
      <c r="B122" s="85" t="s">
        <v>1272</v>
      </c>
      <c r="C122" s="9"/>
      <c r="D122" s="9"/>
      <c r="E122" s="9"/>
      <c r="F122" s="9" t="s">
        <v>1276</v>
      </c>
      <c r="G122" s="9"/>
    </row>
    <row r="123" spans="2:7" x14ac:dyDescent="0.25">
      <c r="B123" s="85" t="s">
        <v>1273</v>
      </c>
      <c r="C123" s="9"/>
      <c r="D123" s="9"/>
      <c r="E123" s="9"/>
      <c r="F123" s="9" t="s">
        <v>1277</v>
      </c>
      <c r="G123" s="9"/>
    </row>
    <row r="124" spans="2:7" x14ac:dyDescent="0.25">
      <c r="B124" s="6"/>
      <c r="C124" s="6"/>
      <c r="D124" s="6"/>
      <c r="E124" s="6"/>
      <c r="F124" s="6" t="s">
        <v>1278</v>
      </c>
      <c r="G124" s="6"/>
    </row>
    <row r="125" spans="2:7" x14ac:dyDescent="0.25">
      <c r="B125" s="8"/>
      <c r="C125" s="8"/>
      <c r="D125" s="8"/>
      <c r="E125" s="8" t="s">
        <v>1281</v>
      </c>
      <c r="F125" s="8" t="s">
        <v>1284</v>
      </c>
      <c r="G125" s="8"/>
    </row>
    <row r="126" spans="2:7" x14ac:dyDescent="0.25">
      <c r="B126" s="9"/>
      <c r="C126" s="9"/>
      <c r="D126" s="9"/>
      <c r="E126" s="9" t="s">
        <v>1282</v>
      </c>
      <c r="F126" s="9" t="s">
        <v>1285</v>
      </c>
      <c r="G126" s="35" t="s">
        <v>1261</v>
      </c>
    </row>
    <row r="127" spans="2:7" x14ac:dyDescent="0.25">
      <c r="B127" s="9"/>
      <c r="C127" s="9"/>
      <c r="D127" s="9"/>
      <c r="E127" s="9" t="s">
        <v>1283</v>
      </c>
      <c r="F127" s="9" t="s">
        <v>1286</v>
      </c>
      <c r="G127" s="9"/>
    </row>
    <row r="128" spans="2:7" x14ac:dyDescent="0.25">
      <c r="B128" s="9"/>
      <c r="C128" s="9"/>
      <c r="D128" s="4" t="s">
        <v>1280</v>
      </c>
      <c r="E128" s="9"/>
      <c r="F128" s="9" t="s">
        <v>1287</v>
      </c>
      <c r="G128" s="9"/>
    </row>
    <row r="129" spans="2:7" x14ac:dyDescent="0.25">
      <c r="B129" s="9"/>
      <c r="C129" s="9"/>
      <c r="D129" s="4" t="s">
        <v>10</v>
      </c>
      <c r="E129" s="9"/>
      <c r="F129" s="9" t="s">
        <v>1288</v>
      </c>
      <c r="G129" s="9"/>
    </row>
    <row r="130" spans="2:7" x14ac:dyDescent="0.25">
      <c r="B130" s="85" t="s">
        <v>1279</v>
      </c>
      <c r="C130" s="9"/>
      <c r="D130" s="4" t="s">
        <v>1289</v>
      </c>
      <c r="E130" s="9"/>
      <c r="F130" s="9" t="s">
        <v>1290</v>
      </c>
      <c r="G130" s="9"/>
    </row>
    <row r="131" spans="2:7" x14ac:dyDescent="0.25">
      <c r="B131" s="9"/>
      <c r="C131" s="9"/>
      <c r="D131" s="9"/>
      <c r="E131" s="9"/>
      <c r="F131" s="9" t="s">
        <v>1291</v>
      </c>
      <c r="G131" s="9"/>
    </row>
    <row r="132" spans="2:7" x14ac:dyDescent="0.25">
      <c r="B132" s="9"/>
      <c r="C132" s="9"/>
      <c r="D132" s="9"/>
      <c r="E132" s="9"/>
      <c r="F132" s="81" t="s">
        <v>1292</v>
      </c>
      <c r="G132" s="9"/>
    </row>
    <row r="133" spans="2:7" x14ac:dyDescent="0.25">
      <c r="B133" s="9"/>
      <c r="C133" s="9"/>
      <c r="D133" s="9"/>
      <c r="E133" s="9"/>
      <c r="F133" s="9" t="s">
        <v>1293</v>
      </c>
      <c r="G133" s="9"/>
    </row>
    <row r="134" spans="2:7" x14ac:dyDescent="0.25">
      <c r="B134" s="6"/>
      <c r="C134" s="6"/>
      <c r="D134" s="6"/>
      <c r="E134" s="6"/>
      <c r="F134" s="6" t="s">
        <v>1294</v>
      </c>
      <c r="G134" s="6"/>
    </row>
    <row r="135" spans="2:7" x14ac:dyDescent="0.25">
      <c r="B135" s="8"/>
      <c r="C135" s="8"/>
      <c r="D135" s="8"/>
      <c r="E135" s="8" t="s">
        <v>1301</v>
      </c>
      <c r="F135" s="8" t="s">
        <v>1298</v>
      </c>
      <c r="G135" s="8"/>
    </row>
    <row r="136" spans="2:7" x14ac:dyDescent="0.25">
      <c r="B136" s="9"/>
      <c r="C136" s="9"/>
      <c r="D136" s="9"/>
      <c r="E136" s="9" t="s">
        <v>1302</v>
      </c>
      <c r="F136" s="9" t="s">
        <v>1296</v>
      </c>
      <c r="G136" s="9"/>
    </row>
    <row r="137" spans="2:7" x14ac:dyDescent="0.25">
      <c r="B137" s="9"/>
      <c r="C137" s="9"/>
      <c r="D137" s="9"/>
      <c r="E137" s="9" t="s">
        <v>1303</v>
      </c>
      <c r="F137" s="9" t="s">
        <v>1297</v>
      </c>
      <c r="G137" s="35" t="s">
        <v>1306</v>
      </c>
    </row>
    <row r="138" spans="2:7" x14ac:dyDescent="0.25">
      <c r="B138" s="85" t="s">
        <v>1295</v>
      </c>
      <c r="C138" s="9"/>
      <c r="D138" s="4" t="s">
        <v>1554</v>
      </c>
      <c r="E138" s="9" t="s">
        <v>1324</v>
      </c>
      <c r="F138" s="9" t="s">
        <v>1299</v>
      </c>
      <c r="G138" s="9"/>
    </row>
    <row r="139" spans="2:7" x14ac:dyDescent="0.25">
      <c r="B139" s="9"/>
      <c r="C139" s="9"/>
      <c r="D139" s="9"/>
      <c r="E139" s="9" t="s">
        <v>1325</v>
      </c>
      <c r="F139" s="9" t="s">
        <v>1300</v>
      </c>
      <c r="G139" s="35" t="s">
        <v>1553</v>
      </c>
    </row>
    <row r="140" spans="2:7" x14ac:dyDescent="0.25">
      <c r="B140" s="9"/>
      <c r="C140" s="9"/>
      <c r="D140" s="9"/>
      <c r="E140" s="9"/>
      <c r="F140" s="9" t="s">
        <v>1304</v>
      </c>
      <c r="G140" s="9"/>
    </row>
    <row r="141" spans="2:7" x14ac:dyDescent="0.25">
      <c r="B141" s="6"/>
      <c r="C141" s="6"/>
      <c r="D141" s="6"/>
      <c r="E141" s="6"/>
      <c r="F141" s="6" t="s">
        <v>1305</v>
      </c>
      <c r="G141" s="6"/>
    </row>
    <row r="142" spans="2:7" x14ac:dyDescent="0.25">
      <c r="B142" s="8"/>
      <c r="C142" s="8"/>
      <c r="D142" s="8"/>
      <c r="E142" s="8" t="s">
        <v>1308</v>
      </c>
      <c r="F142" s="8"/>
      <c r="G142" s="8"/>
    </row>
    <row r="143" spans="2:7" x14ac:dyDescent="0.25">
      <c r="B143" s="196" t="s">
        <v>1307</v>
      </c>
      <c r="C143" s="6"/>
      <c r="D143" s="6"/>
      <c r="E143" s="6" t="s">
        <v>1309</v>
      </c>
      <c r="F143" s="6"/>
      <c r="G143" s="6"/>
    </row>
    <row r="144" spans="2:7" x14ac:dyDescent="0.25">
      <c r="B144" s="8"/>
      <c r="C144" s="8"/>
      <c r="D144" s="8"/>
      <c r="E144" s="8" t="s">
        <v>1311</v>
      </c>
      <c r="F144" s="8" t="s">
        <v>1314</v>
      </c>
      <c r="G144" s="8"/>
    </row>
    <row r="145" spans="2:7" x14ac:dyDescent="0.25">
      <c r="B145" s="85" t="s">
        <v>1310</v>
      </c>
      <c r="C145" s="9"/>
      <c r="D145" s="9"/>
      <c r="E145" s="9" t="s">
        <v>1312</v>
      </c>
      <c r="F145" s="9"/>
      <c r="G145" s="35" t="s">
        <v>1315</v>
      </c>
    </row>
    <row r="146" spans="2:7" x14ac:dyDescent="0.25">
      <c r="B146" s="6"/>
      <c r="C146" s="6"/>
      <c r="D146" s="6"/>
      <c r="E146" s="6" t="s">
        <v>1313</v>
      </c>
      <c r="F146" s="6"/>
      <c r="G146" s="6"/>
    </row>
    <row r="147" spans="2:7" x14ac:dyDescent="0.25">
      <c r="B147" s="8"/>
      <c r="C147" s="8"/>
      <c r="D147" s="8"/>
      <c r="E147" s="8" t="s">
        <v>1317</v>
      </c>
      <c r="F147" s="8" t="s">
        <v>1322</v>
      </c>
      <c r="G147" s="8"/>
    </row>
    <row r="148" spans="2:7" x14ac:dyDescent="0.25">
      <c r="B148" s="9"/>
      <c r="C148" s="9"/>
      <c r="D148" s="9"/>
      <c r="E148" s="9" t="s">
        <v>1318</v>
      </c>
      <c r="F148" s="9"/>
      <c r="G148" s="35" t="s">
        <v>1323</v>
      </c>
    </row>
    <row r="149" spans="2:7" x14ac:dyDescent="0.25">
      <c r="B149" s="85" t="s">
        <v>1316</v>
      </c>
      <c r="C149" s="9"/>
      <c r="D149" s="9"/>
      <c r="E149" s="9" t="s">
        <v>1319</v>
      </c>
      <c r="F149" s="9"/>
      <c r="G149" s="65" t="s">
        <v>1492</v>
      </c>
    </row>
    <row r="150" spans="2:7" x14ac:dyDescent="0.25">
      <c r="B150" s="9"/>
      <c r="C150" s="9"/>
      <c r="D150" s="9"/>
      <c r="E150" s="9" t="s">
        <v>1320</v>
      </c>
      <c r="F150" s="9"/>
      <c r="G150" s="9"/>
    </row>
    <row r="151" spans="2:7" x14ac:dyDescent="0.25">
      <c r="B151" s="6"/>
      <c r="C151" s="6"/>
      <c r="D151" s="6"/>
      <c r="E151" s="6" t="s">
        <v>1321</v>
      </c>
      <c r="F151" s="6"/>
      <c r="G151" s="6"/>
    </row>
    <row r="152" spans="2:7" x14ac:dyDescent="0.25">
      <c r="B152" s="8"/>
      <c r="C152" s="8"/>
      <c r="D152" s="8"/>
      <c r="E152" s="8" t="s">
        <v>1328</v>
      </c>
      <c r="F152" s="8" t="s">
        <v>1327</v>
      </c>
      <c r="G152" s="8"/>
    </row>
    <row r="153" spans="2:7" x14ac:dyDescent="0.25">
      <c r="B153" s="85" t="s">
        <v>1326</v>
      </c>
      <c r="C153" s="9"/>
      <c r="D153" s="9"/>
      <c r="E153" s="9" t="s">
        <v>1329</v>
      </c>
      <c r="F153" s="9"/>
      <c r="G153" s="9"/>
    </row>
    <row r="154" spans="2:7" x14ac:dyDescent="0.25">
      <c r="B154" s="9"/>
      <c r="C154" s="9"/>
      <c r="D154" s="9"/>
      <c r="E154" s="9"/>
      <c r="F154" s="9"/>
      <c r="G154" s="9"/>
    </row>
    <row r="155" spans="2:7" x14ac:dyDescent="0.25">
      <c r="B155" s="6"/>
      <c r="C155" s="6"/>
      <c r="D155" s="6"/>
      <c r="E155" s="6"/>
      <c r="F155" s="6"/>
      <c r="G155" s="6"/>
    </row>
    <row r="156" spans="2:7" x14ac:dyDescent="0.25">
      <c r="B156" s="8"/>
      <c r="C156" s="8"/>
      <c r="D156" s="8"/>
      <c r="E156" s="8"/>
      <c r="F156" s="8"/>
      <c r="G156" s="8"/>
    </row>
    <row r="157" spans="2:7" x14ac:dyDescent="0.25">
      <c r="B157" s="81" t="s">
        <v>1493</v>
      </c>
      <c r="C157" s="9"/>
      <c r="D157" s="9"/>
      <c r="E157" s="9"/>
      <c r="F157" s="9"/>
      <c r="G157" s="35" t="s">
        <v>1517</v>
      </c>
    </row>
    <row r="158" spans="2:7" x14ac:dyDescent="0.25">
      <c r="B158" s="6"/>
      <c r="C158" s="6"/>
      <c r="D158" s="6"/>
      <c r="E158" s="6"/>
      <c r="F158" s="6"/>
      <c r="G158" s="6"/>
    </row>
    <row r="159" spans="2:7" x14ac:dyDescent="0.25">
      <c r="B159" s="8"/>
      <c r="C159" s="8"/>
      <c r="D159" s="8"/>
      <c r="E159" s="8" t="s">
        <v>1519</v>
      </c>
      <c r="F159" s="8"/>
      <c r="G159" s="8"/>
    </row>
    <row r="160" spans="2:7" x14ac:dyDescent="0.25">
      <c r="B160" s="9"/>
      <c r="C160" s="9"/>
      <c r="D160" s="9"/>
      <c r="E160" s="9" t="s">
        <v>1520</v>
      </c>
      <c r="F160" s="9"/>
      <c r="G160" s="9"/>
    </row>
    <row r="161" spans="2:7" x14ac:dyDescent="0.25">
      <c r="B161" s="9"/>
      <c r="C161" s="9"/>
      <c r="D161" s="9"/>
      <c r="E161" s="9" t="s">
        <v>1521</v>
      </c>
      <c r="F161" s="9"/>
      <c r="G161" s="35" t="s">
        <v>1542</v>
      </c>
    </row>
    <row r="162" spans="2:7" x14ac:dyDescent="0.25">
      <c r="B162" s="85" t="s">
        <v>1518</v>
      </c>
      <c r="C162" s="9"/>
      <c r="D162" s="9"/>
      <c r="E162" s="81" t="s">
        <v>1244</v>
      </c>
      <c r="F162" s="9"/>
      <c r="G162" s="9"/>
    </row>
    <row r="163" spans="2:7" x14ac:dyDescent="0.25">
      <c r="B163" s="9"/>
      <c r="C163" s="9"/>
      <c r="D163" s="9"/>
      <c r="E163" s="9" t="s">
        <v>1522</v>
      </c>
      <c r="F163" s="9"/>
      <c r="G163" s="9"/>
    </row>
    <row r="164" spans="2:7" x14ac:dyDescent="0.25">
      <c r="B164" s="6"/>
      <c r="C164" s="6"/>
      <c r="D164" s="6"/>
      <c r="E164" s="6" t="s">
        <v>1523</v>
      </c>
      <c r="F164" s="6"/>
      <c r="G164" s="6"/>
    </row>
    <row r="165" spans="2:7" x14ac:dyDescent="0.25">
      <c r="B165" s="8"/>
      <c r="C165" s="8"/>
      <c r="D165" s="8"/>
      <c r="E165" s="8" t="s">
        <v>1593</v>
      </c>
      <c r="F165" s="8"/>
      <c r="G165" s="8"/>
    </row>
    <row r="166" spans="2:7" x14ac:dyDescent="0.25">
      <c r="B166" s="85" t="s">
        <v>1592</v>
      </c>
      <c r="C166" s="9"/>
      <c r="D166" s="4" t="s">
        <v>1289</v>
      </c>
      <c r="E166" s="9" t="s">
        <v>1594</v>
      </c>
      <c r="F166" s="9"/>
      <c r="G166" s="35" t="s">
        <v>1603</v>
      </c>
    </row>
    <row r="167" spans="2:7" x14ac:dyDescent="0.25">
      <c r="B167" s="6"/>
      <c r="C167" s="6"/>
      <c r="D167" s="6"/>
      <c r="E167" s="6" t="s">
        <v>1595</v>
      </c>
      <c r="F167" s="6"/>
      <c r="G167" s="6"/>
    </row>
    <row r="168" spans="2:7" x14ac:dyDescent="0.25">
      <c r="B168" s="8"/>
      <c r="C168" s="8"/>
      <c r="D168" s="8"/>
      <c r="E168" s="8" t="s">
        <v>1605</v>
      </c>
      <c r="F168" s="8"/>
      <c r="G168" s="8"/>
    </row>
    <row r="169" spans="2:7" x14ac:dyDescent="0.25">
      <c r="B169" s="9"/>
      <c r="C169" s="9"/>
      <c r="D169" s="9"/>
      <c r="E169" s="9" t="s">
        <v>1608</v>
      </c>
      <c r="F169" s="9"/>
      <c r="G169" s="9"/>
    </row>
    <row r="170" spans="2:7" x14ac:dyDescent="0.25">
      <c r="B170" s="85" t="s">
        <v>1604</v>
      </c>
      <c r="C170" s="9"/>
      <c r="D170" s="9"/>
      <c r="E170" s="9" t="s">
        <v>1609</v>
      </c>
      <c r="F170" s="9"/>
      <c r="G170" s="35" t="s">
        <v>1610</v>
      </c>
    </row>
    <row r="171" spans="2:7" x14ac:dyDescent="0.25">
      <c r="B171" s="9"/>
      <c r="C171" s="9"/>
      <c r="D171" s="9"/>
      <c r="E171" s="9" t="s">
        <v>1606</v>
      </c>
      <c r="F171" s="9"/>
      <c r="G171" s="9"/>
    </row>
    <row r="172" spans="2:7" x14ac:dyDescent="0.25">
      <c r="B172" s="6"/>
      <c r="C172" s="6"/>
      <c r="D172" s="6"/>
      <c r="E172" s="6" t="s">
        <v>1607</v>
      </c>
      <c r="F172" s="6"/>
      <c r="G172" s="6"/>
    </row>
  </sheetData>
  <mergeCells count="2">
    <mergeCell ref="B4:G5"/>
    <mergeCell ref="D2:E3"/>
  </mergeCells>
  <hyperlinks>
    <hyperlink ref="B2" location="Regnskaber!A1" display="Regnskaber" xr:uid="{00000000-0004-0000-0100-000000000000}"/>
    <hyperlink ref="G47" location="'Fremtidsværdi - eksempel'!A1" display="'Fremtidsværdi - eksempel" xr:uid="{00000000-0004-0000-0100-000001000000}"/>
    <hyperlink ref="G37" location="'Nutidsværdi - eksempel'!A1" display="'Nutidsværdi - eksempel" xr:uid="{00000000-0004-0000-0100-000002000000}"/>
    <hyperlink ref="G56" location="'Nettonutidsværdi - eks'!A1" display="'Nettonutidsværdi - eks'!A1" xr:uid="{00000000-0004-0000-0100-000003000000}"/>
    <hyperlink ref="G59" location="'Annuitets - eks'!A1" display="'Annuitets - eks" xr:uid="{00000000-0004-0000-0100-000004000000}"/>
    <hyperlink ref="G72" location="'Opsparingsformlen - eks'!A1" display="'Opsparingsformlen - eks" xr:uid="{00000000-0004-0000-0100-000005000000}"/>
    <hyperlink ref="G79" location="'Gordons formel - eksempel'!A1" display="'Gordons formel - eksempel'" xr:uid="{00000000-0004-0000-0100-000006000000}"/>
    <hyperlink ref="G84" location="'Investeringskalkule - eks'!A1" display="'Investeringskalkule - eks" xr:uid="{00000000-0004-0000-0100-000007000000}"/>
    <hyperlink ref="G92" location="'Kalkulationsrenten - eks'!A1" display="'Kalkulationsrenten - eks'!A1" xr:uid="{00000000-0004-0000-0100-000008000000}"/>
    <hyperlink ref="G89" location="'Kalkulationsrenten - eks'!A1" display="'Kalkulationsrenten - eks'!A1" xr:uid="{00000000-0004-0000-0100-000009000000}"/>
    <hyperlink ref="G100" location="'Kapitalværdi - eks'!A1" display="'Kapitalværdi - eks'!A1" xr:uid="{00000000-0004-0000-0100-00000A000000}"/>
    <hyperlink ref="G107" location="'Investeringskalkule - eks'!A1" display="'Investeringskalkule - eks'!A1" xr:uid="{00000000-0004-0000-0100-00000B000000}"/>
    <hyperlink ref="G116" location="'Investeringskalkule - eks'!A1" display="'Investeringskalkule - eks'!A1" xr:uid="{00000000-0004-0000-0100-00000C000000}"/>
    <hyperlink ref="G126" location="'Investeringskalkule - eks'!A1" display="'Investeringskalkule - eks'!A1" xr:uid="{00000000-0004-0000-0100-00000D000000}"/>
    <hyperlink ref="G137" location="'Modificeret intern rente - eks'!A1" display="'Modificeret intern rente - eks'!A1" xr:uid="{00000000-0004-0000-0100-00000E000000}"/>
    <hyperlink ref="G145" location="'Simpel tilbagebetalingstid - ek'!A1" display="'Simpel tilbagebetalingstid - ek'!A1" xr:uid="{00000000-0004-0000-0100-00000F000000}"/>
    <hyperlink ref="G148" location="'Eksakt tilbagebetalingstid - ek'!A1" display="'Eksakt tilbagebetalingstid - ek'!A1" xr:uid="{00000000-0004-0000-0100-000010000000}"/>
    <hyperlink ref="G40" location="'Beslutningskriterier - eks'!A1" display="'Beslutningskriterier - eks'!A1" xr:uid="{00000000-0004-0000-0100-000011000000}"/>
    <hyperlink ref="G149" location="Tilbagebetaling!A1" display="Tilbagebetaling!A1" xr:uid="{00000000-0004-0000-0100-000012000000}"/>
    <hyperlink ref="G157" location="'Investeringsalternativer - eks'!A1" display="'Investeringsalternativer - eks'!A1" xr:uid="{00000000-0004-0000-0100-000013000000}"/>
    <hyperlink ref="G161" location="'Optimal levetid - eksempel'!A1" display="'Optimal levetid - eksempel'!A1" xr:uid="{00000000-0004-0000-0100-000014000000}"/>
    <hyperlink ref="G139" location="'MIR - eksempel'!A1" display="'MIR - eksempel'!A1" xr:uid="{00000000-0004-0000-0100-000015000000}"/>
    <hyperlink ref="G166" location="'Følsomhedsanalyse - eks'!A1" display="'Følsomhedsanalyse - eks'!A1" xr:uid="{00000000-0004-0000-0100-000016000000}"/>
    <hyperlink ref="G170" location="'Skat i investeringer - eks'!A1" display="'Skat i investeringer - eks'!A1" xr:uid="{00000000-0004-0000-0100-000017000000}"/>
    <hyperlink ref="A2" location="Finansieringsteori!A1" display="Finansieringsteori!A1" xr:uid="{00000000-0004-0000-0100-000018000000}"/>
    <hyperlink ref="A4" location="Strategi!A1" display="Strategi!A1" xr:uid="{00000000-0004-0000-0100-000019000000}"/>
  </hyperlinks>
  <pageMargins left="0.75" right="0.75" top="1" bottom="1" header="0.5" footer="0.5"/>
  <pageSetup paperSize="9" orientation="portrait"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352"/>
  <sheetViews>
    <sheetView zoomScale="70" zoomScaleNormal="70" zoomScalePageLayoutView="70" workbookViewId="0">
      <selection activeCell="H44" sqref="H44"/>
    </sheetView>
  </sheetViews>
  <sheetFormatPr defaultColWidth="10.875" defaultRowHeight="15.75" x14ac:dyDescent="0.25"/>
  <cols>
    <col min="1" max="2" width="10.875" style="1"/>
    <col min="3" max="3" width="32.5" style="1" customWidth="1"/>
    <col min="4" max="4" width="31.5" style="1" customWidth="1"/>
    <col min="5" max="5" width="26.625" style="1" customWidth="1"/>
    <col min="6" max="6" width="47.5" style="1" customWidth="1"/>
    <col min="7" max="7" width="49.625" style="1" customWidth="1"/>
    <col min="8" max="16384" width="10.875" style="1"/>
  </cols>
  <sheetData>
    <row r="1" spans="1:8" x14ac:dyDescent="0.25">
      <c r="A1" s="528"/>
      <c r="E1" s="949" t="s">
        <v>118</v>
      </c>
      <c r="F1" s="949"/>
    </row>
    <row r="2" spans="1:8" x14ac:dyDescent="0.25">
      <c r="E2" s="949"/>
      <c r="F2" s="949"/>
    </row>
    <row r="3" spans="1:8" x14ac:dyDescent="0.25">
      <c r="A3" s="101" t="s">
        <v>1220</v>
      </c>
      <c r="B3" s="101" t="s">
        <v>1228</v>
      </c>
      <c r="C3" s="950" t="s">
        <v>368</v>
      </c>
      <c r="D3" s="950"/>
      <c r="E3" s="950"/>
      <c r="F3" s="950"/>
      <c r="G3" s="950"/>
      <c r="H3" s="950"/>
    </row>
    <row r="4" spans="1:8" ht="15" customHeight="1" x14ac:dyDescent="0.25">
      <c r="C4" s="950"/>
      <c r="D4" s="950"/>
      <c r="E4" s="950"/>
      <c r="F4" s="950"/>
      <c r="G4" s="950"/>
      <c r="H4" s="950"/>
    </row>
    <row r="5" spans="1:8" ht="15" customHeight="1" x14ac:dyDescent="0.35">
      <c r="A5" s="101" t="s">
        <v>2188</v>
      </c>
      <c r="C5" s="369"/>
      <c r="D5" s="369"/>
      <c r="E5" s="369"/>
      <c r="F5" s="369"/>
      <c r="G5" s="369"/>
      <c r="H5" s="369"/>
    </row>
    <row r="6" spans="1:8" x14ac:dyDescent="0.25">
      <c r="C6" s="2" t="s">
        <v>420</v>
      </c>
      <c r="D6" s="2" t="s">
        <v>3</v>
      </c>
      <c r="E6" s="2" t="s">
        <v>43</v>
      </c>
      <c r="F6" s="2" t="s">
        <v>5</v>
      </c>
      <c r="G6" s="2" t="s">
        <v>4</v>
      </c>
      <c r="H6" s="2" t="s">
        <v>9</v>
      </c>
    </row>
    <row r="7" spans="1:8" x14ac:dyDescent="0.25">
      <c r="C7" s="485" t="s">
        <v>1674</v>
      </c>
      <c r="D7" s="483"/>
      <c r="E7" s="483"/>
      <c r="F7" s="483"/>
      <c r="G7" s="483"/>
      <c r="H7" s="484"/>
    </row>
    <row r="8" spans="1:8" x14ac:dyDescent="0.25">
      <c r="C8" s="485" t="s">
        <v>1793</v>
      </c>
      <c r="D8" s="483"/>
      <c r="E8" s="483"/>
      <c r="F8" s="483"/>
      <c r="G8" s="483"/>
      <c r="H8" s="484"/>
    </row>
    <row r="9" spans="1:8" x14ac:dyDescent="0.25">
      <c r="C9" s="8"/>
      <c r="D9" s="8"/>
      <c r="E9" s="8"/>
      <c r="F9" s="8" t="s">
        <v>1614</v>
      </c>
      <c r="G9" s="8"/>
      <c r="H9" s="8"/>
    </row>
    <row r="10" spans="1:8" x14ac:dyDescent="0.25">
      <c r="C10" s="85" t="s">
        <v>1613</v>
      </c>
      <c r="D10" s="9"/>
      <c r="E10" s="9"/>
      <c r="F10" s="9"/>
      <c r="G10" s="9"/>
      <c r="H10" s="9"/>
    </row>
    <row r="11" spans="1:8" x14ac:dyDescent="0.25">
      <c r="C11" s="6"/>
      <c r="D11" s="6"/>
      <c r="E11" s="6"/>
      <c r="F11" s="6"/>
      <c r="G11" s="6"/>
      <c r="H11" s="6"/>
    </row>
    <row r="12" spans="1:8" x14ac:dyDescent="0.25">
      <c r="C12" s="8"/>
      <c r="D12" s="8"/>
      <c r="E12" s="8"/>
      <c r="F12" s="8" t="s">
        <v>1617</v>
      </c>
      <c r="G12" s="8"/>
      <c r="H12" s="8"/>
    </row>
    <row r="13" spans="1:8" x14ac:dyDescent="0.25">
      <c r="C13" s="85" t="s">
        <v>1615</v>
      </c>
      <c r="D13" s="9"/>
      <c r="E13" s="9"/>
      <c r="F13" s="9" t="s">
        <v>1618</v>
      </c>
      <c r="G13" s="9"/>
      <c r="H13" s="9"/>
    </row>
    <row r="14" spans="1:8" x14ac:dyDescent="0.25">
      <c r="C14" s="5" t="s">
        <v>1616</v>
      </c>
      <c r="D14" s="6"/>
      <c r="E14" s="6"/>
      <c r="F14" s="6"/>
      <c r="G14" s="6"/>
      <c r="H14" s="6"/>
    </row>
    <row r="15" spans="1:8" x14ac:dyDescent="0.25">
      <c r="C15" s="8"/>
      <c r="D15" s="8"/>
      <c r="E15" s="8"/>
      <c r="F15" s="8" t="s">
        <v>1620</v>
      </c>
      <c r="G15" s="8"/>
      <c r="H15" s="8"/>
    </row>
    <row r="16" spans="1:8" x14ac:dyDescent="0.25">
      <c r="C16" s="85" t="s">
        <v>1619</v>
      </c>
      <c r="D16" s="9"/>
      <c r="E16" s="9"/>
      <c r="F16" s="9" t="s">
        <v>1621</v>
      </c>
      <c r="G16" s="9"/>
      <c r="H16" s="9"/>
    </row>
    <row r="17" spans="3:8" x14ac:dyDescent="0.25">
      <c r="C17" s="6"/>
      <c r="D17" s="6"/>
      <c r="E17" s="6"/>
      <c r="F17" s="6" t="s">
        <v>1622</v>
      </c>
      <c r="G17" s="6"/>
      <c r="H17" s="6"/>
    </row>
    <row r="18" spans="3:8" x14ac:dyDescent="0.25">
      <c r="C18" s="8"/>
      <c r="D18" s="8"/>
      <c r="E18" s="8"/>
      <c r="F18" s="8" t="s">
        <v>1624</v>
      </c>
      <c r="G18" s="8"/>
      <c r="H18" s="8"/>
    </row>
    <row r="19" spans="3:8" x14ac:dyDescent="0.25">
      <c r="C19" s="85" t="s">
        <v>1623</v>
      </c>
      <c r="D19" s="9"/>
      <c r="E19" s="9"/>
      <c r="F19" s="9" t="s">
        <v>1625</v>
      </c>
      <c r="G19" s="9"/>
      <c r="H19" s="9"/>
    </row>
    <row r="20" spans="3:8" x14ac:dyDescent="0.25">
      <c r="C20" s="5" t="s">
        <v>1766</v>
      </c>
      <c r="D20" s="6"/>
      <c r="E20" s="6"/>
      <c r="F20" s="6"/>
      <c r="G20" s="6"/>
      <c r="H20" s="6"/>
    </row>
    <row r="21" spans="3:8" x14ac:dyDescent="0.25">
      <c r="C21" s="8"/>
      <c r="D21" s="8"/>
      <c r="E21" s="8"/>
      <c r="F21" s="8"/>
      <c r="G21" s="8"/>
      <c r="H21" s="8"/>
    </row>
    <row r="22" spans="3:8" x14ac:dyDescent="0.25">
      <c r="C22" s="85" t="s">
        <v>240</v>
      </c>
      <c r="D22" s="9"/>
      <c r="E22" s="9"/>
      <c r="F22" s="9" t="s">
        <v>1626</v>
      </c>
      <c r="G22" s="9"/>
      <c r="H22" s="9"/>
    </row>
    <row r="23" spans="3:8" x14ac:dyDescent="0.25">
      <c r="C23" s="6"/>
      <c r="D23" s="6"/>
      <c r="E23" s="6"/>
      <c r="F23" s="6"/>
      <c r="G23" s="6"/>
      <c r="H23" s="6"/>
    </row>
    <row r="24" spans="3:8" x14ac:dyDescent="0.25">
      <c r="C24" s="8"/>
      <c r="D24" s="8"/>
      <c r="E24" s="8"/>
      <c r="F24" s="8"/>
      <c r="G24" s="8" t="s">
        <v>1753</v>
      </c>
      <c r="H24" s="8"/>
    </row>
    <row r="25" spans="3:8" x14ac:dyDescent="0.25">
      <c r="C25" s="85" t="s">
        <v>239</v>
      </c>
      <c r="D25" s="9"/>
      <c r="E25" s="9"/>
      <c r="F25" s="9"/>
      <c r="G25" s="9" t="s">
        <v>1754</v>
      </c>
      <c r="H25" s="9"/>
    </row>
    <row r="26" spans="3:8" x14ac:dyDescent="0.25">
      <c r="C26" s="6"/>
      <c r="D26" s="6"/>
      <c r="E26" s="6"/>
      <c r="F26" s="6"/>
      <c r="G26" s="6" t="s">
        <v>1755</v>
      </c>
      <c r="H26" s="6"/>
    </row>
    <row r="27" spans="3:8" x14ac:dyDescent="0.25">
      <c r="C27" s="8"/>
      <c r="D27" s="8"/>
      <c r="E27" s="8"/>
      <c r="F27" s="8"/>
      <c r="G27" s="8" t="s">
        <v>1757</v>
      </c>
      <c r="H27" s="8"/>
    </row>
    <row r="28" spans="3:8" x14ac:dyDescent="0.25">
      <c r="C28" s="85" t="s">
        <v>1756</v>
      </c>
      <c r="D28" s="9"/>
      <c r="E28" s="9"/>
      <c r="F28" s="9"/>
      <c r="G28" s="9" t="s">
        <v>1758</v>
      </c>
      <c r="H28" s="35" t="s">
        <v>1768</v>
      </c>
    </row>
    <row r="29" spans="3:8" x14ac:dyDescent="0.25">
      <c r="C29" s="9"/>
      <c r="D29" s="9"/>
      <c r="E29" s="9"/>
      <c r="F29" s="9"/>
      <c r="G29" s="9"/>
      <c r="H29" s="9"/>
    </row>
    <row r="30" spans="3:8" x14ac:dyDescent="0.25">
      <c r="C30" s="8"/>
      <c r="D30" s="8"/>
      <c r="E30" s="8"/>
      <c r="F30" s="8"/>
      <c r="G30" s="8" t="s">
        <v>1760</v>
      </c>
      <c r="H30" s="8"/>
    </row>
    <row r="31" spans="3:8" x14ac:dyDescent="0.25">
      <c r="C31" s="9"/>
      <c r="D31" s="9"/>
      <c r="E31" s="9"/>
      <c r="F31" s="9"/>
      <c r="G31" s="9" t="s">
        <v>1761</v>
      </c>
      <c r="H31" s="35" t="s">
        <v>1770</v>
      </c>
    </row>
    <row r="32" spans="3:8" x14ac:dyDescent="0.25">
      <c r="C32" s="9"/>
      <c r="D32" s="9"/>
      <c r="E32" s="9"/>
      <c r="F32" s="9"/>
      <c r="G32" s="9" t="s">
        <v>1762</v>
      </c>
      <c r="H32" s="9"/>
    </row>
    <row r="33" spans="3:8" x14ac:dyDescent="0.25">
      <c r="C33" s="9"/>
      <c r="D33" s="9"/>
      <c r="E33" s="9"/>
      <c r="F33" s="9"/>
      <c r="G33" s="9" t="s">
        <v>1780</v>
      </c>
      <c r="H33" s="9"/>
    </row>
    <row r="34" spans="3:8" x14ac:dyDescent="0.25">
      <c r="C34" s="85" t="s">
        <v>1759</v>
      </c>
      <c r="D34" s="9" t="s">
        <v>1779</v>
      </c>
      <c r="E34" s="9"/>
      <c r="F34" s="9"/>
      <c r="G34" s="9" t="s">
        <v>1781</v>
      </c>
      <c r="H34" s="9"/>
    </row>
    <row r="35" spans="3:8" x14ac:dyDescent="0.25">
      <c r="C35" s="9"/>
      <c r="D35" s="9" t="s">
        <v>1774</v>
      </c>
      <c r="E35" s="9"/>
      <c r="F35" s="9"/>
      <c r="G35" s="9" t="s">
        <v>1782</v>
      </c>
      <c r="H35" s="9"/>
    </row>
    <row r="36" spans="3:8" x14ac:dyDescent="0.25">
      <c r="C36" s="9"/>
      <c r="D36" s="9" t="s">
        <v>1775</v>
      </c>
      <c r="E36" s="9"/>
      <c r="F36" s="9"/>
      <c r="G36" s="9" t="s">
        <v>1783</v>
      </c>
      <c r="H36" s="9"/>
    </row>
    <row r="37" spans="3:8" x14ac:dyDescent="0.25">
      <c r="C37" s="9"/>
      <c r="D37" s="9" t="s">
        <v>1778</v>
      </c>
      <c r="E37" s="9"/>
      <c r="F37" s="9"/>
      <c r="G37" s="9" t="s">
        <v>1784</v>
      </c>
      <c r="H37" s="9"/>
    </row>
    <row r="38" spans="3:8" x14ac:dyDescent="0.25">
      <c r="C38" s="9"/>
      <c r="D38" s="9"/>
      <c r="E38" s="9"/>
      <c r="F38" s="9"/>
      <c r="G38" s="9"/>
      <c r="H38" s="9"/>
    </row>
    <row r="39" spans="3:8" x14ac:dyDescent="0.25">
      <c r="C39" s="6"/>
      <c r="D39" s="6"/>
      <c r="E39" s="6"/>
      <c r="F39" s="6"/>
      <c r="G39" s="6"/>
      <c r="H39" s="6"/>
    </row>
    <row r="40" spans="3:8" x14ac:dyDescent="0.25">
      <c r="C40" s="9"/>
      <c r="D40" s="9"/>
      <c r="E40" s="9"/>
      <c r="F40" s="9"/>
      <c r="G40" s="9" t="s">
        <v>1764</v>
      </c>
      <c r="H40" s="9"/>
    </row>
    <row r="41" spans="3:8" x14ac:dyDescent="0.25">
      <c r="C41" s="85" t="s">
        <v>1763</v>
      </c>
      <c r="D41" s="9"/>
      <c r="E41" s="9"/>
      <c r="F41" s="9"/>
      <c r="G41" s="9" t="s">
        <v>1765</v>
      </c>
      <c r="H41" s="35" t="s">
        <v>1769</v>
      </c>
    </row>
    <row r="42" spans="3:8" x14ac:dyDescent="0.25">
      <c r="C42" s="6"/>
      <c r="D42" s="6"/>
      <c r="E42" s="6"/>
      <c r="F42" s="6"/>
      <c r="G42" s="6"/>
      <c r="H42" s="6"/>
    </row>
    <row r="43" spans="3:8" x14ac:dyDescent="0.25">
      <c r="C43" s="8"/>
      <c r="D43" s="8"/>
      <c r="E43" s="8" t="s">
        <v>1630</v>
      </c>
      <c r="F43" s="8" t="s">
        <v>1628</v>
      </c>
      <c r="G43" s="8"/>
      <c r="H43" s="8"/>
    </row>
    <row r="44" spans="3:8" x14ac:dyDescent="0.25">
      <c r="C44" s="85" t="s">
        <v>1773</v>
      </c>
      <c r="D44" s="9" t="s">
        <v>1631</v>
      </c>
      <c r="E44" s="9"/>
      <c r="F44" s="9" t="s">
        <v>1629</v>
      </c>
      <c r="G44" s="9"/>
      <c r="H44" s="35" t="s">
        <v>1651</v>
      </c>
    </row>
    <row r="45" spans="3:8" x14ac:dyDescent="0.25">
      <c r="C45" s="6"/>
      <c r="D45" s="6"/>
      <c r="E45" s="6"/>
      <c r="F45" s="6"/>
      <c r="G45" s="6"/>
      <c r="H45" s="6"/>
    </row>
    <row r="46" spans="3:8" x14ac:dyDescent="0.25">
      <c r="C46" s="8"/>
      <c r="D46" s="8"/>
      <c r="E46" s="8" t="s">
        <v>1653</v>
      </c>
      <c r="F46" s="8" t="s">
        <v>1654</v>
      </c>
      <c r="G46" s="8" t="s">
        <v>1812</v>
      </c>
      <c r="H46" s="8"/>
    </row>
    <row r="47" spans="3:8" x14ac:dyDescent="0.25">
      <c r="C47" s="85" t="s">
        <v>1652</v>
      </c>
      <c r="D47" s="9"/>
      <c r="E47" s="9"/>
      <c r="F47" s="9" t="s">
        <v>1655</v>
      </c>
      <c r="G47" s="9" t="s">
        <v>1813</v>
      </c>
      <c r="H47" s="35" t="s">
        <v>1651</v>
      </c>
    </row>
    <row r="48" spans="3:8" x14ac:dyDescent="0.25">
      <c r="C48" s="6"/>
      <c r="D48" s="6"/>
      <c r="E48" s="6"/>
      <c r="F48" s="6"/>
      <c r="G48" s="6" t="s">
        <v>1814</v>
      </c>
      <c r="H48" s="6"/>
    </row>
    <row r="49" spans="3:8" x14ac:dyDescent="0.25">
      <c r="C49" s="8"/>
      <c r="D49" s="8"/>
      <c r="E49" s="8" t="s">
        <v>1657</v>
      </c>
      <c r="F49" s="8" t="s">
        <v>1659</v>
      </c>
      <c r="G49" s="8"/>
      <c r="H49" s="8"/>
    </row>
    <row r="50" spans="3:8" x14ac:dyDescent="0.25">
      <c r="C50" s="85" t="s">
        <v>1656</v>
      </c>
      <c r="D50" s="9"/>
      <c r="E50" s="9" t="s">
        <v>1658</v>
      </c>
      <c r="F50" s="9"/>
      <c r="G50" s="9"/>
      <c r="H50" s="35" t="s">
        <v>1651</v>
      </c>
    </row>
    <row r="51" spans="3:8" x14ac:dyDescent="0.25">
      <c r="C51" s="6"/>
      <c r="D51" s="6"/>
      <c r="E51" s="6"/>
      <c r="F51" s="6"/>
      <c r="G51" s="6"/>
      <c r="H51" s="6"/>
    </row>
    <row r="52" spans="3:8" x14ac:dyDescent="0.25">
      <c r="C52" s="8"/>
      <c r="D52" s="8"/>
      <c r="E52" s="8"/>
      <c r="F52" s="8"/>
      <c r="G52" s="8"/>
      <c r="H52" s="8"/>
    </row>
    <row r="53" spans="3:8" x14ac:dyDescent="0.25">
      <c r="C53" s="85" t="s">
        <v>1776</v>
      </c>
      <c r="D53" s="9" t="s">
        <v>1777</v>
      </c>
      <c r="E53" s="9"/>
      <c r="F53" s="9"/>
      <c r="G53" s="9"/>
      <c r="H53" s="9"/>
    </row>
    <row r="54" spans="3:8" x14ac:dyDescent="0.25">
      <c r="C54" s="6"/>
      <c r="D54" s="6"/>
      <c r="E54" s="6"/>
      <c r="F54" s="6"/>
      <c r="G54" s="6"/>
      <c r="H54" s="6"/>
    </row>
    <row r="55" spans="3:8" x14ac:dyDescent="0.25">
      <c r="C55" s="8"/>
      <c r="D55" s="8"/>
      <c r="E55" s="8"/>
      <c r="F55" s="8"/>
      <c r="G55" s="8"/>
      <c r="H55" s="8"/>
    </row>
    <row r="56" spans="3:8" x14ac:dyDescent="0.25">
      <c r="C56" s="85" t="s">
        <v>1363</v>
      </c>
      <c r="D56" s="9" t="s">
        <v>1807</v>
      </c>
      <c r="E56" s="9"/>
      <c r="F56" s="9"/>
      <c r="G56" s="9"/>
      <c r="H56" s="35" t="s">
        <v>1768</v>
      </c>
    </row>
    <row r="57" spans="3:8" x14ac:dyDescent="0.25">
      <c r="C57" s="6"/>
      <c r="D57" s="6"/>
      <c r="E57" s="6"/>
      <c r="F57" s="6"/>
      <c r="G57" s="6"/>
      <c r="H57" s="6"/>
    </row>
    <row r="58" spans="3:8" x14ac:dyDescent="0.25">
      <c r="C58" s="8"/>
      <c r="D58" s="8"/>
      <c r="E58" s="8"/>
      <c r="F58" s="8" t="s">
        <v>1661</v>
      </c>
      <c r="G58" s="8"/>
      <c r="H58" s="8"/>
    </row>
    <row r="59" spans="3:8" x14ac:dyDescent="0.25">
      <c r="C59" s="85" t="s">
        <v>1660</v>
      </c>
      <c r="D59" s="9"/>
      <c r="E59" s="9"/>
      <c r="F59" s="9" t="s">
        <v>1701</v>
      </c>
      <c r="G59" s="9"/>
      <c r="H59" s="35" t="s">
        <v>1651</v>
      </c>
    </row>
    <row r="60" spans="3:8" x14ac:dyDescent="0.25">
      <c r="C60" s="6"/>
      <c r="D60" s="6"/>
      <c r="E60" s="6"/>
      <c r="F60" s="6"/>
      <c r="G60" s="6"/>
      <c r="H60" s="6"/>
    </row>
    <row r="61" spans="3:8" x14ac:dyDescent="0.25">
      <c r="C61" s="8"/>
      <c r="D61" s="8"/>
      <c r="E61" s="8"/>
      <c r="F61" s="8" t="s">
        <v>1663</v>
      </c>
      <c r="G61" s="8"/>
      <c r="H61" s="8"/>
    </row>
    <row r="62" spans="3:8" x14ac:dyDescent="0.25">
      <c r="C62" s="85" t="s">
        <v>1662</v>
      </c>
      <c r="D62" s="9"/>
      <c r="E62" s="9"/>
      <c r="F62" s="9"/>
      <c r="G62" s="9"/>
      <c r="H62" s="227" t="s">
        <v>1651</v>
      </c>
    </row>
    <row r="63" spans="3:8" x14ac:dyDescent="0.25">
      <c r="C63" s="6"/>
      <c r="D63" s="6"/>
      <c r="E63" s="6"/>
      <c r="F63" s="6"/>
      <c r="G63" s="6"/>
      <c r="H63" s="6"/>
    </row>
    <row r="64" spans="3:8" x14ac:dyDescent="0.25">
      <c r="C64" s="8"/>
      <c r="D64" s="8"/>
      <c r="E64" s="8"/>
      <c r="F64" s="8" t="s">
        <v>1665</v>
      </c>
      <c r="G64" s="8" t="s">
        <v>1666</v>
      </c>
      <c r="H64" s="8"/>
    </row>
    <row r="65" spans="3:8" x14ac:dyDescent="0.25">
      <c r="C65" s="85" t="s">
        <v>1664</v>
      </c>
      <c r="D65" s="9"/>
      <c r="E65" s="9"/>
      <c r="F65" s="9"/>
      <c r="G65" s="9"/>
      <c r="H65" s="35" t="s">
        <v>1651</v>
      </c>
    </row>
    <row r="66" spans="3:8" x14ac:dyDescent="0.25">
      <c r="C66" s="6"/>
      <c r="D66" s="6"/>
      <c r="E66" s="6"/>
      <c r="F66" s="6"/>
      <c r="G66" s="6"/>
      <c r="H66" s="6"/>
    </row>
    <row r="67" spans="3:8" x14ac:dyDescent="0.25">
      <c r="C67" s="8"/>
      <c r="D67" s="8"/>
      <c r="E67" s="8"/>
      <c r="F67" s="8" t="s">
        <v>1667</v>
      </c>
      <c r="G67" s="8"/>
      <c r="H67" s="8"/>
    </row>
    <row r="68" spans="3:8" x14ac:dyDescent="0.25">
      <c r="C68" s="85" t="s">
        <v>1390</v>
      </c>
      <c r="D68" s="9"/>
      <c r="E68" s="9"/>
      <c r="F68" s="9" t="s">
        <v>1668</v>
      </c>
      <c r="G68" s="9"/>
      <c r="H68" s="35" t="s">
        <v>1651</v>
      </c>
    </row>
    <row r="69" spans="3:8" x14ac:dyDescent="0.25">
      <c r="C69" s="6"/>
      <c r="D69" s="6"/>
      <c r="E69" s="6"/>
      <c r="F69" s="6"/>
      <c r="G69" s="6"/>
      <c r="H69" s="6"/>
    </row>
    <row r="70" spans="3:8" x14ac:dyDescent="0.25">
      <c r="C70" s="8"/>
      <c r="D70" s="8"/>
      <c r="E70" s="8"/>
      <c r="F70" s="8" t="s">
        <v>1669</v>
      </c>
      <c r="G70" s="8"/>
      <c r="H70" s="8"/>
    </row>
    <row r="71" spans="3:8" x14ac:dyDescent="0.25">
      <c r="C71" s="85" t="s">
        <v>1670</v>
      </c>
      <c r="D71" s="9" t="s">
        <v>1772</v>
      </c>
      <c r="E71" s="9"/>
      <c r="F71" s="9"/>
      <c r="G71" s="9"/>
      <c r="H71" s="35" t="s">
        <v>1651</v>
      </c>
    </row>
    <row r="72" spans="3:8" x14ac:dyDescent="0.25">
      <c r="C72" s="6"/>
      <c r="D72" s="6"/>
      <c r="E72" s="6"/>
      <c r="F72" s="6"/>
      <c r="G72" s="6"/>
      <c r="H72" s="6"/>
    </row>
    <row r="73" spans="3:8" x14ac:dyDescent="0.25">
      <c r="C73" s="8"/>
      <c r="D73" s="8"/>
      <c r="E73" s="8"/>
      <c r="F73" s="8" t="s">
        <v>1672</v>
      </c>
      <c r="G73" s="8"/>
      <c r="H73" s="8"/>
    </row>
    <row r="74" spans="3:8" x14ac:dyDescent="0.25">
      <c r="C74" s="85" t="s">
        <v>1671</v>
      </c>
      <c r="D74" s="9"/>
      <c r="E74" s="9"/>
      <c r="F74" s="9" t="s">
        <v>1673</v>
      </c>
      <c r="G74" s="9"/>
      <c r="H74" s="35" t="s">
        <v>1651</v>
      </c>
    </row>
    <row r="75" spans="3:8" x14ac:dyDescent="0.25">
      <c r="C75" s="6"/>
      <c r="D75" s="6"/>
      <c r="E75" s="6"/>
      <c r="F75" s="6"/>
      <c r="G75" s="6"/>
      <c r="H75" s="6"/>
    </row>
    <row r="76" spans="3:8" x14ac:dyDescent="0.25">
      <c r="C76" s="8"/>
      <c r="D76" s="8"/>
      <c r="E76" s="8"/>
      <c r="F76" s="8"/>
      <c r="G76" s="8" t="s">
        <v>1786</v>
      </c>
      <c r="H76" s="8"/>
    </row>
    <row r="77" spans="3:8" x14ac:dyDescent="0.25">
      <c r="C77" s="9"/>
      <c r="D77" s="9"/>
      <c r="E77" s="9"/>
      <c r="F77" s="9"/>
      <c r="G77" s="9" t="s">
        <v>1787</v>
      </c>
      <c r="H77" s="9"/>
    </row>
    <row r="78" spans="3:8" x14ac:dyDescent="0.25">
      <c r="C78" s="9"/>
      <c r="D78" s="9"/>
      <c r="E78" s="9"/>
      <c r="F78" s="9"/>
      <c r="G78" s="9" t="s">
        <v>1788</v>
      </c>
      <c r="H78" s="9"/>
    </row>
    <row r="79" spans="3:8" x14ac:dyDescent="0.25">
      <c r="C79" s="85" t="s">
        <v>1785</v>
      </c>
      <c r="D79" s="9"/>
      <c r="E79" s="9"/>
      <c r="F79" s="9"/>
      <c r="G79" s="9" t="s">
        <v>1789</v>
      </c>
      <c r="H79" s="9"/>
    </row>
    <row r="80" spans="3:8" x14ac:dyDescent="0.25">
      <c r="C80" s="9"/>
      <c r="D80" s="9"/>
      <c r="E80" s="9"/>
      <c r="F80" s="9"/>
      <c r="G80" s="9" t="s">
        <v>1790</v>
      </c>
      <c r="H80" s="9"/>
    </row>
    <row r="81" spans="3:8" x14ac:dyDescent="0.25">
      <c r="C81" s="9"/>
      <c r="D81" s="9"/>
      <c r="E81" s="9"/>
      <c r="F81" s="9"/>
      <c r="G81" s="9" t="s">
        <v>1791</v>
      </c>
      <c r="H81" s="9"/>
    </row>
    <row r="82" spans="3:8" x14ac:dyDescent="0.25">
      <c r="C82" s="6"/>
      <c r="D82" s="6"/>
      <c r="E82" s="6"/>
      <c r="F82" s="6"/>
      <c r="G82" s="6" t="s">
        <v>1792</v>
      </c>
      <c r="H82" s="6"/>
    </row>
    <row r="83" spans="3:8" x14ac:dyDescent="0.25">
      <c r="C83" s="485" t="s">
        <v>1675</v>
      </c>
      <c r="D83" s="483"/>
      <c r="E83" s="483"/>
      <c r="F83" s="483"/>
      <c r="G83" s="483"/>
      <c r="H83" s="484"/>
    </row>
    <row r="84" spans="3:8" x14ac:dyDescent="0.25">
      <c r="C84" s="8"/>
      <c r="D84" s="8"/>
      <c r="E84" s="8"/>
      <c r="F84" s="8" t="s">
        <v>1679</v>
      </c>
      <c r="G84" s="8" t="s">
        <v>1678</v>
      </c>
      <c r="H84" s="8"/>
    </row>
    <row r="85" spans="3:8" x14ac:dyDescent="0.25">
      <c r="C85" s="85" t="s">
        <v>1676</v>
      </c>
      <c r="D85" s="9"/>
      <c r="E85" s="9"/>
      <c r="F85" s="9"/>
      <c r="G85" s="9" t="s">
        <v>1680</v>
      </c>
      <c r="H85" s="9"/>
    </row>
    <row r="86" spans="3:8" x14ac:dyDescent="0.25">
      <c r="C86" s="4" t="s">
        <v>1677</v>
      </c>
      <c r="D86" s="9"/>
      <c r="E86" s="9"/>
      <c r="F86" s="9"/>
      <c r="G86" s="9" t="s">
        <v>1681</v>
      </c>
      <c r="H86" s="35" t="s">
        <v>1683</v>
      </c>
    </row>
    <row r="87" spans="3:8" x14ac:dyDescent="0.25">
      <c r="C87" s="9"/>
      <c r="D87" s="9"/>
      <c r="E87" s="9"/>
      <c r="F87" s="9"/>
      <c r="G87" s="9" t="s">
        <v>1682</v>
      </c>
      <c r="H87" s="9"/>
    </row>
    <row r="88" spans="3:8" x14ac:dyDescent="0.25">
      <c r="C88" s="8"/>
      <c r="D88" s="8"/>
      <c r="E88" s="8" t="s">
        <v>1697</v>
      </c>
      <c r="F88" s="8" t="s">
        <v>1685</v>
      </c>
      <c r="G88" s="8" t="s">
        <v>1691</v>
      </c>
      <c r="H88" s="8"/>
    </row>
    <row r="89" spans="3:8" x14ac:dyDescent="0.25">
      <c r="C89" s="85"/>
      <c r="D89" s="9"/>
      <c r="E89" s="81" t="s">
        <v>1704</v>
      </c>
      <c r="F89" s="9" t="s">
        <v>1684</v>
      </c>
      <c r="G89" s="9" t="s">
        <v>1692</v>
      </c>
      <c r="H89" s="9"/>
    </row>
    <row r="90" spans="3:8" x14ac:dyDescent="0.25">
      <c r="C90" s="85" t="s">
        <v>1703</v>
      </c>
      <c r="D90" s="9"/>
      <c r="E90" s="9" t="s">
        <v>1698</v>
      </c>
      <c r="F90" s="9" t="s">
        <v>1686</v>
      </c>
      <c r="G90" s="9" t="s">
        <v>1693</v>
      </c>
      <c r="H90" s="35" t="s">
        <v>1702</v>
      </c>
    </row>
    <row r="91" spans="3:8" x14ac:dyDescent="0.25">
      <c r="C91" s="4" t="s">
        <v>1699</v>
      </c>
      <c r="D91" s="9" t="s">
        <v>1690</v>
      </c>
      <c r="E91" s="81" t="s">
        <v>1705</v>
      </c>
      <c r="F91" s="9" t="s">
        <v>1687</v>
      </c>
      <c r="G91" s="9" t="s">
        <v>1695</v>
      </c>
      <c r="H91" s="9"/>
    </row>
    <row r="92" spans="3:8" x14ac:dyDescent="0.25">
      <c r="C92" s="4" t="s">
        <v>1700</v>
      </c>
      <c r="D92" s="9" t="s">
        <v>1810</v>
      </c>
      <c r="E92" s="9" t="s">
        <v>10</v>
      </c>
      <c r="F92" s="9" t="s">
        <v>1688</v>
      </c>
      <c r="G92" s="9" t="s">
        <v>1694</v>
      </c>
      <c r="H92" s="9"/>
    </row>
    <row r="93" spans="3:8" x14ac:dyDescent="0.25">
      <c r="C93" s="9"/>
      <c r="D93" s="9" t="s">
        <v>1689</v>
      </c>
      <c r="E93" s="81" t="s">
        <v>1289</v>
      </c>
      <c r="F93" s="81" t="s">
        <v>1750</v>
      </c>
      <c r="G93" s="9" t="s">
        <v>1696</v>
      </c>
      <c r="H93" s="9"/>
    </row>
    <row r="94" spans="3:8" x14ac:dyDescent="0.25">
      <c r="C94" s="9" t="s">
        <v>3015</v>
      </c>
      <c r="D94" s="9"/>
      <c r="E94" s="9"/>
      <c r="F94" s="35" t="s">
        <v>1751</v>
      </c>
      <c r="G94" s="9" t="s">
        <v>1748</v>
      </c>
      <c r="H94" s="9"/>
    </row>
    <row r="95" spans="3:8" x14ac:dyDescent="0.25">
      <c r="C95" s="9"/>
      <c r="D95" s="9"/>
      <c r="E95" s="9"/>
      <c r="F95" s="81" t="s">
        <v>1808</v>
      </c>
      <c r="G95" s="9" t="s">
        <v>1749</v>
      </c>
      <c r="H95" s="9"/>
    </row>
    <row r="96" spans="3:8" x14ac:dyDescent="0.25">
      <c r="C96" s="9"/>
      <c r="D96" s="9"/>
      <c r="E96" s="9"/>
      <c r="F96" s="35" t="s">
        <v>1809</v>
      </c>
      <c r="G96" s="9" t="s">
        <v>1752</v>
      </c>
      <c r="H96" s="9"/>
    </row>
    <row r="97" spans="3:8" x14ac:dyDescent="0.25">
      <c r="C97" s="6"/>
      <c r="D97" s="6"/>
      <c r="E97" s="6"/>
      <c r="F97" s="6"/>
      <c r="G97" s="6" t="s">
        <v>1811</v>
      </c>
      <c r="H97" s="6"/>
    </row>
    <row r="98" spans="3:8" x14ac:dyDescent="0.25">
      <c r="C98" s="485" t="s">
        <v>2400</v>
      </c>
      <c r="D98" s="483"/>
      <c r="E98" s="483"/>
      <c r="F98" s="483"/>
      <c r="G98" s="483"/>
      <c r="H98" s="484"/>
    </row>
    <row r="99" spans="3:8" x14ac:dyDescent="0.25">
      <c r="C99" s="8"/>
      <c r="D99" s="8"/>
      <c r="E99" s="8"/>
      <c r="F99" s="8" t="s">
        <v>1795</v>
      </c>
      <c r="G99" s="8"/>
      <c r="H99" s="8"/>
    </row>
    <row r="100" spans="3:8" x14ac:dyDescent="0.25">
      <c r="C100" s="9"/>
      <c r="D100" s="9"/>
      <c r="E100" s="9"/>
      <c r="F100" s="9" t="s">
        <v>1796</v>
      </c>
      <c r="G100" s="9"/>
      <c r="H100" s="9"/>
    </row>
    <row r="101" spans="3:8" x14ac:dyDescent="0.25">
      <c r="C101" s="9"/>
      <c r="D101" s="9"/>
      <c r="E101" s="9"/>
      <c r="F101" s="9" t="s">
        <v>1797</v>
      </c>
      <c r="G101" s="9" t="s">
        <v>1815</v>
      </c>
      <c r="H101" s="9"/>
    </row>
    <row r="102" spans="3:8" x14ac:dyDescent="0.25">
      <c r="C102" s="85" t="s">
        <v>1794</v>
      </c>
      <c r="D102" s="9"/>
      <c r="E102" s="9"/>
      <c r="F102" s="9" t="s">
        <v>1799</v>
      </c>
      <c r="G102" s="9" t="s">
        <v>1816</v>
      </c>
      <c r="H102" s="9"/>
    </row>
    <row r="103" spans="3:8" x14ac:dyDescent="0.25">
      <c r="C103" s="4" t="s">
        <v>1871</v>
      </c>
      <c r="D103" s="9"/>
      <c r="E103" s="9"/>
      <c r="F103" s="9" t="s">
        <v>1800</v>
      </c>
      <c r="G103" s="9" t="s">
        <v>1817</v>
      </c>
      <c r="H103" s="35" t="s">
        <v>1806</v>
      </c>
    </row>
    <row r="104" spans="3:8" x14ac:dyDescent="0.25">
      <c r="C104" s="4" t="s">
        <v>1798</v>
      </c>
      <c r="D104" s="9"/>
      <c r="E104" s="9"/>
      <c r="F104" s="9" t="s">
        <v>1801</v>
      </c>
      <c r="G104" s="9" t="s">
        <v>1818</v>
      </c>
      <c r="H104" s="9"/>
    </row>
    <row r="105" spans="3:8" x14ac:dyDescent="0.25">
      <c r="C105" s="9"/>
      <c r="D105" s="9"/>
      <c r="E105" s="9"/>
      <c r="F105" s="9" t="s">
        <v>1802</v>
      </c>
      <c r="G105" s="9" t="s">
        <v>1819</v>
      </c>
      <c r="H105" s="9"/>
    </row>
    <row r="106" spans="3:8" x14ac:dyDescent="0.25">
      <c r="C106" s="9"/>
      <c r="D106" s="9"/>
      <c r="E106" s="9"/>
      <c r="F106" s="9" t="s">
        <v>1803</v>
      </c>
      <c r="G106" s="9" t="s">
        <v>1820</v>
      </c>
      <c r="H106" s="9"/>
    </row>
    <row r="107" spans="3:8" x14ac:dyDescent="0.25">
      <c r="C107" s="9"/>
      <c r="D107" s="9"/>
      <c r="E107" s="9"/>
      <c r="F107" s="9" t="s">
        <v>1804</v>
      </c>
      <c r="G107" s="9" t="s">
        <v>1822</v>
      </c>
      <c r="H107" s="9"/>
    </row>
    <row r="108" spans="3:8" x14ac:dyDescent="0.25">
      <c r="C108" s="9"/>
      <c r="D108" s="9"/>
      <c r="E108" s="9"/>
      <c r="F108" s="9" t="s">
        <v>1805</v>
      </c>
      <c r="G108" s="9" t="s">
        <v>1821</v>
      </c>
      <c r="H108" s="35" t="s">
        <v>1835</v>
      </c>
    </row>
    <row r="109" spans="3:8" x14ac:dyDescent="0.25">
      <c r="C109" s="9"/>
      <c r="D109" s="9"/>
      <c r="E109" s="9"/>
      <c r="F109" s="81" t="s">
        <v>1808</v>
      </c>
      <c r="G109" s="9" t="s">
        <v>1901</v>
      </c>
      <c r="H109" s="9"/>
    </row>
    <row r="110" spans="3:8" x14ac:dyDescent="0.25">
      <c r="C110" s="6"/>
      <c r="D110" s="6"/>
      <c r="E110" s="6"/>
      <c r="F110" s="308" t="s">
        <v>1809</v>
      </c>
      <c r="G110" s="6" t="s">
        <v>1902</v>
      </c>
      <c r="H110" s="6"/>
    </row>
    <row r="111" spans="3:8" x14ac:dyDescent="0.25">
      <c r="C111" s="581" t="s">
        <v>1872</v>
      </c>
      <c r="D111" s="579"/>
      <c r="E111" s="579"/>
      <c r="F111" s="579"/>
      <c r="G111" s="579"/>
      <c r="H111" s="580"/>
    </row>
    <row r="112" spans="3:8" x14ac:dyDescent="0.25">
      <c r="C112" s="8"/>
      <c r="D112" s="8"/>
      <c r="E112" s="8"/>
      <c r="F112" s="8" t="s">
        <v>1874</v>
      </c>
      <c r="G112" s="8" t="s">
        <v>1876</v>
      </c>
      <c r="H112" s="8"/>
    </row>
    <row r="113" spans="3:8" x14ac:dyDescent="0.25">
      <c r="C113" s="85" t="s">
        <v>1873</v>
      </c>
      <c r="D113" s="9"/>
      <c r="E113" s="9"/>
      <c r="F113" s="9" t="s">
        <v>1875</v>
      </c>
      <c r="G113" s="582" t="s">
        <v>1877</v>
      </c>
      <c r="H113" s="9"/>
    </row>
    <row r="114" spans="3:8" x14ac:dyDescent="0.25">
      <c r="C114" s="9"/>
      <c r="D114" s="9"/>
      <c r="E114" s="9"/>
      <c r="F114" s="9"/>
      <c r="G114" s="9" t="s">
        <v>1973</v>
      </c>
      <c r="H114" s="9"/>
    </row>
    <row r="115" spans="3:8" x14ac:dyDescent="0.25">
      <c r="C115" s="6"/>
      <c r="D115" s="6"/>
      <c r="E115" s="6"/>
      <c r="F115" s="6"/>
      <c r="G115" s="308" t="s">
        <v>1974</v>
      </c>
      <c r="H115" s="6"/>
    </row>
    <row r="116" spans="3:8" x14ac:dyDescent="0.25">
      <c r="C116" s="8"/>
      <c r="D116" s="8"/>
      <c r="E116" s="8"/>
      <c r="F116" s="8" t="s">
        <v>1883</v>
      </c>
      <c r="G116" s="8" t="s">
        <v>1885</v>
      </c>
      <c r="H116" s="8"/>
    </row>
    <row r="117" spans="3:8" x14ac:dyDescent="0.25">
      <c r="C117" s="9"/>
      <c r="D117" s="9"/>
      <c r="E117" s="614" t="s">
        <v>2204</v>
      </c>
      <c r="F117" s="9" t="s">
        <v>1884</v>
      </c>
      <c r="G117" s="9" t="s">
        <v>1886</v>
      </c>
      <c r="H117" s="9"/>
    </row>
    <row r="118" spans="3:8" x14ac:dyDescent="0.25">
      <c r="C118" s="85" t="s">
        <v>1878</v>
      </c>
      <c r="D118" s="9"/>
      <c r="E118" s="9" t="s">
        <v>3005</v>
      </c>
      <c r="F118" s="9"/>
      <c r="G118" s="9" t="s">
        <v>1899</v>
      </c>
      <c r="H118" s="9"/>
    </row>
    <row r="119" spans="3:8" x14ac:dyDescent="0.25">
      <c r="C119" s="85" t="s">
        <v>1904</v>
      </c>
      <c r="D119" s="9"/>
      <c r="E119" s="9" t="s">
        <v>3006</v>
      </c>
      <c r="F119" s="9" t="s">
        <v>3012</v>
      </c>
      <c r="G119" s="9" t="s">
        <v>1900</v>
      </c>
      <c r="H119" s="35" t="s">
        <v>2216</v>
      </c>
    </row>
    <row r="120" spans="3:8" x14ac:dyDescent="0.25">
      <c r="C120" s="9"/>
      <c r="D120" s="9" t="s">
        <v>1905</v>
      </c>
      <c r="E120" s="9" t="s">
        <v>3009</v>
      </c>
      <c r="F120" s="9"/>
      <c r="G120" s="9" t="s">
        <v>1903</v>
      </c>
      <c r="H120" s="9"/>
    </row>
    <row r="121" spans="3:8" x14ac:dyDescent="0.25">
      <c r="C121" s="9"/>
      <c r="D121" s="9" t="s">
        <v>1906</v>
      </c>
      <c r="E121" s="9" t="s">
        <v>3010</v>
      </c>
      <c r="F121" s="9" t="s">
        <v>3011</v>
      </c>
      <c r="G121" s="9" t="s">
        <v>1910</v>
      </c>
      <c r="H121" s="9"/>
    </row>
    <row r="122" spans="3:8" x14ac:dyDescent="0.25">
      <c r="C122" s="6"/>
      <c r="D122" s="6" t="s">
        <v>1907</v>
      </c>
      <c r="E122" s="6"/>
      <c r="F122" s="6"/>
      <c r="G122" s="6"/>
      <c r="H122" s="6"/>
    </row>
    <row r="123" spans="3:8" x14ac:dyDescent="0.25">
      <c r="C123" s="8"/>
      <c r="D123" s="8"/>
      <c r="E123" s="8"/>
      <c r="F123" s="8"/>
      <c r="G123" s="8"/>
      <c r="H123" s="8"/>
    </row>
    <row r="124" spans="3:8" x14ac:dyDescent="0.25">
      <c r="C124" s="85" t="s">
        <v>1908</v>
      </c>
      <c r="D124" s="9"/>
      <c r="E124" s="9"/>
      <c r="F124" s="9"/>
      <c r="G124" s="9"/>
      <c r="H124" s="35" t="s">
        <v>1911</v>
      </c>
    </row>
    <row r="125" spans="3:8" x14ac:dyDescent="0.25">
      <c r="C125" s="4" t="s">
        <v>1909</v>
      </c>
      <c r="D125" s="9"/>
      <c r="E125" s="9"/>
      <c r="F125" s="9"/>
      <c r="G125" s="9"/>
      <c r="H125" s="35" t="s">
        <v>2216</v>
      </c>
    </row>
    <row r="126" spans="3:8" x14ac:dyDescent="0.25">
      <c r="C126" s="6"/>
      <c r="D126" s="6"/>
      <c r="E126" s="6"/>
      <c r="F126" s="6"/>
      <c r="G126" s="6"/>
      <c r="H126" s="6"/>
    </row>
    <row r="127" spans="3:8" x14ac:dyDescent="0.25">
      <c r="C127" s="8"/>
      <c r="D127" s="8"/>
      <c r="E127" s="8"/>
      <c r="F127" s="8" t="s">
        <v>1913</v>
      </c>
      <c r="G127" s="8"/>
      <c r="H127" s="8"/>
    </row>
    <row r="128" spans="3:8" x14ac:dyDescent="0.25">
      <c r="C128" s="85" t="s">
        <v>1912</v>
      </c>
      <c r="D128" s="9"/>
      <c r="E128" s="9"/>
      <c r="F128" s="9"/>
      <c r="G128" s="9"/>
      <c r="H128" s="35" t="s">
        <v>1916</v>
      </c>
    </row>
    <row r="129" spans="3:8" x14ac:dyDescent="0.25">
      <c r="C129" s="4" t="s">
        <v>1915</v>
      </c>
      <c r="D129" s="9"/>
      <c r="E129" s="9"/>
      <c r="F129" s="9" t="s">
        <v>1914</v>
      </c>
      <c r="G129" s="9"/>
      <c r="H129" s="35" t="s">
        <v>2216</v>
      </c>
    </row>
    <row r="130" spans="3:8" x14ac:dyDescent="0.25">
      <c r="C130" s="6"/>
      <c r="D130" s="6"/>
      <c r="E130" s="6"/>
      <c r="F130" s="6"/>
      <c r="G130" s="6"/>
      <c r="H130" s="6"/>
    </row>
    <row r="131" spans="3:8" x14ac:dyDescent="0.25">
      <c r="C131" s="8"/>
      <c r="D131" s="8"/>
      <c r="E131" s="8"/>
      <c r="F131" s="8" t="s">
        <v>1918</v>
      </c>
      <c r="G131" s="8"/>
      <c r="H131" s="8"/>
    </row>
    <row r="132" spans="3:8" x14ac:dyDescent="0.25">
      <c r="C132" s="85" t="s">
        <v>1917</v>
      </c>
      <c r="D132" s="9"/>
      <c r="E132" s="9"/>
      <c r="F132" s="9"/>
      <c r="G132" s="9"/>
      <c r="H132" s="35" t="s">
        <v>1919</v>
      </c>
    </row>
    <row r="133" spans="3:8" x14ac:dyDescent="0.25">
      <c r="C133" s="6"/>
      <c r="D133" s="6"/>
      <c r="E133" s="6"/>
      <c r="F133" s="6"/>
      <c r="G133" s="6"/>
      <c r="H133" s="308" t="s">
        <v>2216</v>
      </c>
    </row>
    <row r="134" spans="3:8" x14ac:dyDescent="0.25">
      <c r="C134" s="8"/>
      <c r="D134" s="8"/>
      <c r="E134" s="8"/>
      <c r="F134" s="8"/>
      <c r="G134" s="8"/>
      <c r="H134" s="8"/>
    </row>
    <row r="135" spans="3:8" x14ac:dyDescent="0.25">
      <c r="C135" s="9"/>
      <c r="D135" s="9"/>
      <c r="E135" s="9"/>
      <c r="F135" s="81" t="s">
        <v>1921</v>
      </c>
      <c r="G135" s="81" t="s">
        <v>1929</v>
      </c>
      <c r="H135" s="9"/>
    </row>
    <row r="136" spans="3:8" x14ac:dyDescent="0.25">
      <c r="C136" s="9"/>
      <c r="D136" s="9"/>
      <c r="E136" s="9"/>
      <c r="F136" s="9" t="s">
        <v>1922</v>
      </c>
      <c r="H136" s="9"/>
    </row>
    <row r="137" spans="3:8" x14ac:dyDescent="0.25">
      <c r="C137" s="9"/>
      <c r="D137" s="9"/>
      <c r="E137" s="9"/>
      <c r="F137" s="9"/>
      <c r="G137" s="9" t="s">
        <v>1933</v>
      </c>
      <c r="H137" s="9"/>
    </row>
    <row r="138" spans="3:8" x14ac:dyDescent="0.25">
      <c r="C138" s="85" t="s">
        <v>1920</v>
      </c>
      <c r="E138" s="9"/>
      <c r="F138" s="81" t="s">
        <v>1923</v>
      </c>
      <c r="G138" s="9"/>
      <c r="H138" s="9"/>
    </row>
    <row r="139" spans="3:8" x14ac:dyDescent="0.25">
      <c r="C139" s="9"/>
      <c r="D139" s="9" t="s">
        <v>3007</v>
      </c>
      <c r="E139" s="85" t="s">
        <v>1997</v>
      </c>
      <c r="F139" s="9" t="s">
        <v>1924</v>
      </c>
      <c r="G139" s="9"/>
      <c r="H139" s="924" t="s">
        <v>1928</v>
      </c>
    </row>
    <row r="140" spans="3:8" x14ac:dyDescent="0.25">
      <c r="C140" s="9"/>
      <c r="D140" s="9"/>
      <c r="E140" s="9"/>
      <c r="F140" s="9" t="s">
        <v>1925</v>
      </c>
      <c r="G140" s="9"/>
      <c r="H140" s="9"/>
    </row>
    <row r="141" spans="3:8" x14ac:dyDescent="0.25">
      <c r="C141" s="9"/>
      <c r="D141" s="9"/>
      <c r="E141" s="9"/>
      <c r="F141" s="9" t="s">
        <v>1926</v>
      </c>
      <c r="G141" s="9" t="s">
        <v>1932</v>
      </c>
      <c r="H141" s="9"/>
    </row>
    <row r="142" spans="3:8" x14ac:dyDescent="0.25">
      <c r="C142" s="9"/>
      <c r="D142" s="9"/>
      <c r="E142" s="9"/>
      <c r="F142" s="9" t="s">
        <v>3008</v>
      </c>
      <c r="G142" s="9" t="s">
        <v>1930</v>
      </c>
      <c r="H142" s="9"/>
    </row>
    <row r="143" spans="3:8" x14ac:dyDescent="0.25">
      <c r="C143" s="6"/>
      <c r="D143" s="6"/>
      <c r="E143" s="6"/>
      <c r="F143" s="6"/>
      <c r="G143" s="6" t="s">
        <v>1931</v>
      </c>
      <c r="H143" s="6"/>
    </row>
    <row r="144" spans="3:8" x14ac:dyDescent="0.25">
      <c r="C144" s="8"/>
      <c r="D144" s="8"/>
      <c r="E144" s="8"/>
      <c r="F144" s="8" t="s">
        <v>1880</v>
      </c>
      <c r="G144" s="8" t="s">
        <v>1882</v>
      </c>
      <c r="H144" s="8"/>
    </row>
    <row r="145" spans="3:8" x14ac:dyDescent="0.25">
      <c r="C145" s="85" t="s">
        <v>1879</v>
      </c>
      <c r="D145" s="9"/>
      <c r="E145" s="9"/>
      <c r="F145" s="9" t="s">
        <v>1881</v>
      </c>
      <c r="G145" s="81" t="s">
        <v>1936</v>
      </c>
      <c r="H145" s="9"/>
    </row>
    <row r="146" spans="3:8" x14ac:dyDescent="0.25">
      <c r="C146" s="9"/>
      <c r="D146" s="9"/>
      <c r="E146" s="9"/>
      <c r="F146" s="9" t="s">
        <v>1934</v>
      </c>
      <c r="G146" s="9" t="s">
        <v>1937</v>
      </c>
      <c r="H146" s="9"/>
    </row>
    <row r="147" spans="3:8" x14ac:dyDescent="0.25">
      <c r="C147" s="9"/>
      <c r="D147" s="9"/>
      <c r="E147" s="9"/>
      <c r="F147" s="9" t="s">
        <v>1935</v>
      </c>
      <c r="G147" s="9" t="s">
        <v>1938</v>
      </c>
      <c r="H147" s="9"/>
    </row>
    <row r="148" spans="3:8" x14ac:dyDescent="0.25">
      <c r="C148" s="9"/>
      <c r="D148" s="9"/>
      <c r="E148" s="9"/>
      <c r="F148" s="9"/>
      <c r="G148" s="9" t="s">
        <v>1939</v>
      </c>
      <c r="H148" s="9"/>
    </row>
    <row r="149" spans="3:8" x14ac:dyDescent="0.25">
      <c r="C149" s="6"/>
      <c r="D149" s="6"/>
      <c r="E149" s="6"/>
      <c r="F149" s="6"/>
      <c r="G149" s="6" t="s">
        <v>1940</v>
      </c>
      <c r="H149" s="6"/>
    </row>
    <row r="150" spans="3:8" x14ac:dyDescent="0.25">
      <c r="C150" s="8"/>
      <c r="D150" s="8"/>
      <c r="E150" s="8"/>
      <c r="F150" s="8" t="s">
        <v>1887</v>
      </c>
      <c r="G150" s="8" t="s">
        <v>1889</v>
      </c>
      <c r="H150" s="8"/>
    </row>
    <row r="151" spans="3:8" x14ac:dyDescent="0.25">
      <c r="C151" s="9"/>
      <c r="D151" s="9"/>
      <c r="E151" s="9"/>
      <c r="F151" s="9" t="s">
        <v>1888</v>
      </c>
      <c r="G151" s="9" t="s">
        <v>1890</v>
      </c>
      <c r="H151" s="9"/>
    </row>
    <row r="152" spans="3:8" x14ac:dyDescent="0.25">
      <c r="C152" s="9"/>
      <c r="D152" s="9"/>
      <c r="E152" s="9"/>
      <c r="F152" s="9"/>
      <c r="G152" s="9" t="s">
        <v>1891</v>
      </c>
      <c r="H152" s="35" t="s">
        <v>1894</v>
      </c>
    </row>
    <row r="153" spans="3:8" x14ac:dyDescent="0.25">
      <c r="C153" s="85" t="s">
        <v>1893</v>
      </c>
      <c r="D153" s="9"/>
      <c r="E153" s="9"/>
      <c r="F153" s="9"/>
      <c r="G153" s="9" t="s">
        <v>1892</v>
      </c>
      <c r="H153" s="9"/>
    </row>
    <row r="154" spans="3:8" x14ac:dyDescent="0.25">
      <c r="C154" s="9"/>
      <c r="D154" s="9"/>
      <c r="E154" s="9"/>
      <c r="F154" s="9"/>
      <c r="G154" s="9" t="s">
        <v>1895</v>
      </c>
      <c r="H154" s="9"/>
    </row>
    <row r="155" spans="3:8" x14ac:dyDescent="0.25">
      <c r="C155" s="9"/>
      <c r="D155" s="9"/>
      <c r="E155" s="9"/>
      <c r="F155" s="9"/>
      <c r="G155" s="9" t="s">
        <v>1896</v>
      </c>
      <c r="H155" s="9"/>
    </row>
    <row r="156" spans="3:8" x14ac:dyDescent="0.25">
      <c r="C156" s="9"/>
      <c r="D156" s="9"/>
      <c r="E156" s="9"/>
      <c r="F156" s="9"/>
      <c r="G156" s="9" t="s">
        <v>1897</v>
      </c>
      <c r="H156" s="9"/>
    </row>
    <row r="157" spans="3:8" x14ac:dyDescent="0.25">
      <c r="C157" s="6"/>
      <c r="D157" s="6"/>
      <c r="E157" s="6"/>
      <c r="F157" s="6"/>
      <c r="G157" s="6" t="s">
        <v>1898</v>
      </c>
      <c r="H157" s="6"/>
    </row>
    <row r="158" spans="3:8" x14ac:dyDescent="0.25">
      <c r="C158" s="8"/>
      <c r="D158" s="8"/>
      <c r="E158" s="8"/>
      <c r="F158" s="583" t="s">
        <v>2098</v>
      </c>
      <c r="G158" s="8" t="s">
        <v>1965</v>
      </c>
      <c r="H158" s="8"/>
    </row>
    <row r="159" spans="3:8" x14ac:dyDescent="0.25">
      <c r="C159" s="9"/>
      <c r="D159" s="9"/>
      <c r="E159" s="9"/>
      <c r="F159" s="9" t="s">
        <v>1964</v>
      </c>
      <c r="G159" s="9" t="s">
        <v>1966</v>
      </c>
      <c r="H159" s="9"/>
    </row>
    <row r="160" spans="3:8" x14ac:dyDescent="0.25">
      <c r="C160" s="9"/>
      <c r="D160" s="9"/>
      <c r="E160" s="9"/>
      <c r="F160" s="9"/>
      <c r="G160" s="9" t="s">
        <v>1967</v>
      </c>
      <c r="H160" s="9"/>
    </row>
    <row r="161" spans="3:8" x14ac:dyDescent="0.25">
      <c r="C161" s="9"/>
      <c r="D161" s="9"/>
      <c r="E161" s="9"/>
      <c r="F161" s="9"/>
      <c r="G161" s="9" t="s">
        <v>1968</v>
      </c>
      <c r="H161" s="9"/>
    </row>
    <row r="162" spans="3:8" x14ac:dyDescent="0.25">
      <c r="C162" s="85" t="s">
        <v>1963</v>
      </c>
      <c r="D162" s="9"/>
      <c r="E162" s="9"/>
      <c r="F162" s="9"/>
      <c r="G162" s="9" t="s">
        <v>1969</v>
      </c>
      <c r="H162" s="9"/>
    </row>
    <row r="163" spans="3:8" x14ac:dyDescent="0.25">
      <c r="C163" s="9"/>
      <c r="D163" s="9"/>
      <c r="E163" s="9"/>
      <c r="F163" s="9"/>
      <c r="G163" s="9" t="s">
        <v>1970</v>
      </c>
      <c r="H163" s="9"/>
    </row>
    <row r="164" spans="3:8" x14ac:dyDescent="0.25">
      <c r="C164" s="9"/>
      <c r="D164" s="9"/>
      <c r="E164" s="9"/>
      <c r="F164" s="9"/>
      <c r="G164" s="9" t="s">
        <v>1972</v>
      </c>
      <c r="H164" s="9"/>
    </row>
    <row r="165" spans="3:8" x14ac:dyDescent="0.25">
      <c r="C165" s="6"/>
      <c r="D165" s="6"/>
      <c r="E165" s="6"/>
      <c r="F165" s="6"/>
      <c r="G165" s="6" t="s">
        <v>1971</v>
      </c>
      <c r="H165" s="6"/>
    </row>
    <row r="166" spans="3:8" x14ac:dyDescent="0.25">
      <c r="C166" s="8"/>
      <c r="D166" s="8"/>
      <c r="E166" s="8"/>
      <c r="F166" s="8" t="s">
        <v>1941</v>
      </c>
      <c r="G166" s="8" t="s">
        <v>1944</v>
      </c>
      <c r="H166" s="8"/>
    </row>
    <row r="167" spans="3:8" x14ac:dyDescent="0.25">
      <c r="C167" s="85" t="s">
        <v>1945</v>
      </c>
      <c r="D167" s="9"/>
      <c r="E167" s="9"/>
      <c r="F167" s="9" t="s">
        <v>1942</v>
      </c>
      <c r="G167" s="9" t="s">
        <v>1943</v>
      </c>
      <c r="H167" s="9"/>
    </row>
    <row r="168" spans="3:8" x14ac:dyDescent="0.25">
      <c r="C168" s="6"/>
      <c r="D168" s="6"/>
      <c r="E168" s="6"/>
      <c r="F168" s="6"/>
      <c r="G168" s="6" t="s">
        <v>1940</v>
      </c>
      <c r="H168" s="6"/>
    </row>
    <row r="169" spans="3:8" x14ac:dyDescent="0.25">
      <c r="C169" s="8"/>
      <c r="D169" s="8"/>
      <c r="E169" s="8"/>
      <c r="F169" s="8" t="s">
        <v>1947</v>
      </c>
      <c r="G169" s="8" t="s">
        <v>1951</v>
      </c>
      <c r="H169" s="8"/>
    </row>
    <row r="170" spans="3:8" x14ac:dyDescent="0.25">
      <c r="C170" s="85" t="s">
        <v>1946</v>
      </c>
      <c r="D170" s="9"/>
      <c r="E170" s="9"/>
      <c r="F170" s="9" t="s">
        <v>1948</v>
      </c>
      <c r="G170" s="9" t="s">
        <v>1952</v>
      </c>
      <c r="H170" s="9"/>
    </row>
    <row r="171" spans="3:8" x14ac:dyDescent="0.25">
      <c r="C171" s="4" t="s">
        <v>2039</v>
      </c>
      <c r="D171" s="9"/>
      <c r="E171" s="9" t="s">
        <v>3017</v>
      </c>
      <c r="F171" s="9" t="s">
        <v>1949</v>
      </c>
      <c r="G171" s="9"/>
      <c r="H171" s="9"/>
    </row>
    <row r="172" spans="3:8" x14ac:dyDescent="0.25">
      <c r="C172" s="6"/>
      <c r="D172" s="6"/>
      <c r="E172" s="6"/>
      <c r="F172" s="6" t="s">
        <v>1950</v>
      </c>
      <c r="G172" s="6"/>
      <c r="H172" s="6"/>
    </row>
    <row r="173" spans="3:8" x14ac:dyDescent="0.25">
      <c r="C173" s="8"/>
      <c r="D173" s="8"/>
      <c r="E173" s="8"/>
      <c r="F173" s="8" t="s">
        <v>2017</v>
      </c>
      <c r="G173" s="1" t="s">
        <v>2019</v>
      </c>
      <c r="H173" s="8"/>
    </row>
    <row r="174" spans="3:8" x14ac:dyDescent="0.25">
      <c r="C174" s="85" t="s">
        <v>2020</v>
      </c>
      <c r="D174" s="9"/>
      <c r="E174" s="9"/>
      <c r="F174" s="9" t="s">
        <v>2018</v>
      </c>
      <c r="G174" s="1" t="s">
        <v>2040</v>
      </c>
      <c r="H174" s="9"/>
    </row>
    <row r="175" spans="3:8" x14ac:dyDescent="0.25">
      <c r="C175" s="9"/>
      <c r="D175" s="9"/>
      <c r="E175" s="9"/>
      <c r="F175" s="9"/>
      <c r="G175" s="1" t="s">
        <v>2041</v>
      </c>
      <c r="H175" s="9"/>
    </row>
    <row r="176" spans="3:8" x14ac:dyDescent="0.25">
      <c r="C176" s="9"/>
      <c r="D176" s="9"/>
      <c r="E176" s="9"/>
      <c r="F176" s="9"/>
      <c r="G176" s="1" t="s">
        <v>2042</v>
      </c>
      <c r="H176" s="9"/>
    </row>
    <row r="177" spans="3:8" x14ac:dyDescent="0.25">
      <c r="C177" s="6"/>
      <c r="D177" s="6"/>
      <c r="E177" s="6"/>
      <c r="F177" s="6"/>
      <c r="G177" s="1" t="s">
        <v>2021</v>
      </c>
      <c r="H177" s="6"/>
    </row>
    <row r="178" spans="3:8" x14ac:dyDescent="0.25">
      <c r="C178" s="8"/>
      <c r="D178" s="8"/>
      <c r="E178" s="8"/>
      <c r="F178" s="8" t="s">
        <v>2023</v>
      </c>
      <c r="G178" s="8" t="s">
        <v>2025</v>
      </c>
      <c r="H178" s="8"/>
    </row>
    <row r="179" spans="3:8" x14ac:dyDescent="0.25">
      <c r="C179" s="9"/>
      <c r="D179" s="9"/>
      <c r="E179" s="9"/>
      <c r="F179" s="9" t="s">
        <v>2024</v>
      </c>
      <c r="G179" s="9" t="s">
        <v>2026</v>
      </c>
      <c r="H179" s="9"/>
    </row>
    <row r="180" spans="3:8" x14ac:dyDescent="0.25">
      <c r="C180" s="85" t="s">
        <v>2022</v>
      </c>
      <c r="D180" s="9"/>
      <c r="E180" s="4" t="s">
        <v>2288</v>
      </c>
      <c r="F180" s="9"/>
      <c r="G180" s="9" t="s">
        <v>2027</v>
      </c>
      <c r="H180" s="35" t="s">
        <v>2031</v>
      </c>
    </row>
    <row r="181" spans="3:8" x14ac:dyDescent="0.25">
      <c r="C181" s="9"/>
      <c r="D181" s="9"/>
      <c r="E181" s="9" t="s">
        <v>3016</v>
      </c>
      <c r="F181" s="9"/>
      <c r="G181" s="9" t="s">
        <v>2028</v>
      </c>
      <c r="H181" s="9"/>
    </row>
    <row r="182" spans="3:8" x14ac:dyDescent="0.25">
      <c r="C182" s="9"/>
      <c r="D182" s="9"/>
      <c r="E182" s="9"/>
      <c r="F182" s="9"/>
      <c r="G182" s="9" t="s">
        <v>2029</v>
      </c>
      <c r="H182" s="9"/>
    </row>
    <row r="183" spans="3:8" x14ac:dyDescent="0.25">
      <c r="C183" s="6"/>
      <c r="D183" s="6"/>
      <c r="E183" s="6"/>
      <c r="F183" s="6"/>
      <c r="G183" s="6" t="s">
        <v>2030</v>
      </c>
      <c r="H183" s="6"/>
    </row>
    <row r="184" spans="3:8" x14ac:dyDescent="0.25">
      <c r="C184" s="729"/>
      <c r="D184" s="274"/>
      <c r="E184" s="259" t="s">
        <v>3023</v>
      </c>
      <c r="F184" s="274" t="s">
        <v>1001</v>
      </c>
      <c r="G184" s="274" t="s">
        <v>1006</v>
      </c>
      <c r="H184" s="274"/>
    </row>
    <row r="185" spans="3:8" x14ac:dyDescent="0.25">
      <c r="C185" s="730"/>
      <c r="D185" s="259"/>
      <c r="E185" s="259" t="s">
        <v>3024</v>
      </c>
      <c r="F185" s="259" t="s">
        <v>1002</v>
      </c>
      <c r="G185" s="259" t="s">
        <v>1007</v>
      </c>
      <c r="H185" s="259"/>
    </row>
    <row r="186" spans="3:8" x14ac:dyDescent="0.25">
      <c r="C186" s="730"/>
      <c r="D186" s="259"/>
      <c r="F186" s="731" t="s">
        <v>1003</v>
      </c>
      <c r="G186" s="259" t="s">
        <v>1009</v>
      </c>
      <c r="H186" s="732" t="s">
        <v>876</v>
      </c>
    </row>
    <row r="187" spans="3:8" x14ac:dyDescent="0.25">
      <c r="C187" s="733" t="s">
        <v>989</v>
      </c>
      <c r="D187" s="259" t="s">
        <v>990</v>
      </c>
      <c r="F187" s="731" t="s">
        <v>1004</v>
      </c>
      <c r="G187" s="259" t="s">
        <v>1010</v>
      </c>
      <c r="H187" s="735" t="s">
        <v>2401</v>
      </c>
    </row>
    <row r="188" spans="3:8" x14ac:dyDescent="0.25">
      <c r="C188" s="730"/>
      <c r="D188" s="259"/>
      <c r="E188" s="259"/>
      <c r="F188" s="731" t="s">
        <v>3022</v>
      </c>
      <c r="G188" s="259" t="s">
        <v>1011</v>
      </c>
      <c r="H188" s="259"/>
    </row>
    <row r="189" spans="3:8" x14ac:dyDescent="0.25">
      <c r="C189" s="734" t="s">
        <v>3030</v>
      </c>
      <c r="D189" s="266" t="s">
        <v>3031</v>
      </c>
      <c r="E189" s="266"/>
      <c r="F189" s="266" t="s">
        <v>1008</v>
      </c>
      <c r="G189" s="266" t="s">
        <v>1012</v>
      </c>
      <c r="H189" s="266"/>
    </row>
    <row r="190" spans="3:8" x14ac:dyDescent="0.25">
      <c r="C190" s="8"/>
      <c r="D190" s="8" t="s">
        <v>1166</v>
      </c>
      <c r="E190" s="8"/>
      <c r="F190" s="8" t="s">
        <v>1168</v>
      </c>
      <c r="G190" s="8" t="s">
        <v>1172</v>
      </c>
      <c r="H190" s="8"/>
    </row>
    <row r="191" spans="3:8" x14ac:dyDescent="0.25">
      <c r="C191" s="9"/>
      <c r="D191" s="9" t="s">
        <v>1164</v>
      </c>
      <c r="E191" s="9"/>
      <c r="F191" s="9" t="s">
        <v>1169</v>
      </c>
      <c r="G191" s="9" t="s">
        <v>1173</v>
      </c>
      <c r="H191" s="35" t="s">
        <v>1174</v>
      </c>
    </row>
    <row r="192" spans="3:8" x14ac:dyDescent="0.25">
      <c r="C192" s="85" t="s">
        <v>1163</v>
      </c>
      <c r="D192" s="9" t="s">
        <v>1165</v>
      </c>
      <c r="E192" s="9"/>
      <c r="F192" s="9" t="s">
        <v>1170</v>
      </c>
      <c r="G192" s="9"/>
      <c r="H192" s="9"/>
    </row>
    <row r="193" spans="3:8" x14ac:dyDescent="0.25">
      <c r="C193" s="6"/>
      <c r="D193" s="6" t="s">
        <v>1167</v>
      </c>
      <c r="E193" s="6"/>
      <c r="F193" s="6" t="s">
        <v>1171</v>
      </c>
      <c r="G193" s="6"/>
      <c r="H193" s="6"/>
    </row>
    <row r="194" spans="3:8" x14ac:dyDescent="0.25">
      <c r="C194" s="8"/>
      <c r="D194" s="8"/>
      <c r="E194" s="8"/>
      <c r="F194" s="8" t="s">
        <v>1954</v>
      </c>
      <c r="G194" s="96" t="s">
        <v>1956</v>
      </c>
      <c r="H194" s="8"/>
    </row>
    <row r="195" spans="3:8" x14ac:dyDescent="0.25">
      <c r="C195" s="9"/>
      <c r="D195" s="9"/>
      <c r="E195" s="9" t="s">
        <v>3013</v>
      </c>
      <c r="F195" s="9" t="s">
        <v>1955</v>
      </c>
      <c r="G195" s="81" t="s">
        <v>1957</v>
      </c>
      <c r="H195" s="9"/>
    </row>
    <row r="196" spans="3:8" x14ac:dyDescent="0.25">
      <c r="C196" s="9"/>
      <c r="D196" s="9"/>
      <c r="E196" s="9" t="s">
        <v>3014</v>
      </c>
      <c r="F196" s="9"/>
      <c r="G196" s="9" t="s">
        <v>1958</v>
      </c>
      <c r="H196" s="9"/>
    </row>
    <row r="197" spans="3:8" x14ac:dyDescent="0.25">
      <c r="C197" s="85" t="s">
        <v>1953</v>
      </c>
      <c r="D197" s="9"/>
      <c r="E197" s="9"/>
      <c r="F197" s="9"/>
      <c r="G197" s="9" t="s">
        <v>1959</v>
      </c>
      <c r="H197" s="35" t="s">
        <v>2245</v>
      </c>
    </row>
    <row r="198" spans="3:8" x14ac:dyDescent="0.25">
      <c r="C198" s="9" t="s">
        <v>1879</v>
      </c>
      <c r="D198" s="9"/>
      <c r="E198" s="9"/>
      <c r="F198" s="9"/>
      <c r="G198" s="9" t="s">
        <v>1960</v>
      </c>
      <c r="H198" s="9"/>
    </row>
    <row r="199" spans="3:8" x14ac:dyDescent="0.25">
      <c r="C199" s="9"/>
      <c r="D199" s="9"/>
      <c r="E199" s="9"/>
      <c r="F199" s="9"/>
      <c r="G199" s="9" t="s">
        <v>1961</v>
      </c>
      <c r="H199" s="9"/>
    </row>
    <row r="200" spans="3:8" x14ac:dyDescent="0.25">
      <c r="C200" s="6"/>
      <c r="D200" s="6"/>
      <c r="E200" s="6"/>
      <c r="F200" s="6"/>
      <c r="G200" s="6" t="s">
        <v>1962</v>
      </c>
      <c r="H200" s="6"/>
    </row>
    <row r="201" spans="3:8" x14ac:dyDescent="0.25">
      <c r="C201" s="908" t="s">
        <v>3003</v>
      </c>
      <c r="E201" s="9" t="s">
        <v>2287</v>
      </c>
      <c r="F201" s="8"/>
      <c r="G201" s="11"/>
      <c r="H201" s="400" t="s">
        <v>2289</v>
      </c>
    </row>
    <row r="202" spans="3:8" x14ac:dyDescent="0.25">
      <c r="C202" s="9"/>
      <c r="E202" s="9"/>
      <c r="F202" s="9"/>
      <c r="H202" s="9"/>
    </row>
    <row r="203" spans="3:8" x14ac:dyDescent="0.25">
      <c r="C203" s="196" t="s">
        <v>2428</v>
      </c>
      <c r="D203" s="15"/>
      <c r="E203" s="6"/>
      <c r="F203" s="6"/>
      <c r="G203" s="88"/>
      <c r="H203" s="308" t="s">
        <v>2429</v>
      </c>
    </row>
    <row r="204" spans="3:8" x14ac:dyDescent="0.25">
      <c r="C204" s="8"/>
      <c r="D204" s="8"/>
      <c r="E204" s="8"/>
      <c r="F204" s="8" t="s">
        <v>1976</v>
      </c>
      <c r="G204" s="8" t="s">
        <v>1978</v>
      </c>
      <c r="H204" s="8"/>
    </row>
    <row r="205" spans="3:8" x14ac:dyDescent="0.25">
      <c r="C205" s="9"/>
      <c r="D205" s="9"/>
      <c r="E205" s="9"/>
      <c r="F205" s="9" t="s">
        <v>1981</v>
      </c>
      <c r="G205" s="9" t="s">
        <v>1980</v>
      </c>
      <c r="H205" s="9"/>
    </row>
    <row r="206" spans="3:8" x14ac:dyDescent="0.25">
      <c r="C206" s="9"/>
      <c r="D206" s="9"/>
      <c r="E206" s="9"/>
      <c r="F206" s="9" t="s">
        <v>1977</v>
      </c>
      <c r="G206" s="9" t="s">
        <v>1985</v>
      </c>
      <c r="H206" s="9"/>
    </row>
    <row r="207" spans="3:8" x14ac:dyDescent="0.25">
      <c r="C207" s="9"/>
      <c r="D207" s="9"/>
      <c r="E207" s="9"/>
      <c r="F207" s="9"/>
      <c r="G207" s="9" t="s">
        <v>1986</v>
      </c>
      <c r="H207" s="9"/>
    </row>
    <row r="208" spans="3:8" x14ac:dyDescent="0.25">
      <c r="C208" s="9"/>
      <c r="D208" s="9"/>
      <c r="E208" s="9"/>
      <c r="F208" s="9"/>
      <c r="G208" s="35" t="s">
        <v>1987</v>
      </c>
      <c r="H208" s="9"/>
    </row>
    <row r="209" spans="3:8" x14ac:dyDescent="0.25">
      <c r="C209" s="9"/>
      <c r="D209" s="9"/>
      <c r="E209" s="9"/>
      <c r="F209" s="9"/>
      <c r="G209" s="81" t="s">
        <v>1992</v>
      </c>
      <c r="H209" s="9"/>
    </row>
    <row r="210" spans="3:8" x14ac:dyDescent="0.25">
      <c r="C210" s="85" t="s">
        <v>1975</v>
      </c>
      <c r="D210" s="9"/>
      <c r="E210" s="9"/>
      <c r="F210" s="9"/>
      <c r="G210" s="97" t="s">
        <v>1988</v>
      </c>
      <c r="H210" s="9"/>
    </row>
    <row r="211" spans="3:8" x14ac:dyDescent="0.25">
      <c r="C211" s="9"/>
      <c r="D211" s="9"/>
      <c r="E211" s="9"/>
      <c r="F211" s="9"/>
      <c r="G211" s="9" t="s">
        <v>1989</v>
      </c>
      <c r="H211" s="9"/>
    </row>
    <row r="212" spans="3:8" x14ac:dyDescent="0.25">
      <c r="C212" s="9"/>
      <c r="D212" s="9"/>
      <c r="E212" s="9"/>
      <c r="F212" s="9"/>
      <c r="G212" s="9" t="s">
        <v>1990</v>
      </c>
      <c r="H212" s="9"/>
    </row>
    <row r="213" spans="3:8" x14ac:dyDescent="0.25">
      <c r="C213" s="9"/>
      <c r="D213" s="9"/>
      <c r="E213" s="9"/>
      <c r="F213" s="9"/>
      <c r="G213" s="9" t="s">
        <v>1991</v>
      </c>
      <c r="H213" s="9"/>
    </row>
    <row r="214" spans="3:8" x14ac:dyDescent="0.25">
      <c r="C214" s="9"/>
      <c r="D214" s="9"/>
      <c r="E214" s="9"/>
      <c r="F214" s="9"/>
      <c r="G214" s="9" t="s">
        <v>1993</v>
      </c>
      <c r="H214" s="9"/>
    </row>
    <row r="215" spans="3:8" x14ac:dyDescent="0.25">
      <c r="C215" s="9"/>
      <c r="D215" s="9"/>
      <c r="E215" s="9"/>
      <c r="F215" s="9"/>
      <c r="G215" s="9" t="s">
        <v>1994</v>
      </c>
      <c r="H215" s="9"/>
    </row>
    <row r="216" spans="3:8" x14ac:dyDescent="0.25">
      <c r="C216" s="9"/>
      <c r="D216" s="9"/>
      <c r="E216" s="9"/>
      <c r="F216" s="9"/>
      <c r="G216" s="9" t="s">
        <v>1995</v>
      </c>
      <c r="H216" s="9"/>
    </row>
    <row r="217" spans="3:8" x14ac:dyDescent="0.25">
      <c r="C217" s="6"/>
      <c r="D217" s="6"/>
      <c r="E217" s="6"/>
      <c r="F217" s="6"/>
      <c r="G217" s="6" t="s">
        <v>1996</v>
      </c>
      <c r="H217" s="6"/>
    </row>
    <row r="218" spans="3:8" x14ac:dyDescent="0.25">
      <c r="C218" s="8"/>
      <c r="D218" s="8"/>
      <c r="E218" s="8"/>
      <c r="F218" s="8" t="s">
        <v>1982</v>
      </c>
      <c r="G218" s="8" t="s">
        <v>1983</v>
      </c>
      <c r="H218" s="8"/>
    </row>
    <row r="219" spans="3:8" x14ac:dyDescent="0.25">
      <c r="C219" s="85" t="s">
        <v>1979</v>
      </c>
      <c r="D219" s="9"/>
      <c r="E219" s="9"/>
      <c r="F219" s="9"/>
      <c r="G219" s="9" t="s">
        <v>1984</v>
      </c>
      <c r="H219" s="9"/>
    </row>
    <row r="220" spans="3:8" x14ac:dyDescent="0.25">
      <c r="C220" s="6"/>
      <c r="D220" s="6"/>
      <c r="E220" s="6"/>
      <c r="F220" s="6"/>
      <c r="G220" s="6"/>
      <c r="H220" s="6"/>
    </row>
    <row r="221" spans="3:8" x14ac:dyDescent="0.25">
      <c r="C221" s="8"/>
      <c r="D221" s="8"/>
      <c r="E221" s="8"/>
      <c r="F221" s="8"/>
      <c r="G221" s="8" t="s">
        <v>2004</v>
      </c>
      <c r="H221" s="8"/>
    </row>
    <row r="222" spans="3:8" x14ac:dyDescent="0.25">
      <c r="C222" s="9"/>
      <c r="D222" s="9"/>
      <c r="E222" s="9"/>
      <c r="F222" s="9" t="s">
        <v>1998</v>
      </c>
      <c r="G222" s="9" t="s">
        <v>2005</v>
      </c>
      <c r="H222" s="9"/>
    </row>
    <row r="223" spans="3:8" x14ac:dyDescent="0.25">
      <c r="C223" s="9"/>
      <c r="D223" s="9"/>
      <c r="E223" s="9"/>
      <c r="F223" s="9"/>
      <c r="G223" s="81" t="s">
        <v>2006</v>
      </c>
      <c r="H223" s="9"/>
    </row>
    <row r="224" spans="3:8" x14ac:dyDescent="0.25">
      <c r="C224" s="85" t="s">
        <v>1999</v>
      </c>
      <c r="D224" s="9"/>
      <c r="E224" s="9"/>
      <c r="F224" s="9"/>
      <c r="G224" s="9" t="s">
        <v>2007</v>
      </c>
      <c r="H224" s="35" t="s">
        <v>2001</v>
      </c>
    </row>
    <row r="225" spans="3:8" x14ac:dyDescent="0.25">
      <c r="C225" s="9"/>
      <c r="D225" s="9"/>
      <c r="E225" s="9"/>
      <c r="F225" s="9"/>
      <c r="G225" s="9" t="s">
        <v>2008</v>
      </c>
      <c r="H225" s="9"/>
    </row>
    <row r="226" spans="3:8" x14ac:dyDescent="0.25">
      <c r="C226" s="9"/>
      <c r="D226" s="9"/>
      <c r="E226" s="9"/>
      <c r="F226" s="9"/>
      <c r="G226" s="9" t="s">
        <v>2009</v>
      </c>
      <c r="H226" s="9"/>
    </row>
    <row r="227" spans="3:8" x14ac:dyDescent="0.25">
      <c r="C227" s="6"/>
      <c r="D227" s="6"/>
      <c r="E227" s="6"/>
      <c r="F227" s="6"/>
      <c r="G227" s="6" t="s">
        <v>2010</v>
      </c>
      <c r="H227" s="6"/>
    </row>
    <row r="228" spans="3:8" x14ac:dyDescent="0.25">
      <c r="C228" s="8"/>
      <c r="D228" s="8"/>
      <c r="E228" s="8"/>
      <c r="F228" s="8" t="s">
        <v>2013</v>
      </c>
      <c r="G228" s="8" t="s">
        <v>2015</v>
      </c>
      <c r="H228" s="8"/>
    </row>
    <row r="229" spans="3:8" x14ac:dyDescent="0.25">
      <c r="C229" s="85" t="s">
        <v>2012</v>
      </c>
      <c r="D229" s="9"/>
      <c r="E229" s="4" t="s">
        <v>2291</v>
      </c>
      <c r="F229" s="9" t="s">
        <v>2014</v>
      </c>
      <c r="G229" s="9" t="s">
        <v>2016</v>
      </c>
      <c r="H229" s="9"/>
    </row>
    <row r="230" spans="3:8" x14ac:dyDescent="0.25">
      <c r="C230" s="4" t="s">
        <v>2043</v>
      </c>
      <c r="D230" s="9"/>
      <c r="E230" s="9"/>
      <c r="F230" s="9"/>
      <c r="G230" s="9"/>
      <c r="H230" s="9"/>
    </row>
    <row r="231" spans="3:8" x14ac:dyDescent="0.25">
      <c r="C231" s="6"/>
      <c r="D231" s="6"/>
      <c r="E231" s="6"/>
      <c r="F231" s="6"/>
      <c r="G231" s="6"/>
      <c r="H231" s="6"/>
    </row>
    <row r="232" spans="3:8" x14ac:dyDescent="0.25">
      <c r="C232" s="8"/>
      <c r="D232" s="8"/>
      <c r="E232" s="8"/>
      <c r="F232" s="8" t="s">
        <v>2034</v>
      </c>
      <c r="G232" s="8" t="s">
        <v>2036</v>
      </c>
      <c r="H232" s="8"/>
    </row>
    <row r="233" spans="3:8" x14ac:dyDescent="0.25">
      <c r="C233" s="9"/>
      <c r="D233" s="9"/>
      <c r="E233" s="9"/>
      <c r="F233" s="9" t="s">
        <v>2035</v>
      </c>
      <c r="G233" s="97" t="s">
        <v>2037</v>
      </c>
      <c r="H233" s="9"/>
    </row>
    <row r="234" spans="3:8" x14ac:dyDescent="0.25">
      <c r="C234" s="85" t="s">
        <v>2032</v>
      </c>
      <c r="D234" s="9"/>
      <c r="E234" s="4" t="s">
        <v>2290</v>
      </c>
      <c r="F234" s="9"/>
      <c r="G234" s="9"/>
      <c r="H234" s="35" t="s">
        <v>2038</v>
      </c>
    </row>
    <row r="235" spans="3:8" x14ac:dyDescent="0.25">
      <c r="C235" s="4" t="s">
        <v>2033</v>
      </c>
      <c r="D235" s="9"/>
      <c r="E235" s="9"/>
      <c r="F235" s="9"/>
      <c r="G235" s="9"/>
      <c r="H235" s="9"/>
    </row>
    <row r="236" spans="3:8" x14ac:dyDescent="0.25">
      <c r="C236" s="9"/>
      <c r="D236" s="9"/>
      <c r="E236" s="9"/>
      <c r="F236" s="9"/>
      <c r="G236" s="9"/>
      <c r="H236" s="9"/>
    </row>
    <row r="237" spans="3:8" x14ac:dyDescent="0.25">
      <c r="C237" s="6"/>
      <c r="D237" s="6"/>
      <c r="E237" s="6"/>
      <c r="F237" s="6"/>
      <c r="G237" s="6"/>
      <c r="H237" s="6"/>
    </row>
    <row r="238" spans="3:8" x14ac:dyDescent="0.25">
      <c r="C238" s="8"/>
      <c r="D238" s="8"/>
      <c r="E238" s="8"/>
      <c r="F238" s="8" t="s">
        <v>2045</v>
      </c>
      <c r="G238" s="8" t="s">
        <v>2046</v>
      </c>
      <c r="H238" s="8"/>
    </row>
    <row r="239" spans="3:8" x14ac:dyDescent="0.25">
      <c r="C239" s="85" t="s">
        <v>2044</v>
      </c>
      <c r="D239" s="9"/>
      <c r="E239" s="9"/>
      <c r="F239" s="9"/>
      <c r="G239" s="9" t="s">
        <v>2047</v>
      </c>
      <c r="H239" s="9"/>
    </row>
    <row r="240" spans="3:8" x14ac:dyDescent="0.25">
      <c r="C240" s="6"/>
      <c r="D240" s="6"/>
      <c r="E240" s="6"/>
      <c r="F240" s="6"/>
      <c r="G240" s="6"/>
      <c r="H240" s="6"/>
    </row>
    <row r="241" spans="3:8" x14ac:dyDescent="0.25">
      <c r="C241" s="8"/>
      <c r="D241" s="8"/>
      <c r="E241" s="8"/>
      <c r="F241" s="8" t="s">
        <v>2049</v>
      </c>
      <c r="G241" s="8"/>
      <c r="H241" s="8"/>
    </row>
    <row r="242" spans="3:8" x14ac:dyDescent="0.25">
      <c r="C242" s="85" t="s">
        <v>2048</v>
      </c>
      <c r="D242" s="9"/>
      <c r="E242" s="9"/>
      <c r="F242" s="9" t="s">
        <v>2050</v>
      </c>
      <c r="G242" s="9"/>
      <c r="H242" s="9"/>
    </row>
    <row r="243" spans="3:8" x14ac:dyDescent="0.25">
      <c r="C243" s="9"/>
      <c r="D243" s="9"/>
      <c r="E243" s="9"/>
      <c r="F243" s="9" t="s">
        <v>2051</v>
      </c>
      <c r="G243" s="9"/>
      <c r="H243" s="9"/>
    </row>
    <row r="244" spans="3:8" x14ac:dyDescent="0.25">
      <c r="C244" s="6"/>
      <c r="D244" s="6"/>
      <c r="E244" s="6"/>
      <c r="F244" s="6"/>
      <c r="G244" s="6"/>
      <c r="H244" s="6"/>
    </row>
    <row r="245" spans="3:8" x14ac:dyDescent="0.25">
      <c r="C245" s="8"/>
      <c r="D245" s="8"/>
      <c r="E245" s="8"/>
      <c r="F245" s="8" t="s">
        <v>2053</v>
      </c>
      <c r="G245" s="8"/>
      <c r="H245" s="8"/>
    </row>
    <row r="246" spans="3:8" x14ac:dyDescent="0.25">
      <c r="C246" s="9"/>
      <c r="D246" s="9"/>
      <c r="E246" s="9"/>
      <c r="F246" s="9" t="s">
        <v>2054</v>
      </c>
      <c r="G246" s="9"/>
      <c r="H246" s="9"/>
    </row>
    <row r="247" spans="3:8" x14ac:dyDescent="0.25">
      <c r="C247" s="85" t="s">
        <v>2052</v>
      </c>
      <c r="D247" s="9"/>
      <c r="E247" s="9"/>
      <c r="F247" s="9" t="s">
        <v>2055</v>
      </c>
      <c r="G247" s="9"/>
      <c r="H247" s="9"/>
    </row>
    <row r="248" spans="3:8" x14ac:dyDescent="0.25">
      <c r="C248" s="9"/>
      <c r="D248" s="9"/>
      <c r="E248" s="9"/>
      <c r="F248" s="9" t="s">
        <v>2056</v>
      </c>
      <c r="G248" s="9"/>
      <c r="H248" s="9"/>
    </row>
    <row r="249" spans="3:8" x14ac:dyDescent="0.25">
      <c r="C249" s="6"/>
      <c r="D249" s="6"/>
      <c r="E249" s="6"/>
      <c r="F249" s="6" t="s">
        <v>2063</v>
      </c>
      <c r="G249" s="6"/>
      <c r="H249" s="6"/>
    </row>
    <row r="250" spans="3:8" x14ac:dyDescent="0.25">
      <c r="C250" s="8"/>
      <c r="D250" s="8"/>
      <c r="E250" s="8"/>
      <c r="F250" s="8" t="s">
        <v>2058</v>
      </c>
      <c r="G250" s="8"/>
      <c r="H250" s="8"/>
    </row>
    <row r="251" spans="3:8" x14ac:dyDescent="0.25">
      <c r="C251" s="85" t="s">
        <v>2057</v>
      </c>
      <c r="D251" s="9"/>
      <c r="E251" s="9"/>
      <c r="F251" s="9" t="s">
        <v>2059</v>
      </c>
      <c r="G251" s="9"/>
      <c r="H251" s="9"/>
    </row>
    <row r="252" spans="3:8" x14ac:dyDescent="0.25">
      <c r="C252" s="6"/>
      <c r="D252" s="6"/>
      <c r="E252" s="6"/>
      <c r="F252" s="6"/>
      <c r="G252" s="6"/>
      <c r="H252" s="6"/>
    </row>
    <row r="253" spans="3:8" x14ac:dyDescent="0.25">
      <c r="C253" s="8"/>
      <c r="D253" s="8"/>
      <c r="E253" s="8"/>
      <c r="F253" s="8" t="s">
        <v>2061</v>
      </c>
      <c r="G253" s="8"/>
      <c r="H253" s="8"/>
    </row>
    <row r="254" spans="3:8" x14ac:dyDescent="0.25">
      <c r="C254" s="85" t="s">
        <v>2060</v>
      </c>
      <c r="D254" s="9"/>
      <c r="E254" s="9"/>
      <c r="F254" s="9" t="s">
        <v>2062</v>
      </c>
      <c r="G254" s="9"/>
      <c r="H254" s="9"/>
    </row>
    <row r="255" spans="3:8" x14ac:dyDescent="0.25">
      <c r="C255" s="6"/>
      <c r="D255" s="6"/>
      <c r="E255" s="6"/>
      <c r="F255" s="6"/>
      <c r="G255" s="6"/>
      <c r="H255" s="6"/>
    </row>
    <row r="256" spans="3:8" x14ac:dyDescent="0.25">
      <c r="C256" s="588" t="s">
        <v>2132</v>
      </c>
      <c r="D256" s="589"/>
      <c r="E256" s="589"/>
      <c r="F256" s="589"/>
      <c r="G256" s="589"/>
      <c r="H256" s="590"/>
    </row>
    <row r="257" spans="3:8" x14ac:dyDescent="0.25">
      <c r="C257" s="8"/>
      <c r="D257" s="8"/>
      <c r="E257" s="8"/>
      <c r="F257" s="8" t="s">
        <v>2066</v>
      </c>
      <c r="G257" s="8"/>
      <c r="H257" s="8"/>
    </row>
    <row r="258" spans="3:8" x14ac:dyDescent="0.25">
      <c r="C258" s="9"/>
      <c r="D258" s="9"/>
      <c r="E258" s="9"/>
      <c r="F258" s="9" t="s">
        <v>2067</v>
      </c>
      <c r="G258" s="9" t="s">
        <v>2072</v>
      </c>
      <c r="H258" s="9"/>
    </row>
    <row r="259" spans="3:8" x14ac:dyDescent="0.25">
      <c r="C259" s="85" t="s">
        <v>2065</v>
      </c>
      <c r="D259" s="9"/>
      <c r="E259" s="9"/>
      <c r="F259" s="9" t="s">
        <v>2068</v>
      </c>
      <c r="G259" s="9"/>
      <c r="H259" s="9"/>
    </row>
    <row r="260" spans="3:8" x14ac:dyDescent="0.25">
      <c r="C260" s="9"/>
      <c r="D260" s="9"/>
      <c r="E260" s="9"/>
      <c r="F260" s="9" t="s">
        <v>2069</v>
      </c>
      <c r="G260" s="9"/>
      <c r="H260" s="9"/>
    </row>
    <row r="261" spans="3:8" x14ac:dyDescent="0.25">
      <c r="C261" s="9"/>
      <c r="D261" s="9"/>
      <c r="E261" s="9"/>
      <c r="F261" s="9" t="s">
        <v>2070</v>
      </c>
      <c r="G261" s="9"/>
      <c r="H261" s="9"/>
    </row>
    <row r="262" spans="3:8" x14ac:dyDescent="0.25">
      <c r="C262" s="9"/>
      <c r="D262" s="9"/>
      <c r="E262" s="9"/>
      <c r="F262" s="9"/>
      <c r="G262" s="9"/>
      <c r="H262" s="9"/>
    </row>
    <row r="263" spans="3:8" x14ac:dyDescent="0.25">
      <c r="C263" s="6"/>
      <c r="D263" s="6"/>
      <c r="E263" s="6"/>
      <c r="F263" s="6"/>
      <c r="G263" s="6"/>
      <c r="H263" s="6"/>
    </row>
    <row r="264" spans="3:8" x14ac:dyDescent="0.25">
      <c r="C264" s="8"/>
      <c r="D264" s="8"/>
      <c r="E264" s="8"/>
      <c r="F264" s="8" t="s">
        <v>2071</v>
      </c>
      <c r="G264" s="8"/>
      <c r="H264" s="8"/>
    </row>
    <row r="265" spans="3:8" x14ac:dyDescent="0.25">
      <c r="C265" s="85" t="s">
        <v>2064</v>
      </c>
      <c r="D265" s="9"/>
      <c r="E265" s="9"/>
      <c r="F265" s="9"/>
      <c r="G265" s="9"/>
      <c r="H265" s="9"/>
    </row>
    <row r="266" spans="3:8" x14ac:dyDescent="0.25">
      <c r="C266" s="9"/>
      <c r="D266" s="9"/>
      <c r="E266" s="9"/>
      <c r="F266" s="9"/>
      <c r="G266" s="9"/>
      <c r="H266" s="9"/>
    </row>
    <row r="267" spans="3:8" x14ac:dyDescent="0.25">
      <c r="C267" s="8"/>
      <c r="D267" s="8"/>
      <c r="E267" s="8"/>
      <c r="F267" s="8" t="s">
        <v>2108</v>
      </c>
      <c r="G267" s="8" t="s">
        <v>2079</v>
      </c>
      <c r="H267" s="8"/>
    </row>
    <row r="268" spans="3:8" x14ac:dyDescent="0.25">
      <c r="C268" s="9"/>
      <c r="D268" s="9"/>
      <c r="E268" s="9"/>
      <c r="F268" s="9" t="s">
        <v>2074</v>
      </c>
      <c r="G268" s="9" t="s">
        <v>2080</v>
      </c>
      <c r="H268" s="9"/>
    </row>
    <row r="269" spans="3:8" x14ac:dyDescent="0.25">
      <c r="C269" s="9"/>
      <c r="D269" s="9"/>
      <c r="E269" s="9"/>
      <c r="F269" s="9" t="s">
        <v>2100</v>
      </c>
      <c r="G269" s="9" t="s">
        <v>2081</v>
      </c>
      <c r="H269" s="35" t="s">
        <v>2105</v>
      </c>
    </row>
    <row r="270" spans="3:8" x14ac:dyDescent="0.25">
      <c r="C270" s="85" t="s">
        <v>2073</v>
      </c>
      <c r="D270" s="9"/>
      <c r="E270" s="9"/>
      <c r="F270" s="9" t="s">
        <v>2101</v>
      </c>
      <c r="G270" s="9" t="s">
        <v>2082</v>
      </c>
      <c r="H270" s="9"/>
    </row>
    <row r="271" spans="3:8" x14ac:dyDescent="0.25">
      <c r="C271" s="85" t="s">
        <v>2099</v>
      </c>
      <c r="D271" s="9"/>
      <c r="E271" s="9"/>
      <c r="F271" s="9" t="s">
        <v>2102</v>
      </c>
      <c r="G271" s="9" t="s">
        <v>2083</v>
      </c>
      <c r="H271" s="9"/>
    </row>
    <row r="272" spans="3:8" x14ac:dyDescent="0.25">
      <c r="C272" s="9"/>
      <c r="D272" s="9"/>
      <c r="E272" s="9"/>
      <c r="F272" s="9" t="s">
        <v>2103</v>
      </c>
      <c r="G272" s="9" t="s">
        <v>2084</v>
      </c>
      <c r="H272" s="9"/>
    </row>
    <row r="273" spans="3:8" x14ac:dyDescent="0.25">
      <c r="C273" s="6"/>
      <c r="D273" s="6"/>
      <c r="E273" s="6"/>
      <c r="F273" s="6" t="s">
        <v>2104</v>
      </c>
      <c r="G273" s="6" t="s">
        <v>2085</v>
      </c>
      <c r="H273" s="6"/>
    </row>
    <row r="274" spans="3:8" x14ac:dyDescent="0.25">
      <c r="C274" s="8"/>
      <c r="D274" s="96" t="s">
        <v>2094</v>
      </c>
      <c r="E274" s="8"/>
      <c r="F274" s="8" t="s">
        <v>2076</v>
      </c>
      <c r="G274" s="8" t="s">
        <v>2088</v>
      </c>
      <c r="H274" s="8"/>
    </row>
    <row r="275" spans="3:8" x14ac:dyDescent="0.25">
      <c r="C275" s="9"/>
      <c r="D275" s="9"/>
      <c r="E275" s="9"/>
      <c r="F275" s="9" t="s">
        <v>2077</v>
      </c>
      <c r="G275" s="9" t="s">
        <v>2090</v>
      </c>
      <c r="H275" s="9"/>
    </row>
    <row r="276" spans="3:8" x14ac:dyDescent="0.25">
      <c r="C276" s="9"/>
      <c r="D276" s="9"/>
      <c r="E276" s="9"/>
      <c r="F276" s="9" t="s">
        <v>2078</v>
      </c>
      <c r="G276" s="9" t="s">
        <v>2089</v>
      </c>
      <c r="H276" s="35" t="s">
        <v>2087</v>
      </c>
    </row>
    <row r="277" spans="3:8" x14ac:dyDescent="0.25">
      <c r="C277" s="9"/>
      <c r="D277" s="9"/>
      <c r="E277" s="9"/>
      <c r="F277" s="9"/>
      <c r="G277" s="9" t="s">
        <v>2091</v>
      </c>
      <c r="H277" s="9"/>
    </row>
    <row r="278" spans="3:8" x14ac:dyDescent="0.25">
      <c r="C278" s="85" t="s">
        <v>2075</v>
      </c>
      <c r="D278" s="81" t="s">
        <v>2096</v>
      </c>
      <c r="E278" s="9"/>
      <c r="F278" s="9"/>
      <c r="G278" s="9" t="s">
        <v>2092</v>
      </c>
      <c r="H278" s="9"/>
    </row>
    <row r="279" spans="3:8" x14ac:dyDescent="0.25">
      <c r="C279" s="9"/>
      <c r="D279" s="9" t="s">
        <v>2097</v>
      </c>
      <c r="E279" s="9"/>
      <c r="F279" s="9"/>
      <c r="G279" s="9" t="s">
        <v>2093</v>
      </c>
      <c r="H279" s="9"/>
    </row>
    <row r="280" spans="3:8" x14ac:dyDescent="0.25">
      <c r="C280" s="9"/>
      <c r="D280" s="81" t="s">
        <v>2095</v>
      </c>
      <c r="E280" s="9"/>
      <c r="F280" s="9"/>
      <c r="G280" s="9"/>
      <c r="H280" s="9"/>
    </row>
    <row r="281" spans="3:8" x14ac:dyDescent="0.25">
      <c r="C281" s="9"/>
      <c r="D281" s="9"/>
      <c r="E281" s="9"/>
      <c r="F281" s="9"/>
      <c r="G281" s="9"/>
      <c r="H281" s="9"/>
    </row>
    <row r="282" spans="3:8" x14ac:dyDescent="0.25">
      <c r="C282" s="9"/>
      <c r="D282" s="9"/>
      <c r="E282" s="9"/>
      <c r="F282" s="9"/>
      <c r="G282" s="9"/>
      <c r="H282" s="9"/>
    </row>
    <row r="283" spans="3:8" x14ac:dyDescent="0.25">
      <c r="C283" s="6"/>
      <c r="D283" s="6"/>
      <c r="E283" s="6"/>
      <c r="F283" s="6"/>
      <c r="G283" s="6"/>
      <c r="H283" s="6"/>
    </row>
    <row r="284" spans="3:8" x14ac:dyDescent="0.25">
      <c r="C284" s="8"/>
      <c r="D284" s="8"/>
      <c r="E284" s="8"/>
      <c r="F284" s="8" t="s">
        <v>2107</v>
      </c>
      <c r="G284" s="8" t="s">
        <v>2120</v>
      </c>
      <c r="H284" s="8"/>
    </row>
    <row r="285" spans="3:8" x14ac:dyDescent="0.25">
      <c r="C285" s="9"/>
      <c r="D285" s="9"/>
      <c r="E285" s="9"/>
      <c r="F285" s="9" t="s">
        <v>2109</v>
      </c>
      <c r="G285" s="9" t="s">
        <v>2110</v>
      </c>
      <c r="H285" s="9"/>
    </row>
    <row r="286" spans="3:8" x14ac:dyDescent="0.25">
      <c r="C286" s="9"/>
      <c r="D286" s="9"/>
      <c r="E286" s="9"/>
      <c r="F286" s="9" t="s">
        <v>2122</v>
      </c>
      <c r="G286" s="9" t="s">
        <v>2111</v>
      </c>
      <c r="H286" s="9"/>
    </row>
    <row r="287" spans="3:8" x14ac:dyDescent="0.25">
      <c r="C287" s="9"/>
      <c r="D287" s="9"/>
      <c r="E287" s="9"/>
      <c r="F287" s="9" t="s">
        <v>2121</v>
      </c>
      <c r="G287" s="9" t="s">
        <v>2112</v>
      </c>
      <c r="H287" s="35" t="s">
        <v>2342</v>
      </c>
    </row>
    <row r="288" spans="3:8" x14ac:dyDescent="0.25">
      <c r="C288" s="85" t="s">
        <v>2106</v>
      </c>
      <c r="D288" s="9"/>
      <c r="E288" s="9"/>
      <c r="F288" s="9" t="s">
        <v>2123</v>
      </c>
      <c r="G288" s="9" t="s">
        <v>2113</v>
      </c>
      <c r="H288" s="9"/>
    </row>
    <row r="289" spans="3:8" x14ac:dyDescent="0.25">
      <c r="C289" s="9"/>
      <c r="D289" s="9"/>
      <c r="E289" s="9"/>
      <c r="F289" s="9" t="s">
        <v>2124</v>
      </c>
      <c r="G289" s="9" t="s">
        <v>2114</v>
      </c>
      <c r="H289" s="9"/>
    </row>
    <row r="290" spans="3:8" x14ac:dyDescent="0.25">
      <c r="C290" s="9"/>
      <c r="D290" s="9"/>
      <c r="E290" s="9"/>
      <c r="F290" s="9" t="s">
        <v>2125</v>
      </c>
      <c r="G290" s="9" t="s">
        <v>2115</v>
      </c>
      <c r="H290" s="9"/>
    </row>
    <row r="291" spans="3:8" x14ac:dyDescent="0.25">
      <c r="C291" s="9"/>
      <c r="D291" s="9"/>
      <c r="E291" s="9"/>
      <c r="F291" s="9" t="s">
        <v>2126</v>
      </c>
      <c r="G291" s="9" t="s">
        <v>2116</v>
      </c>
      <c r="H291" s="9"/>
    </row>
    <row r="292" spans="3:8" x14ac:dyDescent="0.25">
      <c r="C292" s="9"/>
      <c r="D292" s="9"/>
      <c r="E292" s="9"/>
      <c r="F292" s="9"/>
      <c r="G292" s="9" t="s">
        <v>2127</v>
      </c>
      <c r="H292" s="9"/>
    </row>
    <row r="293" spans="3:8" x14ac:dyDescent="0.25">
      <c r="C293" s="6"/>
      <c r="D293" s="6"/>
      <c r="E293" s="6"/>
      <c r="F293" s="6"/>
      <c r="G293" s="308" t="s">
        <v>2128</v>
      </c>
      <c r="H293" s="6"/>
    </row>
    <row r="294" spans="3:8" x14ac:dyDescent="0.25">
      <c r="C294" s="8"/>
      <c r="D294" s="8"/>
      <c r="E294" s="8"/>
      <c r="F294" s="8"/>
      <c r="G294" s="8" t="s">
        <v>2129</v>
      </c>
      <c r="H294" s="8"/>
    </row>
    <row r="295" spans="3:8" x14ac:dyDescent="0.25">
      <c r="C295" s="9"/>
      <c r="D295" s="9"/>
      <c r="E295" s="9"/>
      <c r="F295" s="9" t="s">
        <v>3029</v>
      </c>
      <c r="G295" s="9" t="s">
        <v>2130</v>
      </c>
      <c r="H295" s="9"/>
    </row>
    <row r="296" spans="3:8" x14ac:dyDescent="0.25">
      <c r="C296" s="9"/>
      <c r="D296" s="9"/>
      <c r="E296" s="9"/>
      <c r="F296" s="9"/>
      <c r="G296" s="9" t="s">
        <v>2131</v>
      </c>
      <c r="H296" s="9"/>
    </row>
    <row r="297" spans="3:8" x14ac:dyDescent="0.25">
      <c r="C297" s="85" t="s">
        <v>2117</v>
      </c>
      <c r="D297" s="9"/>
      <c r="E297" s="9"/>
      <c r="F297" s="9" t="s">
        <v>2118</v>
      </c>
      <c r="G297" s="9"/>
      <c r="H297" s="35" t="s">
        <v>2119</v>
      </c>
    </row>
    <row r="298" spans="3:8" x14ac:dyDescent="0.25">
      <c r="C298" s="9"/>
      <c r="D298" s="9"/>
      <c r="E298" s="9"/>
      <c r="F298" s="9"/>
      <c r="G298" s="9"/>
      <c r="H298" s="9"/>
    </row>
    <row r="299" spans="3:8" x14ac:dyDescent="0.25">
      <c r="C299" s="9"/>
      <c r="D299" s="9"/>
      <c r="E299" s="9"/>
      <c r="F299" s="9"/>
      <c r="G299" s="9"/>
      <c r="H299" s="9"/>
    </row>
    <row r="300" spans="3:8" x14ac:dyDescent="0.25">
      <c r="C300" s="6"/>
      <c r="D300" s="6"/>
      <c r="E300" s="6"/>
      <c r="F300" s="6"/>
      <c r="G300" s="6"/>
      <c r="H300" s="6"/>
    </row>
    <row r="301" spans="3:8" x14ac:dyDescent="0.25">
      <c r="C301" s="585" t="s">
        <v>2165</v>
      </c>
      <c r="D301" s="586"/>
      <c r="E301" s="586"/>
      <c r="F301" s="586"/>
      <c r="G301" s="586"/>
      <c r="H301" s="587"/>
    </row>
    <row r="302" spans="3:8" x14ac:dyDescent="0.25">
      <c r="C302" s="8"/>
      <c r="D302" s="8"/>
      <c r="E302" s="8"/>
      <c r="F302" s="8" t="s">
        <v>2133</v>
      </c>
      <c r="G302" s="8"/>
      <c r="H302" s="8"/>
    </row>
    <row r="303" spans="3:8" x14ac:dyDescent="0.25">
      <c r="C303" s="9"/>
      <c r="D303" s="9"/>
      <c r="E303" s="9"/>
      <c r="F303" s="9" t="s">
        <v>2134</v>
      </c>
      <c r="G303" s="9"/>
      <c r="H303" s="9"/>
    </row>
    <row r="304" spans="3:8" x14ac:dyDescent="0.25">
      <c r="C304" s="85" t="s">
        <v>2139</v>
      </c>
      <c r="D304" s="9"/>
      <c r="E304" s="9"/>
      <c r="F304" s="9" t="s">
        <v>2135</v>
      </c>
      <c r="G304" s="9"/>
      <c r="H304" s="9"/>
    </row>
    <row r="305" spans="3:8" x14ac:dyDescent="0.25">
      <c r="C305" s="9"/>
      <c r="D305" s="9"/>
      <c r="E305" s="9"/>
      <c r="F305" s="9" t="s">
        <v>2140</v>
      </c>
      <c r="G305" s="9"/>
      <c r="H305" s="9"/>
    </row>
    <row r="306" spans="3:8" x14ac:dyDescent="0.25">
      <c r="C306" s="9"/>
      <c r="D306" s="9" t="s">
        <v>2136</v>
      </c>
      <c r="E306" s="9"/>
      <c r="F306" s="9" t="s">
        <v>2141</v>
      </c>
      <c r="G306" s="9"/>
      <c r="H306" s="9"/>
    </row>
    <row r="307" spans="3:8" x14ac:dyDescent="0.25">
      <c r="C307" s="9"/>
      <c r="D307" s="9" t="s">
        <v>2137</v>
      </c>
      <c r="E307" s="9"/>
      <c r="F307" s="9" t="s">
        <v>2142</v>
      </c>
      <c r="G307" s="9"/>
      <c r="H307" s="9"/>
    </row>
    <row r="308" spans="3:8" x14ac:dyDescent="0.25">
      <c r="C308" s="6"/>
      <c r="D308" s="6" t="s">
        <v>2138</v>
      </c>
      <c r="E308" s="6"/>
      <c r="F308" s="6" t="s">
        <v>2143</v>
      </c>
      <c r="G308" s="6"/>
      <c r="H308" s="6"/>
    </row>
    <row r="309" spans="3:8" x14ac:dyDescent="0.25">
      <c r="C309" s="8"/>
      <c r="D309" s="8"/>
      <c r="E309" s="8"/>
      <c r="F309" s="8" t="s">
        <v>2153</v>
      </c>
      <c r="G309" s="8" t="s">
        <v>2147</v>
      </c>
      <c r="H309" s="8"/>
    </row>
    <row r="310" spans="3:8" x14ac:dyDescent="0.25">
      <c r="C310" s="9"/>
      <c r="D310" s="9"/>
      <c r="E310" s="9"/>
      <c r="F310" s="9" t="s">
        <v>2151</v>
      </c>
      <c r="G310" s="9" t="s">
        <v>2148</v>
      </c>
      <c r="H310" s="9"/>
    </row>
    <row r="311" spans="3:8" x14ac:dyDescent="0.25">
      <c r="C311" s="9"/>
      <c r="D311" s="9"/>
      <c r="E311" s="9"/>
      <c r="F311" s="81" t="s">
        <v>1244</v>
      </c>
      <c r="G311" s="9" t="s">
        <v>2149</v>
      </c>
      <c r="H311" s="9"/>
    </row>
    <row r="312" spans="3:8" x14ac:dyDescent="0.25">
      <c r="C312" s="9"/>
      <c r="D312" s="9"/>
      <c r="E312" s="9"/>
      <c r="F312" s="9" t="s">
        <v>2146</v>
      </c>
      <c r="G312" s="9"/>
      <c r="H312" s="9"/>
    </row>
    <row r="313" spans="3:8" x14ac:dyDescent="0.25">
      <c r="C313" s="85" t="s">
        <v>2144</v>
      </c>
      <c r="D313" s="9"/>
      <c r="E313" s="9"/>
      <c r="F313" s="9" t="s">
        <v>2145</v>
      </c>
      <c r="G313" s="9"/>
      <c r="H313" s="9"/>
    </row>
    <row r="314" spans="3:8" x14ac:dyDescent="0.25">
      <c r="C314" s="9"/>
      <c r="D314" s="9"/>
      <c r="E314" s="9"/>
      <c r="F314" s="9"/>
      <c r="G314" s="9" t="s">
        <v>2150</v>
      </c>
      <c r="H314" s="9"/>
    </row>
    <row r="315" spans="3:8" x14ac:dyDescent="0.25">
      <c r="C315" s="9"/>
      <c r="D315" s="9"/>
      <c r="E315" s="9"/>
      <c r="F315" s="9"/>
      <c r="G315" s="9"/>
      <c r="H315" s="9"/>
    </row>
    <row r="316" spans="3:8" x14ac:dyDescent="0.25">
      <c r="C316" s="6"/>
      <c r="D316" s="6"/>
      <c r="E316" s="6"/>
      <c r="F316" s="6"/>
      <c r="G316" s="6"/>
      <c r="H316" s="6"/>
    </row>
    <row r="317" spans="3:8" x14ac:dyDescent="0.25">
      <c r="C317" s="8"/>
      <c r="D317" s="8"/>
      <c r="E317" s="8"/>
      <c r="F317" s="8" t="s">
        <v>2154</v>
      </c>
      <c r="G317" s="8"/>
      <c r="H317" s="8"/>
    </row>
    <row r="318" spans="3:8" x14ac:dyDescent="0.25">
      <c r="C318" s="85" t="s">
        <v>2152</v>
      </c>
      <c r="D318" s="9"/>
      <c r="E318" s="9"/>
      <c r="F318" s="9" t="s">
        <v>2155</v>
      </c>
      <c r="G318" s="9"/>
      <c r="H318" s="9"/>
    </row>
    <row r="319" spans="3:8" x14ac:dyDescent="0.25">
      <c r="C319" s="9"/>
      <c r="D319" s="9"/>
      <c r="E319" s="9"/>
      <c r="F319" s="9" t="s">
        <v>2156</v>
      </c>
      <c r="G319" s="9"/>
      <c r="H319" s="9"/>
    </row>
    <row r="320" spans="3:8" x14ac:dyDescent="0.25">
      <c r="C320" s="9"/>
      <c r="D320" s="9"/>
      <c r="E320" s="9"/>
      <c r="F320" s="9"/>
      <c r="G320" s="9"/>
      <c r="H320" s="9"/>
    </row>
    <row r="321" spans="3:8" x14ac:dyDescent="0.25">
      <c r="C321" s="6"/>
      <c r="D321" s="5" t="s">
        <v>2157</v>
      </c>
      <c r="E321" s="6"/>
      <c r="F321" s="6"/>
      <c r="G321" s="6"/>
      <c r="H321" s="6"/>
    </row>
    <row r="322" spans="3:8" x14ac:dyDescent="0.25">
      <c r="C322" s="8"/>
      <c r="D322" s="8"/>
      <c r="E322" s="8"/>
      <c r="F322" s="8"/>
      <c r="G322" s="8"/>
      <c r="H322" s="8"/>
    </row>
    <row r="323" spans="3:8" x14ac:dyDescent="0.25">
      <c r="C323" s="85" t="s">
        <v>2158</v>
      </c>
      <c r="D323" s="9"/>
      <c r="E323" s="9"/>
      <c r="F323" s="9"/>
      <c r="G323" s="9"/>
      <c r="H323" s="35" t="s">
        <v>2159</v>
      </c>
    </row>
    <row r="324" spans="3:8" x14ac:dyDescent="0.25">
      <c r="C324" s="6"/>
      <c r="D324" s="6"/>
      <c r="E324" s="6"/>
      <c r="F324" s="6"/>
      <c r="G324" s="6"/>
      <c r="H324" s="6"/>
    </row>
    <row r="325" spans="3:8" x14ac:dyDescent="0.25">
      <c r="C325" s="8"/>
      <c r="D325" s="8"/>
      <c r="E325" s="8"/>
      <c r="F325" s="8"/>
      <c r="G325" s="8" t="s">
        <v>2162</v>
      </c>
      <c r="H325" s="8"/>
    </row>
    <row r="326" spans="3:8" x14ac:dyDescent="0.25">
      <c r="C326" s="9"/>
      <c r="D326" s="9"/>
      <c r="E326" s="9"/>
      <c r="F326" s="9"/>
      <c r="G326" s="9" t="s">
        <v>2163</v>
      </c>
      <c r="H326" s="9"/>
    </row>
    <row r="327" spans="3:8" x14ac:dyDescent="0.25">
      <c r="C327" s="9"/>
      <c r="D327" s="9"/>
      <c r="E327" s="9"/>
      <c r="F327" s="9"/>
      <c r="G327" s="9" t="s">
        <v>2164</v>
      </c>
      <c r="H327" s="9"/>
    </row>
    <row r="328" spans="3:8" x14ac:dyDescent="0.25">
      <c r="C328" s="9"/>
      <c r="D328" s="9"/>
      <c r="E328" s="9"/>
      <c r="F328" s="9"/>
      <c r="G328" s="9"/>
      <c r="H328" s="9"/>
    </row>
    <row r="329" spans="3:8" x14ac:dyDescent="0.25">
      <c r="C329" s="81" t="s">
        <v>2160</v>
      </c>
      <c r="D329" s="9"/>
      <c r="E329" s="9"/>
      <c r="F329" s="9"/>
      <c r="G329" s="9"/>
      <c r="H329" s="9"/>
    </row>
    <row r="330" spans="3:8" x14ac:dyDescent="0.25">
      <c r="C330" s="371" t="s">
        <v>2161</v>
      </c>
      <c r="D330" s="9"/>
      <c r="E330" s="9"/>
      <c r="F330" s="9"/>
      <c r="G330" s="9"/>
      <c r="H330" s="9"/>
    </row>
    <row r="331" spans="3:8" x14ac:dyDescent="0.25">
      <c r="C331" s="9"/>
      <c r="D331" s="9"/>
      <c r="E331" s="9"/>
      <c r="F331" s="9"/>
      <c r="G331" s="9"/>
      <c r="H331" s="9"/>
    </row>
    <row r="332" spans="3:8" x14ac:dyDescent="0.25">
      <c r="C332" s="9"/>
      <c r="D332" s="9"/>
      <c r="E332" s="9"/>
      <c r="F332" s="9"/>
      <c r="G332" s="9"/>
      <c r="H332" s="9"/>
    </row>
    <row r="333" spans="3:8" x14ac:dyDescent="0.25">
      <c r="C333" s="9"/>
      <c r="D333" s="9"/>
      <c r="E333" s="9"/>
      <c r="F333" s="9"/>
      <c r="G333" s="9"/>
      <c r="H333" s="9"/>
    </row>
    <row r="334" spans="3:8" x14ac:dyDescent="0.25">
      <c r="C334" s="9"/>
      <c r="D334" s="9"/>
      <c r="E334" s="9"/>
      <c r="F334" s="9"/>
      <c r="G334" s="9"/>
      <c r="H334" s="9"/>
    </row>
    <row r="335" spans="3:8" x14ac:dyDescent="0.25">
      <c r="C335" s="9"/>
      <c r="D335" s="9"/>
      <c r="E335" s="9"/>
      <c r="F335" s="9"/>
      <c r="G335" s="9"/>
      <c r="H335" s="9"/>
    </row>
    <row r="336" spans="3:8" x14ac:dyDescent="0.25">
      <c r="C336" s="6"/>
      <c r="D336" s="6"/>
      <c r="E336" s="6"/>
      <c r="F336" s="6"/>
      <c r="G336" s="6"/>
      <c r="H336" s="6"/>
    </row>
    <row r="337" spans="3:8" x14ac:dyDescent="0.25">
      <c r="C337" s="593" t="s">
        <v>2166</v>
      </c>
      <c r="D337" s="591"/>
      <c r="E337" s="591"/>
      <c r="F337" s="591"/>
      <c r="G337" s="591"/>
      <c r="H337" s="592"/>
    </row>
    <row r="338" spans="3:8" x14ac:dyDescent="0.25">
      <c r="C338" s="8"/>
      <c r="D338" s="8"/>
      <c r="E338" s="8"/>
      <c r="F338" s="8"/>
      <c r="G338" s="8" t="s">
        <v>2169</v>
      </c>
      <c r="H338" s="8"/>
    </row>
    <row r="339" spans="3:8" x14ac:dyDescent="0.25">
      <c r="C339" s="85" t="s">
        <v>2170</v>
      </c>
      <c r="D339" s="9"/>
      <c r="E339" s="9"/>
      <c r="F339" s="9" t="s">
        <v>2167</v>
      </c>
      <c r="G339" s="9" t="s">
        <v>2168</v>
      </c>
      <c r="H339" s="9"/>
    </row>
    <row r="340" spans="3:8" x14ac:dyDescent="0.25">
      <c r="C340" s="6"/>
      <c r="D340" s="6"/>
      <c r="E340" s="6"/>
      <c r="F340" s="6"/>
      <c r="G340" s="6"/>
      <c r="H340" s="6"/>
    </row>
    <row r="341" spans="3:8" x14ac:dyDescent="0.25">
      <c r="C341" s="8"/>
      <c r="D341" s="8"/>
      <c r="E341" s="8"/>
      <c r="F341" s="8" t="s">
        <v>2172</v>
      </c>
      <c r="G341" s="8" t="s">
        <v>3025</v>
      </c>
      <c r="H341" s="8"/>
    </row>
    <row r="342" spans="3:8" x14ac:dyDescent="0.25">
      <c r="C342" s="85" t="s">
        <v>2171</v>
      </c>
      <c r="D342" s="9"/>
      <c r="E342" s="9"/>
      <c r="F342" s="9" t="s">
        <v>2173</v>
      </c>
      <c r="G342" s="9" t="s">
        <v>3026</v>
      </c>
      <c r="H342" s="35" t="s">
        <v>2181</v>
      </c>
    </row>
    <row r="343" spans="3:8" x14ac:dyDescent="0.25">
      <c r="C343" s="6"/>
      <c r="D343" s="6"/>
      <c r="E343" s="6"/>
      <c r="F343" s="6"/>
      <c r="G343" s="6"/>
      <c r="H343" s="6"/>
    </row>
    <row r="344" spans="3:8" x14ac:dyDescent="0.25">
      <c r="C344" s="8"/>
      <c r="D344" s="8"/>
      <c r="E344" s="8"/>
      <c r="F344" s="8" t="s">
        <v>2175</v>
      </c>
      <c r="G344" s="8" t="s">
        <v>3027</v>
      </c>
      <c r="H344" s="8"/>
    </row>
    <row r="345" spans="3:8" x14ac:dyDescent="0.25">
      <c r="C345" s="85" t="s">
        <v>2174</v>
      </c>
      <c r="D345" s="9"/>
      <c r="E345" s="9"/>
      <c r="F345" s="9" t="s">
        <v>2176</v>
      </c>
      <c r="G345" s="9" t="s">
        <v>2180</v>
      </c>
      <c r="H345" s="35" t="s">
        <v>2182</v>
      </c>
    </row>
    <row r="346" spans="3:8" x14ac:dyDescent="0.25">
      <c r="C346" s="6"/>
      <c r="D346" s="6"/>
      <c r="E346" s="6"/>
      <c r="F346" s="6"/>
      <c r="G346" s="6"/>
      <c r="H346" s="6"/>
    </row>
    <row r="347" spans="3:8" x14ac:dyDescent="0.25">
      <c r="C347" s="8"/>
      <c r="D347" s="8"/>
      <c r="E347" s="8"/>
      <c r="F347" s="8" t="s">
        <v>2178</v>
      </c>
      <c r="G347" s="8"/>
      <c r="H347" s="8"/>
    </row>
    <row r="348" spans="3:8" x14ac:dyDescent="0.25">
      <c r="C348" s="85" t="s">
        <v>2177</v>
      </c>
      <c r="D348" s="9"/>
      <c r="E348" s="9"/>
      <c r="F348" s="9" t="s">
        <v>2179</v>
      </c>
      <c r="G348" s="9"/>
      <c r="H348" s="35" t="s">
        <v>2183</v>
      </c>
    </row>
    <row r="349" spans="3:8" x14ac:dyDescent="0.25">
      <c r="C349" s="6"/>
      <c r="D349" s="6"/>
      <c r="E349" s="6"/>
      <c r="F349" s="6"/>
      <c r="G349" s="6"/>
      <c r="H349" s="6"/>
    </row>
    <row r="350" spans="3:8" x14ac:dyDescent="0.25">
      <c r="C350" s="8"/>
      <c r="D350" s="8"/>
      <c r="E350" s="8"/>
      <c r="F350" s="8" t="s">
        <v>2185</v>
      </c>
      <c r="G350" s="8"/>
      <c r="H350" s="8"/>
    </row>
    <row r="351" spans="3:8" x14ac:dyDescent="0.25">
      <c r="C351" s="85" t="s">
        <v>2184</v>
      </c>
      <c r="D351" s="9"/>
      <c r="E351" s="9"/>
      <c r="F351" s="9" t="s">
        <v>2186</v>
      </c>
      <c r="G351" s="9"/>
      <c r="H351" s="9"/>
    </row>
    <row r="352" spans="3:8" x14ac:dyDescent="0.25">
      <c r="C352" s="6"/>
      <c r="D352" s="6"/>
      <c r="E352" s="6"/>
      <c r="F352" s="6"/>
      <c r="G352" s="6"/>
      <c r="H352" s="6"/>
    </row>
  </sheetData>
  <mergeCells count="2">
    <mergeCell ref="C3:H4"/>
    <mergeCell ref="E1:F2"/>
  </mergeCells>
  <hyperlinks>
    <hyperlink ref="A3" location="Regnskaber!A1" display="Regnskaber!A1" xr:uid="{00000000-0004-0000-0200-000000000000}"/>
    <hyperlink ref="B3" location="Investeringsteori!A1" display="Investeringsteori!A1" xr:uid="{00000000-0004-0000-0200-000001000000}"/>
    <hyperlink ref="H44" location="'Lån typer - eks'!A1" display="'Lån typer - eks'!A1" xr:uid="{00000000-0004-0000-0200-000002000000}"/>
    <hyperlink ref="H47" location="'Lån typer - eks'!A1" display="'Lån typer - eks'!A1" xr:uid="{00000000-0004-0000-0200-000003000000}"/>
    <hyperlink ref="H50" location="'Lån typer - eks'!A1" display="'Lån typer - eks'!A1" xr:uid="{00000000-0004-0000-0200-000004000000}"/>
    <hyperlink ref="H59" location="'Lån typer - eks'!A1" display="'Lån typer - eks'!A1" xr:uid="{00000000-0004-0000-0200-000005000000}"/>
    <hyperlink ref="H62" location="'Lån typer - eks'!A1" display="'Lån typer - eks'!A1" xr:uid="{00000000-0004-0000-0200-000006000000}"/>
    <hyperlink ref="H65" location="'Lån typer - eks'!A1" display="'Lån typer - eks'!A1" xr:uid="{00000000-0004-0000-0200-000007000000}"/>
    <hyperlink ref="H68" location="'Lån typer - eks'!A1" display="'Lån typer - eks'!A1" xr:uid="{00000000-0004-0000-0200-000008000000}"/>
    <hyperlink ref="H71" location="'Lån typer - eks'!A1" display="'Lån typer - eks'!A1" xr:uid="{00000000-0004-0000-0200-000009000000}"/>
    <hyperlink ref="H74" location="'Lån typer - eks'!A1" display="'Lån typer - eks'!A1" xr:uid="{00000000-0004-0000-0200-00000A000000}"/>
    <hyperlink ref="H86" location="'Pålydende rente - eks'!A1" display="'Pålydende rente - eks'!A1" xr:uid="{00000000-0004-0000-0200-00000B000000}"/>
    <hyperlink ref="H90" location="'Effektiv rente - eks'!A1" display="'Effektiv rente - eks'!A1" xr:uid="{00000000-0004-0000-0200-00000C000000}"/>
    <hyperlink ref="F94" location="'Effektiv rente begrænsninger'!A1" display="'Effektiv rente begrænsninger'!A1" xr:uid="{00000000-0004-0000-0200-00000D000000}"/>
    <hyperlink ref="H28" location="'Stående lån - eks'!A1" display="'Stående lån - eks'!A1" xr:uid="{00000000-0004-0000-0200-00000E000000}"/>
    <hyperlink ref="H41" location="'Serielån - eks'!A1" display="'Serielån - eks'!A1" xr:uid="{00000000-0004-0000-0200-00000F000000}"/>
    <hyperlink ref="H31" location="'Annuitetslån - eks'!A1" display="'Annuitetslån - eks'!A1" xr:uid="{00000000-0004-0000-0200-000010000000}"/>
    <hyperlink ref="H103" location="'Obligationer - eksempel'!A1" display="'Obligationer - eksempel'!A1" xr:uid="{00000000-0004-0000-0200-000011000000}"/>
    <hyperlink ref="H56" location="'Stående lån - eks'!A1" display="'Stående lån - eks'!A1" xr:uid="{00000000-0004-0000-0200-000012000000}"/>
    <hyperlink ref="F96" location="'Effektiv rente og kurstab'!A1" display="'Effektiv rente og kurstab'!A1" xr:uid="{00000000-0004-0000-0200-000013000000}"/>
    <hyperlink ref="F110" location="'Effektiv rente og kurstab'!A1" display="'Effektiv rente og kurstab'!A1" xr:uid="{00000000-0004-0000-0200-000014000000}"/>
    <hyperlink ref="H108" location="'Kurs og rente'!A1" display="'Kurs og rente'!A1" xr:uid="{00000000-0004-0000-0200-000015000000}"/>
    <hyperlink ref="H152" location="'Risikoaversion - eks'!A1" display="'Risikoaversion - eks'!A1" xr:uid="{00000000-0004-0000-0200-000016000000}"/>
    <hyperlink ref="H124" location="'Relativt afkast - eks'!A1" display="'Relativt afkast - eks'!A1" xr:uid="{00000000-0004-0000-0200-000017000000}"/>
    <hyperlink ref="H128" location="'Nominelt og realt afkast - eks'!A1" display="'Nominelt og realt afkast - eks'!A1" xr:uid="{00000000-0004-0000-0200-000018000000}"/>
    <hyperlink ref="H132" location="'Kumulativt afkast - eks'!A1" display="'Kumulativt afkast - eks'!A1" xr:uid="{00000000-0004-0000-0200-000019000000}"/>
    <hyperlink ref="H139" location="'Gennemsnitligt afkast- eksempel'!A1" display="'Gennemsnitligt afkast- eksempel'!A1" xr:uid="{00000000-0004-0000-0200-00001A000000}"/>
    <hyperlink ref="G115" location="'Antagelser under portifølgeteor'!A1" display="'Antagelser under portifølgeteor'!A1" xr:uid="{00000000-0004-0000-0200-00001B000000}"/>
    <hyperlink ref="G208" location="'Diversifikationsprincippet - ek'!A1" display="'Diversifikationsprincippet - ek'!A1" xr:uid="{00000000-0004-0000-0200-00001C000000}"/>
    <hyperlink ref="H224" location="'Realiseret værdi-stokastisk var'!A1" display="'Realiseret værdi-stokastisk var'!A1" xr:uid="{00000000-0004-0000-0200-00001D000000}"/>
    <hyperlink ref="H180" location="'Kovarians - eksempel'!A1" display="'Kovarians - eksempel'!A1" xr:uid="{00000000-0004-0000-0200-00001E000000}"/>
    <hyperlink ref="H234" location="'Korrelationskoefficienten - eks'!A1" display="'Korrelationskoefficienten - eks'!A1" xr:uid="{00000000-0004-0000-0200-00001F000000}"/>
    <hyperlink ref="H276" location="'kapitalmarkedslinjen - eks'!A1" display="'kapitalmarkedslinjen - eks'!A1" xr:uid="{00000000-0004-0000-0200-000020000000}"/>
    <hyperlink ref="H269" location="'Markedsportefølgen - eks'!A1" display="'Markedsportefølgen - eks'!A1" xr:uid="{00000000-0004-0000-0200-000021000000}"/>
    <hyperlink ref="H297" location="'CAPM - eksempel'!A1" display="'CAPM - eksempel'!A1" xr:uid="{00000000-0004-0000-0200-000022000000}"/>
    <hyperlink ref="G293" location="'Estimering af BETA - eks'!A1" display="'Estimering af BETA - eks'!A1" xr:uid="{00000000-0004-0000-0200-000023000000}"/>
    <hyperlink ref="H323" location="'DDM VS. FCFE'!A1" display="'DDM VS. FCFE'!A1" xr:uid="{00000000-0004-0000-0200-000024000000}"/>
    <hyperlink ref="H342" location="'Svag EMH'!A1" display="'Svag EMH'!A1" xr:uid="{00000000-0004-0000-0200-000025000000}"/>
    <hyperlink ref="H345" location="'Halvstærk EMH'!A1" display="'Halvstærk EMH'!A1" xr:uid="{00000000-0004-0000-0200-000026000000}"/>
    <hyperlink ref="H348" location="'Stærk EMH'!A1" display="'Stærk EMH'!A1" xr:uid="{00000000-0004-0000-0200-000027000000}"/>
    <hyperlink ref="A5" location="Strategi!A1" display="Strategi!A1" xr:uid="{00000000-0004-0000-0200-000028000000}"/>
    <hyperlink ref="H119" location="'Afkast beregning - eks'!A1" display="'Afkast beregning - eks'!A1" xr:uid="{00000000-0004-0000-0200-000029000000}"/>
    <hyperlink ref="H125" location="'Afkast beregning - eks'!A1" display="'Afkast beregning - eks'!A1" xr:uid="{00000000-0004-0000-0200-00002A000000}"/>
    <hyperlink ref="H129" location="'Afkast beregning - eks'!A1" display="'Afkast beregning - eks'!A1" xr:uid="{00000000-0004-0000-0200-00002B000000}"/>
    <hyperlink ref="H133" location="'Afkast beregning - eks'!A1" display="'Afkast beregning - eks'!A1" xr:uid="{00000000-0004-0000-0200-00002C000000}"/>
    <hyperlink ref="H197" location="'Standardafvigelse - eks'!A1" display="'Standardafvigelse - eks'!A1" xr:uid="{00000000-0004-0000-0200-00002D000000}"/>
    <hyperlink ref="H201" location="'Aktie sammenligning'!A1" display="'Aktie sammenligning'!A1" xr:uid="{00000000-0004-0000-0200-00002E000000}"/>
    <hyperlink ref="H287" location="'Betaværdi - eks'!A1" display="'Betaværdi - eks'!A1" xr:uid="{00000000-0004-0000-0200-00002F000000}"/>
    <hyperlink ref="H191" location="'Gordons formel - eksempel'!A1" display="'Gordons formel - eksempel'" xr:uid="{00000000-0004-0000-0200-000030000000}"/>
    <hyperlink ref="H186" location="'Solvens og soliditetsgrad'!A1" display="Solvens og soliditetsgrad" xr:uid="{00000000-0004-0000-0200-000031000000}"/>
    <hyperlink ref="H187" location="'P-E-forhold - eks'!A1" display="'P-E-forhold - eks'!A1" xr:uid="{00000000-0004-0000-0200-000032000000}"/>
    <hyperlink ref="H203" location="'Værdiansættelse af aktier - eks'!A1" display="'Værdiansættelse af aktier - eks'!A1" xr:uid="{00000000-0004-0000-0200-000033000000}"/>
  </hyperlinks>
  <pageMargins left="0.75" right="0.75" top="1" bottom="1" header="0.5" footer="0.5"/>
  <pageSetup paperSize="9"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3:H136"/>
  <sheetViews>
    <sheetView tabSelected="1" topLeftCell="A25" zoomScale="90" zoomScaleNormal="90" zoomScalePageLayoutView="90" workbookViewId="0">
      <selection activeCell="D13" sqref="D13"/>
    </sheetView>
  </sheetViews>
  <sheetFormatPr defaultColWidth="10.875" defaultRowHeight="15.75" x14ac:dyDescent="0.25"/>
  <cols>
    <col min="1" max="1" width="13.5" style="1" bestFit="1" customWidth="1"/>
    <col min="2" max="2" width="33" style="1" customWidth="1"/>
    <col min="3" max="3" width="32.875" style="1" customWidth="1"/>
    <col min="4" max="4" width="30.875" style="1" customWidth="1"/>
    <col min="5" max="5" width="45.375" style="1" customWidth="1"/>
    <col min="6" max="6" width="43.875" style="1" customWidth="1"/>
    <col min="7" max="16384" width="10.875" style="1"/>
  </cols>
  <sheetData>
    <row r="3" spans="1:8" x14ac:dyDescent="0.25">
      <c r="A3" s="101" t="s">
        <v>1220</v>
      </c>
      <c r="B3" s="101" t="s">
        <v>1228</v>
      </c>
    </row>
    <row r="5" spans="1:8" x14ac:dyDescent="0.25">
      <c r="A5" s="101" t="s">
        <v>1612</v>
      </c>
      <c r="C5" s="949" t="s">
        <v>2187</v>
      </c>
      <c r="D5" s="949"/>
      <c r="E5" s="949"/>
    </row>
    <row r="6" spans="1:8" x14ac:dyDescent="0.25">
      <c r="C6" s="949"/>
      <c r="D6" s="949"/>
      <c r="E6" s="949"/>
    </row>
    <row r="7" spans="1:8" x14ac:dyDescent="0.25">
      <c r="B7" s="950" t="s">
        <v>368</v>
      </c>
      <c r="C7" s="950"/>
      <c r="D7" s="950"/>
      <c r="E7" s="950"/>
      <c r="F7" s="950"/>
      <c r="G7" s="950"/>
    </row>
    <row r="8" spans="1:8" x14ac:dyDescent="0.25">
      <c r="B8" s="950"/>
      <c r="C8" s="950"/>
      <c r="D8" s="950"/>
      <c r="E8" s="950"/>
      <c r="F8" s="950"/>
      <c r="G8" s="950"/>
    </row>
    <row r="9" spans="1:8" x14ac:dyDescent="0.25">
      <c r="B9" s="2" t="s">
        <v>420</v>
      </c>
      <c r="C9" s="2" t="s">
        <v>3</v>
      </c>
      <c r="D9" s="2" t="s">
        <v>43</v>
      </c>
      <c r="E9" s="2" t="s">
        <v>5</v>
      </c>
      <c r="F9" s="2" t="s">
        <v>4</v>
      </c>
      <c r="G9" s="2" t="s">
        <v>9</v>
      </c>
      <c r="H9" s="7"/>
    </row>
    <row r="10" spans="1:8" x14ac:dyDescent="0.25">
      <c r="B10" s="594"/>
      <c r="C10" s="595"/>
      <c r="D10" s="595"/>
      <c r="E10" s="595"/>
      <c r="F10" s="595"/>
      <c r="G10" s="596"/>
      <c r="H10" s="7"/>
    </row>
    <row r="11" spans="1:8" x14ac:dyDescent="0.25">
      <c r="B11" s="757" t="s">
        <v>2446</v>
      </c>
      <c r="C11" s="595"/>
      <c r="D11" s="595"/>
      <c r="E11" s="595"/>
      <c r="F11" s="595"/>
      <c r="G11" s="596"/>
      <c r="H11" s="7"/>
    </row>
    <row r="12" spans="1:8" x14ac:dyDescent="0.25">
      <c r="B12" s="8"/>
      <c r="C12" s="8"/>
      <c r="D12" s="8"/>
      <c r="E12" s="8" t="s">
        <v>2448</v>
      </c>
      <c r="F12" s="8" t="s">
        <v>2462</v>
      </c>
      <c r="G12" s="8"/>
      <c r="H12" s="7"/>
    </row>
    <row r="13" spans="1:8" x14ac:dyDescent="0.25">
      <c r="B13" s="85" t="s">
        <v>2447</v>
      </c>
      <c r="C13" s="85" t="s">
        <v>2451</v>
      </c>
      <c r="D13" s="9"/>
      <c r="E13" s="9" t="s">
        <v>2449</v>
      </c>
      <c r="F13" s="9" t="s">
        <v>2463</v>
      </c>
      <c r="G13" s="9"/>
      <c r="H13" s="7"/>
    </row>
    <row r="14" spans="1:8" x14ac:dyDescent="0.25">
      <c r="B14" s="9"/>
      <c r="C14" s="9" t="s">
        <v>2452</v>
      </c>
      <c r="D14" s="9"/>
      <c r="E14" s="9" t="s">
        <v>2450</v>
      </c>
      <c r="F14" s="9"/>
      <c r="G14" s="35" t="s">
        <v>2923</v>
      </c>
      <c r="H14" s="7"/>
    </row>
    <row r="15" spans="1:8" x14ac:dyDescent="0.25">
      <c r="B15" s="9"/>
      <c r="C15" s="9" t="s">
        <v>2498</v>
      </c>
      <c r="D15" s="9"/>
      <c r="E15" s="9"/>
      <c r="F15" s="9"/>
      <c r="G15" s="9"/>
    </row>
    <row r="16" spans="1:8" x14ac:dyDescent="0.25">
      <c r="B16" s="6"/>
      <c r="C16" s="6" t="s">
        <v>2499</v>
      </c>
      <c r="D16" s="6"/>
      <c r="E16" s="6"/>
      <c r="F16" s="6"/>
      <c r="G16" s="6"/>
    </row>
    <row r="17" spans="2:8" x14ac:dyDescent="0.25">
      <c r="B17" s="9"/>
      <c r="C17" s="9"/>
      <c r="D17" s="9"/>
      <c r="E17" s="9" t="s">
        <v>2474</v>
      </c>
      <c r="F17" s="9" t="s">
        <v>2477</v>
      </c>
      <c r="G17" s="9"/>
    </row>
    <row r="18" spans="2:8" x14ac:dyDescent="0.25">
      <c r="B18" s="85" t="s">
        <v>2472</v>
      </c>
      <c r="C18" s="9"/>
      <c r="D18" s="9"/>
      <c r="E18" s="9" t="s">
        <v>2569</v>
      </c>
      <c r="F18" s="9" t="s">
        <v>2481</v>
      </c>
      <c r="G18" s="35" t="s">
        <v>2923</v>
      </c>
    </row>
    <row r="19" spans="2:8" x14ac:dyDescent="0.25">
      <c r="B19" s="6"/>
      <c r="C19" s="6"/>
      <c r="D19" s="6"/>
      <c r="E19" s="6" t="s">
        <v>2570</v>
      </c>
      <c r="F19" s="6"/>
      <c r="G19" s="6"/>
    </row>
    <row r="20" spans="2:8" x14ac:dyDescent="0.25">
      <c r="B20" s="8"/>
      <c r="C20" s="8"/>
      <c r="D20" s="8"/>
      <c r="E20" s="8" t="s">
        <v>2475</v>
      </c>
      <c r="F20" s="8" t="s">
        <v>2478</v>
      </c>
      <c r="G20" s="8"/>
    </row>
    <row r="21" spans="2:8" x14ac:dyDescent="0.25">
      <c r="B21" s="85" t="s">
        <v>2473</v>
      </c>
      <c r="C21" s="9"/>
      <c r="D21" s="9"/>
      <c r="E21" s="9" t="s">
        <v>2476</v>
      </c>
      <c r="F21" s="9" t="s">
        <v>2479</v>
      </c>
      <c r="G21" s="9"/>
    </row>
    <row r="22" spans="2:8" x14ac:dyDescent="0.25">
      <c r="B22" s="6"/>
      <c r="C22" s="6"/>
      <c r="D22" s="6"/>
      <c r="E22" s="6"/>
      <c r="F22" s="6" t="s">
        <v>2480</v>
      </c>
      <c r="G22" s="6"/>
    </row>
    <row r="23" spans="2:8" x14ac:dyDescent="0.25">
      <c r="B23" s="8"/>
      <c r="C23" s="8"/>
      <c r="D23" s="8"/>
      <c r="E23" s="8" t="s">
        <v>2455</v>
      </c>
      <c r="F23" s="8" t="s">
        <v>2464</v>
      </c>
      <c r="G23" s="8"/>
    </row>
    <row r="24" spans="2:8" x14ac:dyDescent="0.25">
      <c r="B24" s="9"/>
      <c r="C24" s="9"/>
      <c r="D24" s="9"/>
      <c r="E24" s="9" t="s">
        <v>2456</v>
      </c>
      <c r="F24" s="9" t="s">
        <v>2465</v>
      </c>
      <c r="G24" s="9"/>
    </row>
    <row r="25" spans="2:8" x14ac:dyDescent="0.25">
      <c r="B25" s="9"/>
      <c r="C25" s="9"/>
      <c r="D25" s="9"/>
      <c r="E25" s="9" t="s">
        <v>2457</v>
      </c>
      <c r="F25" s="9" t="s">
        <v>2466</v>
      </c>
      <c r="G25" s="9"/>
      <c r="H25" s="1" t="s">
        <v>2482</v>
      </c>
    </row>
    <row r="26" spans="2:8" x14ac:dyDescent="0.25">
      <c r="B26" s="85" t="s">
        <v>2453</v>
      </c>
      <c r="C26" s="85" t="s">
        <v>2454</v>
      </c>
      <c r="D26" s="9"/>
      <c r="E26" s="9"/>
      <c r="F26" s="9" t="s">
        <v>2467</v>
      </c>
      <c r="G26" s="9"/>
    </row>
    <row r="27" spans="2:8" x14ac:dyDescent="0.25">
      <c r="B27" s="9"/>
      <c r="C27" s="9"/>
      <c r="D27" s="9"/>
      <c r="E27" s="9"/>
      <c r="F27" s="81" t="s">
        <v>2002</v>
      </c>
      <c r="G27" s="35" t="s">
        <v>2923</v>
      </c>
    </row>
    <row r="28" spans="2:8" x14ac:dyDescent="0.25">
      <c r="B28" s="9"/>
      <c r="C28" s="9"/>
      <c r="D28" s="9"/>
      <c r="E28" s="9"/>
      <c r="F28" s="9" t="s">
        <v>2468</v>
      </c>
      <c r="G28" s="9"/>
    </row>
    <row r="29" spans="2:8" x14ac:dyDescent="0.25">
      <c r="B29" s="9"/>
      <c r="C29" s="9"/>
      <c r="D29" s="9"/>
      <c r="E29" s="9"/>
      <c r="F29" s="9" t="s">
        <v>2469</v>
      </c>
      <c r="G29" s="9"/>
    </row>
    <row r="30" spans="2:8" x14ac:dyDescent="0.25">
      <c r="B30" s="9"/>
      <c r="C30" s="9"/>
      <c r="D30" s="9"/>
      <c r="E30" s="9"/>
      <c r="F30" s="81" t="s">
        <v>2470</v>
      </c>
      <c r="G30" s="9"/>
    </row>
    <row r="31" spans="2:8" x14ac:dyDescent="0.25">
      <c r="B31" s="6"/>
      <c r="C31" s="6"/>
      <c r="D31" s="6"/>
      <c r="E31" s="6"/>
      <c r="F31" s="6" t="s">
        <v>2471</v>
      </c>
      <c r="G31" s="6"/>
    </row>
    <row r="32" spans="2:8" x14ac:dyDescent="0.25">
      <c r="B32" s="8"/>
      <c r="C32" s="8"/>
      <c r="D32" s="8"/>
      <c r="E32" s="8" t="s">
        <v>2459</v>
      </c>
      <c r="F32" s="8" t="s">
        <v>2461</v>
      </c>
      <c r="G32" s="8"/>
    </row>
    <row r="33" spans="2:7" x14ac:dyDescent="0.25">
      <c r="B33" s="85" t="s">
        <v>2458</v>
      </c>
      <c r="C33" s="360" t="s">
        <v>2538</v>
      </c>
      <c r="D33" s="9"/>
      <c r="E33" s="9" t="s">
        <v>2460</v>
      </c>
      <c r="F33" s="9"/>
      <c r="G33" s="35" t="s">
        <v>2923</v>
      </c>
    </row>
    <row r="34" spans="2:7" x14ac:dyDescent="0.25">
      <c r="B34" s="6"/>
      <c r="C34" s="6"/>
      <c r="D34" s="6"/>
      <c r="E34" s="6" t="s">
        <v>2564</v>
      </c>
      <c r="F34" s="6"/>
      <c r="G34" s="6"/>
    </row>
    <row r="35" spans="2:7" x14ac:dyDescent="0.25">
      <c r="B35" s="8"/>
      <c r="C35" s="8"/>
      <c r="D35" s="8"/>
      <c r="E35" s="8" t="s">
        <v>2485</v>
      </c>
      <c r="F35" s="8" t="s">
        <v>2599</v>
      </c>
      <c r="G35" s="8"/>
    </row>
    <row r="36" spans="2:7" x14ac:dyDescent="0.25">
      <c r="B36" s="85" t="s">
        <v>2585</v>
      </c>
      <c r="C36" s="4" t="s">
        <v>2484</v>
      </c>
      <c r="D36" s="9"/>
      <c r="E36" s="9" t="s">
        <v>2486</v>
      </c>
      <c r="F36" s="9"/>
      <c r="G36" s="35" t="s">
        <v>2602</v>
      </c>
    </row>
    <row r="37" spans="2:7" x14ac:dyDescent="0.25">
      <c r="B37" s="5" t="s">
        <v>2483</v>
      </c>
      <c r="C37" s="6"/>
      <c r="D37" s="6"/>
      <c r="E37" s="6"/>
      <c r="F37" s="6"/>
      <c r="G37" s="6"/>
    </row>
    <row r="38" spans="2:7" x14ac:dyDescent="0.25">
      <c r="B38" s="8"/>
      <c r="C38" s="8"/>
      <c r="D38" s="8"/>
      <c r="E38" s="8" t="s">
        <v>2489</v>
      </c>
      <c r="F38" s="8"/>
      <c r="G38" s="8"/>
    </row>
    <row r="39" spans="2:7" x14ac:dyDescent="0.25">
      <c r="B39" s="85" t="s">
        <v>2598</v>
      </c>
      <c r="C39" s="4" t="s">
        <v>2488</v>
      </c>
      <c r="D39" s="9"/>
      <c r="E39" s="9" t="s">
        <v>2486</v>
      </c>
      <c r="F39" s="9" t="s">
        <v>2601</v>
      </c>
      <c r="G39" s="227" t="s">
        <v>2603</v>
      </c>
    </row>
    <row r="40" spans="2:7" x14ac:dyDescent="0.25">
      <c r="B40" s="5" t="s">
        <v>2487</v>
      </c>
      <c r="C40" s="6"/>
      <c r="D40" s="6"/>
      <c r="E40" s="6"/>
      <c r="F40" s="6"/>
      <c r="G40" s="6"/>
    </row>
    <row r="41" spans="2:7" x14ac:dyDescent="0.25">
      <c r="B41" s="8"/>
      <c r="C41" s="8" t="s">
        <v>2493</v>
      </c>
      <c r="D41" s="8"/>
      <c r="E41" s="8" t="s">
        <v>2491</v>
      </c>
      <c r="F41" s="8"/>
      <c r="G41" s="8"/>
    </row>
    <row r="42" spans="2:7" x14ac:dyDescent="0.25">
      <c r="B42" s="85" t="s">
        <v>2490</v>
      </c>
      <c r="C42" s="4" t="s">
        <v>2494</v>
      </c>
      <c r="D42" s="9"/>
      <c r="E42" s="9" t="s">
        <v>2492</v>
      </c>
      <c r="F42" s="9"/>
      <c r="G42" s="9"/>
    </row>
    <row r="43" spans="2:7" x14ac:dyDescent="0.25">
      <c r="B43" s="6"/>
      <c r="C43" s="6"/>
      <c r="D43" s="6"/>
      <c r="E43" s="6"/>
      <c r="F43" s="6"/>
      <c r="G43" s="6"/>
    </row>
    <row r="44" spans="2:7" x14ac:dyDescent="0.25">
      <c r="B44" s="8"/>
      <c r="C44" s="8"/>
      <c r="D44" s="8"/>
      <c r="E44" s="8" t="s">
        <v>2495</v>
      </c>
      <c r="F44" s="8" t="s">
        <v>2586</v>
      </c>
      <c r="G44" s="8"/>
    </row>
    <row r="45" spans="2:7" x14ac:dyDescent="0.25">
      <c r="B45" s="85" t="s">
        <v>2582</v>
      </c>
      <c r="C45" s="9"/>
      <c r="D45" s="9"/>
      <c r="E45" s="9" t="s">
        <v>2496</v>
      </c>
      <c r="F45" s="9" t="s">
        <v>2587</v>
      </c>
      <c r="G45" s="9"/>
    </row>
    <row r="46" spans="2:7" x14ac:dyDescent="0.25">
      <c r="B46" s="6"/>
      <c r="C46" s="6"/>
      <c r="D46" s="6"/>
      <c r="E46" s="6" t="s">
        <v>2497</v>
      </c>
      <c r="F46" s="6"/>
      <c r="G46" s="6"/>
    </row>
    <row r="47" spans="2:7" x14ac:dyDescent="0.25">
      <c r="B47" s="8"/>
      <c r="C47" s="8"/>
      <c r="D47" s="8"/>
      <c r="E47" s="8" t="s">
        <v>2591</v>
      </c>
      <c r="F47" s="8" t="s">
        <v>2595</v>
      </c>
      <c r="G47" s="8"/>
    </row>
    <row r="48" spans="2:7" x14ac:dyDescent="0.25">
      <c r="B48" s="85" t="s">
        <v>2588</v>
      </c>
      <c r="C48" s="4" t="s">
        <v>2590</v>
      </c>
      <c r="D48" s="9"/>
      <c r="E48" s="9" t="s">
        <v>2592</v>
      </c>
      <c r="F48" s="9" t="s">
        <v>2596</v>
      </c>
      <c r="G48" s="9"/>
    </row>
    <row r="49" spans="2:7" x14ac:dyDescent="0.25">
      <c r="B49" s="4" t="s">
        <v>2589</v>
      </c>
      <c r="C49" s="9"/>
      <c r="D49" s="9"/>
      <c r="E49" s="9" t="s">
        <v>2593</v>
      </c>
      <c r="F49" s="9" t="s">
        <v>2597</v>
      </c>
      <c r="G49" s="9"/>
    </row>
    <row r="50" spans="2:7" x14ac:dyDescent="0.25">
      <c r="B50" s="6"/>
      <c r="C50" s="6"/>
      <c r="D50" s="6"/>
      <c r="E50" s="6" t="s">
        <v>2594</v>
      </c>
      <c r="F50" s="6"/>
      <c r="G50" s="6"/>
    </row>
    <row r="51" spans="2:7" x14ac:dyDescent="0.25">
      <c r="B51" s="8"/>
      <c r="C51" s="8"/>
      <c r="D51" s="8"/>
      <c r="E51" s="8" t="s">
        <v>2501</v>
      </c>
      <c r="F51" s="8" t="s">
        <v>2571</v>
      </c>
      <c r="G51" s="8"/>
    </row>
    <row r="52" spans="2:7" x14ac:dyDescent="0.25">
      <c r="B52" s="85" t="s">
        <v>2500</v>
      </c>
      <c r="C52" s="9"/>
      <c r="D52" s="9"/>
      <c r="E52" s="9" t="s">
        <v>2502</v>
      </c>
      <c r="F52" s="9"/>
      <c r="G52" s="9"/>
    </row>
    <row r="53" spans="2:7" x14ac:dyDescent="0.25">
      <c r="B53" s="6"/>
      <c r="C53" s="6"/>
      <c r="D53" s="6"/>
      <c r="E53" s="6"/>
      <c r="F53" s="6"/>
      <c r="G53" s="6"/>
    </row>
    <row r="54" spans="2:7" x14ac:dyDescent="0.25">
      <c r="B54" s="8"/>
      <c r="C54" s="8"/>
      <c r="D54" s="8"/>
      <c r="E54" s="8" t="s">
        <v>2505</v>
      </c>
      <c r="F54" s="8"/>
      <c r="G54" s="8"/>
    </row>
    <row r="55" spans="2:7" x14ac:dyDescent="0.25">
      <c r="B55" s="85" t="s">
        <v>2504</v>
      </c>
      <c r="C55" s="9"/>
      <c r="D55" s="9"/>
      <c r="E55" s="9" t="s">
        <v>2506</v>
      </c>
      <c r="F55" s="9"/>
      <c r="G55" s="9"/>
    </row>
    <row r="56" spans="2:7" x14ac:dyDescent="0.25">
      <c r="B56" s="6"/>
      <c r="C56" s="6"/>
      <c r="D56" s="6"/>
      <c r="E56" s="6"/>
      <c r="F56" s="6"/>
      <c r="G56" s="6"/>
    </row>
    <row r="57" spans="2:7" x14ac:dyDescent="0.25">
      <c r="B57" s="8"/>
      <c r="C57" s="8"/>
      <c r="D57" s="8"/>
      <c r="E57" s="8" t="s">
        <v>2508</v>
      </c>
      <c r="F57" s="8"/>
      <c r="G57" s="8"/>
    </row>
    <row r="58" spans="2:7" x14ac:dyDescent="0.25">
      <c r="B58" s="85" t="s">
        <v>2503</v>
      </c>
      <c r="C58" s="9" t="s">
        <v>2512</v>
      </c>
      <c r="D58" s="9"/>
      <c r="E58" s="9" t="s">
        <v>2509</v>
      </c>
      <c r="F58" s="9"/>
      <c r="G58" s="9"/>
    </row>
    <row r="59" spans="2:7" x14ac:dyDescent="0.25">
      <c r="B59" s="6"/>
      <c r="C59" s="6"/>
      <c r="D59" s="6"/>
      <c r="E59" s="6"/>
      <c r="F59" s="6"/>
      <c r="G59" s="6"/>
    </row>
    <row r="60" spans="2:7" x14ac:dyDescent="0.25">
      <c r="B60" s="8"/>
      <c r="C60" s="8"/>
      <c r="D60" s="8"/>
      <c r="E60" s="8" t="s">
        <v>2510</v>
      </c>
      <c r="F60" s="8" t="s">
        <v>2514</v>
      </c>
      <c r="G60" s="8"/>
    </row>
    <row r="61" spans="2:7" x14ac:dyDescent="0.25">
      <c r="B61" s="85" t="s">
        <v>2507</v>
      </c>
      <c r="C61" s="9" t="s">
        <v>2549</v>
      </c>
      <c r="D61" s="9"/>
      <c r="E61" s="9" t="s">
        <v>2511</v>
      </c>
      <c r="F61" s="9" t="s">
        <v>2574</v>
      </c>
      <c r="G61" s="9"/>
    </row>
    <row r="62" spans="2:7" x14ac:dyDescent="0.25">
      <c r="B62" s="9"/>
      <c r="C62" s="9"/>
      <c r="D62" s="9"/>
      <c r="E62" s="9" t="s">
        <v>2513</v>
      </c>
      <c r="F62" s="9"/>
      <c r="G62" s="9"/>
    </row>
    <row r="63" spans="2:7" x14ac:dyDescent="0.25">
      <c r="B63" s="8"/>
      <c r="C63" s="8"/>
      <c r="D63" s="8"/>
      <c r="E63" s="8" t="s">
        <v>2518</v>
      </c>
      <c r="F63" s="8" t="s">
        <v>2519</v>
      </c>
      <c r="G63" s="8"/>
    </row>
    <row r="64" spans="2:7" x14ac:dyDescent="0.25">
      <c r="B64" s="9"/>
      <c r="C64" s="9"/>
      <c r="D64" s="9"/>
      <c r="E64" s="9" t="s">
        <v>2522</v>
      </c>
      <c r="F64" s="9" t="s">
        <v>2520</v>
      </c>
      <c r="G64" s="9"/>
    </row>
    <row r="65" spans="2:8" x14ac:dyDescent="0.25">
      <c r="B65" s="9"/>
      <c r="C65" s="9"/>
      <c r="D65" s="9"/>
      <c r="E65" s="9"/>
      <c r="F65" s="9" t="s">
        <v>2521</v>
      </c>
      <c r="G65" s="35" t="s">
        <v>2728</v>
      </c>
    </row>
    <row r="66" spans="2:8" x14ac:dyDescent="0.25">
      <c r="B66" s="85" t="s">
        <v>2515</v>
      </c>
      <c r="C66" s="4" t="s">
        <v>2516</v>
      </c>
      <c r="D66" s="9"/>
      <c r="E66" s="9"/>
      <c r="F66" s="9" t="s">
        <v>2520</v>
      </c>
      <c r="G66" s="9" t="s">
        <v>2729</v>
      </c>
    </row>
    <row r="67" spans="2:8" x14ac:dyDescent="0.25">
      <c r="B67" s="9"/>
      <c r="C67" s="9" t="s">
        <v>2517</v>
      </c>
      <c r="D67" s="9"/>
      <c r="E67" s="9"/>
      <c r="F67" s="9" t="s">
        <v>2523</v>
      </c>
      <c r="G67" s="9"/>
    </row>
    <row r="68" spans="2:8" x14ac:dyDescent="0.25">
      <c r="B68" s="9"/>
      <c r="C68" s="9"/>
      <c r="D68" s="9"/>
      <c r="E68" s="9"/>
      <c r="F68" s="9" t="s">
        <v>2524</v>
      </c>
      <c r="G68" s="9"/>
    </row>
    <row r="69" spans="2:8" x14ac:dyDescent="0.25">
      <c r="B69" s="9"/>
      <c r="C69" s="9"/>
      <c r="D69" s="9"/>
      <c r="E69" s="9"/>
      <c r="F69" s="9" t="s">
        <v>2525</v>
      </c>
      <c r="G69" s="9"/>
    </row>
    <row r="70" spans="2:8" x14ac:dyDescent="0.25">
      <c r="B70" s="6"/>
      <c r="C70" s="6"/>
      <c r="D70" s="6"/>
      <c r="E70" s="6"/>
      <c r="F70" s="6" t="s">
        <v>2526</v>
      </c>
      <c r="G70" s="6"/>
    </row>
    <row r="71" spans="2:8" x14ac:dyDescent="0.25">
      <c r="B71" s="8"/>
      <c r="C71" s="8"/>
      <c r="E71" s="8" t="s">
        <v>2532</v>
      </c>
      <c r="F71" s="8"/>
      <c r="G71" s="8"/>
    </row>
    <row r="72" spans="2:8" x14ac:dyDescent="0.25">
      <c r="B72" s="85" t="s">
        <v>2527</v>
      </c>
      <c r="C72" s="85" t="s">
        <v>2529</v>
      </c>
      <c r="E72" s="9"/>
      <c r="F72" s="9"/>
      <c r="G72" s="9"/>
    </row>
    <row r="73" spans="2:8" x14ac:dyDescent="0.25">
      <c r="B73" s="4" t="s">
        <v>2528</v>
      </c>
      <c r="C73" s="9"/>
      <c r="E73" s="9"/>
      <c r="F73" s="9"/>
      <c r="G73" s="9"/>
    </row>
    <row r="74" spans="2:8" x14ac:dyDescent="0.25">
      <c r="B74" s="6"/>
      <c r="C74" s="6"/>
      <c r="E74" s="6"/>
      <c r="F74" s="6"/>
      <c r="G74" s="6"/>
    </row>
    <row r="75" spans="2:8" x14ac:dyDescent="0.25">
      <c r="B75" s="8"/>
      <c r="C75" s="8"/>
      <c r="D75" s="8"/>
      <c r="E75" s="8" t="s">
        <v>2531</v>
      </c>
      <c r="F75" s="8"/>
      <c r="G75" s="8"/>
    </row>
    <row r="76" spans="2:8" x14ac:dyDescent="0.25">
      <c r="B76" s="85" t="s">
        <v>2530</v>
      </c>
      <c r="C76" s="9"/>
      <c r="D76" s="9"/>
      <c r="E76" s="9"/>
      <c r="F76" s="9"/>
      <c r="G76" s="9"/>
    </row>
    <row r="77" spans="2:8" x14ac:dyDescent="0.25">
      <c r="B77" s="6"/>
      <c r="C77" s="6"/>
      <c r="D77" s="6"/>
      <c r="E77" s="6"/>
      <c r="F77" s="6"/>
      <c r="G77" s="6"/>
    </row>
    <row r="78" spans="2:8" x14ac:dyDescent="0.25">
      <c r="B78" s="8"/>
      <c r="C78" s="8"/>
      <c r="D78" s="8"/>
      <c r="E78" s="8" t="s">
        <v>2536</v>
      </c>
      <c r="F78" s="8"/>
      <c r="G78" s="8"/>
      <c r="H78" s="1" t="s">
        <v>2548</v>
      </c>
    </row>
    <row r="79" spans="2:8" x14ac:dyDescent="0.25">
      <c r="B79" s="85" t="s">
        <v>2534</v>
      </c>
      <c r="C79" s="4" t="s">
        <v>2535</v>
      </c>
      <c r="D79" s="9"/>
      <c r="E79" s="9" t="s">
        <v>2537</v>
      </c>
      <c r="F79" s="9"/>
      <c r="G79" s="9"/>
    </row>
    <row r="80" spans="2:8" x14ac:dyDescent="0.25">
      <c r="B80" s="6"/>
      <c r="C80" s="6"/>
      <c r="D80" s="6"/>
      <c r="E80" s="6"/>
      <c r="F80" s="6"/>
      <c r="G80" s="6"/>
    </row>
    <row r="81" spans="2:7" x14ac:dyDescent="0.25">
      <c r="B81" s="8"/>
      <c r="C81" s="8"/>
      <c r="D81" s="8"/>
      <c r="E81" s="8" t="s">
        <v>2542</v>
      </c>
      <c r="F81" s="96" t="s">
        <v>2545</v>
      </c>
      <c r="G81" s="8"/>
    </row>
    <row r="82" spans="2:7" x14ac:dyDescent="0.25">
      <c r="B82" s="9"/>
      <c r="C82" s="81" t="s">
        <v>2539</v>
      </c>
      <c r="D82" s="9"/>
      <c r="E82" s="9" t="s">
        <v>2540</v>
      </c>
      <c r="F82" s="9" t="s">
        <v>2546</v>
      </c>
      <c r="G82" s="9"/>
    </row>
    <row r="83" spans="2:7" x14ac:dyDescent="0.25">
      <c r="B83" s="85" t="s">
        <v>2533</v>
      </c>
      <c r="C83" s="9" t="s">
        <v>2544</v>
      </c>
      <c r="D83" s="9"/>
      <c r="E83" s="9" t="s">
        <v>2541</v>
      </c>
      <c r="F83" s="9" t="s">
        <v>2547</v>
      </c>
      <c r="G83" s="9"/>
    </row>
    <row r="84" spans="2:7" x14ac:dyDescent="0.25">
      <c r="B84" s="6"/>
      <c r="C84" s="6" t="s">
        <v>2543</v>
      </c>
      <c r="D84" s="6"/>
      <c r="E84" s="6"/>
      <c r="F84" s="6"/>
      <c r="G84" s="6"/>
    </row>
    <row r="85" spans="2:7" x14ac:dyDescent="0.25">
      <c r="B85" s="8"/>
      <c r="C85" s="8"/>
      <c r="D85" s="8"/>
      <c r="E85" s="8"/>
      <c r="F85" s="8" t="s">
        <v>2555</v>
      </c>
      <c r="G85" s="8"/>
    </row>
    <row r="86" spans="2:7" x14ac:dyDescent="0.25">
      <c r="B86" s="9"/>
      <c r="C86" s="81" t="s">
        <v>2551</v>
      </c>
      <c r="D86" s="9"/>
      <c r="E86" s="9"/>
      <c r="F86" s="9" t="s">
        <v>2554</v>
      </c>
      <c r="G86" s="9"/>
    </row>
    <row r="87" spans="2:7" x14ac:dyDescent="0.25">
      <c r="B87" s="85" t="s">
        <v>2550</v>
      </c>
      <c r="C87" s="81" t="s">
        <v>2552</v>
      </c>
      <c r="D87" s="9"/>
      <c r="E87" s="9"/>
      <c r="F87" s="9" t="s">
        <v>2575</v>
      </c>
      <c r="G87" s="9"/>
    </row>
    <row r="88" spans="2:7" x14ac:dyDescent="0.25">
      <c r="B88" s="6"/>
      <c r="C88" s="100" t="s">
        <v>2553</v>
      </c>
      <c r="D88" s="6"/>
      <c r="E88" s="6"/>
      <c r="F88" s="6"/>
      <c r="G88" s="6"/>
    </row>
    <row r="89" spans="2:7" x14ac:dyDescent="0.25">
      <c r="B89" s="8"/>
      <c r="C89" s="8"/>
      <c r="D89" s="8"/>
      <c r="E89" s="8"/>
      <c r="F89" s="96" t="s">
        <v>3032</v>
      </c>
      <c r="G89" s="8"/>
    </row>
    <row r="90" spans="2:7" x14ac:dyDescent="0.25">
      <c r="B90" s="9"/>
      <c r="C90" s="9"/>
      <c r="D90" s="9"/>
      <c r="E90" s="9"/>
      <c r="F90" s="9" t="s">
        <v>2557</v>
      </c>
      <c r="G90" s="9"/>
    </row>
    <row r="91" spans="2:7" x14ac:dyDescent="0.25">
      <c r="B91" s="9"/>
      <c r="C91" s="9"/>
      <c r="D91" s="9"/>
      <c r="E91" s="9"/>
      <c r="F91" s="9" t="s">
        <v>2560</v>
      </c>
      <c r="G91" s="9"/>
    </row>
    <row r="92" spans="2:7" x14ac:dyDescent="0.25">
      <c r="B92" s="85" t="s">
        <v>2556</v>
      </c>
      <c r="C92" s="9"/>
      <c r="D92" s="9"/>
      <c r="E92" s="9"/>
      <c r="F92" s="9" t="s">
        <v>2559</v>
      </c>
      <c r="G92" s="9"/>
    </row>
    <row r="93" spans="2:7" x14ac:dyDescent="0.25">
      <c r="B93" s="9"/>
      <c r="C93" s="9"/>
      <c r="D93" s="9"/>
      <c r="E93" s="9"/>
      <c r="F93" s="9" t="s">
        <v>2558</v>
      </c>
      <c r="G93" s="9"/>
    </row>
    <row r="94" spans="2:7" x14ac:dyDescent="0.25">
      <c r="B94" s="9"/>
      <c r="C94" s="9"/>
      <c r="D94" s="9"/>
      <c r="E94" s="9"/>
      <c r="F94" s="9" t="s">
        <v>2561</v>
      </c>
      <c r="G94" s="9"/>
    </row>
    <row r="95" spans="2:7" x14ac:dyDescent="0.25">
      <c r="B95" s="9"/>
      <c r="C95" s="9"/>
      <c r="D95" s="9"/>
      <c r="E95" s="9"/>
      <c r="F95" s="9" t="s">
        <v>2562</v>
      </c>
      <c r="G95" s="9"/>
    </row>
    <row r="96" spans="2:7" x14ac:dyDescent="0.25">
      <c r="B96" s="6"/>
      <c r="C96" s="6"/>
      <c r="D96" s="6"/>
      <c r="E96" s="6"/>
      <c r="F96" s="6" t="s">
        <v>2563</v>
      </c>
      <c r="G96" s="6"/>
    </row>
    <row r="97" spans="2:7" x14ac:dyDescent="0.25">
      <c r="B97" s="8"/>
      <c r="C97" s="96" t="s">
        <v>2566</v>
      </c>
      <c r="D97" s="8"/>
      <c r="E97" s="8" t="s">
        <v>2572</v>
      </c>
      <c r="F97" s="8"/>
      <c r="G97" s="8"/>
    </row>
    <row r="98" spans="2:7" x14ac:dyDescent="0.25">
      <c r="B98" s="9"/>
      <c r="C98" s="9" t="s">
        <v>2567</v>
      </c>
      <c r="D98" s="9"/>
      <c r="E98" s="9" t="s">
        <v>2573</v>
      </c>
      <c r="F98" s="9"/>
      <c r="G98" s="9"/>
    </row>
    <row r="99" spans="2:7" x14ac:dyDescent="0.25">
      <c r="B99" s="85" t="s">
        <v>2565</v>
      </c>
      <c r="C99" s="9" t="s">
        <v>2552</v>
      </c>
      <c r="D99" s="9"/>
      <c r="E99" s="9"/>
      <c r="F99" s="9"/>
      <c r="G99" s="9"/>
    </row>
    <row r="100" spans="2:7" x14ac:dyDescent="0.25">
      <c r="B100" s="6"/>
      <c r="C100" s="6" t="s">
        <v>2568</v>
      </c>
      <c r="D100" s="6"/>
      <c r="E100" s="6"/>
      <c r="F100" s="6"/>
      <c r="G100" s="6"/>
    </row>
    <row r="101" spans="2:7" x14ac:dyDescent="0.25">
      <c r="B101" s="8"/>
      <c r="C101" s="8"/>
      <c r="D101" s="8"/>
      <c r="E101" s="8"/>
      <c r="F101" s="8" t="s">
        <v>2581</v>
      </c>
      <c r="G101" s="8"/>
    </row>
    <row r="102" spans="2:7" x14ac:dyDescent="0.25">
      <c r="B102" s="9"/>
      <c r="C102" s="9" t="s">
        <v>2577</v>
      </c>
      <c r="D102" s="9"/>
      <c r="E102" s="9"/>
      <c r="F102" s="9" t="s">
        <v>2580</v>
      </c>
      <c r="G102" s="9"/>
    </row>
    <row r="103" spans="2:7" x14ac:dyDescent="0.25">
      <c r="B103" s="85" t="s">
        <v>2576</v>
      </c>
      <c r="C103" s="9" t="s">
        <v>2578</v>
      </c>
      <c r="D103" s="9"/>
      <c r="E103" s="9"/>
      <c r="F103" s="9" t="s">
        <v>2583</v>
      </c>
      <c r="G103" s="9"/>
    </row>
    <row r="104" spans="2:7" x14ac:dyDescent="0.25">
      <c r="B104" s="6"/>
      <c r="C104" s="6" t="s">
        <v>2579</v>
      </c>
      <c r="D104" s="6"/>
      <c r="E104" s="6"/>
      <c r="F104" s="6" t="s">
        <v>2584</v>
      </c>
      <c r="G104" s="6"/>
    </row>
    <row r="105" spans="2:7" x14ac:dyDescent="0.25">
      <c r="B105" s="8"/>
      <c r="C105" s="8"/>
      <c r="D105" s="8"/>
      <c r="E105" s="8"/>
      <c r="F105" s="8"/>
      <c r="G105" s="8"/>
    </row>
    <row r="106" spans="2:7" x14ac:dyDescent="0.25">
      <c r="B106" s="85" t="s">
        <v>2716</v>
      </c>
      <c r="C106" s="9"/>
      <c r="D106" s="9"/>
      <c r="E106" s="9"/>
      <c r="F106" s="9"/>
      <c r="G106" s="35" t="s">
        <v>2717</v>
      </c>
    </row>
    <row r="107" spans="2:7" x14ac:dyDescent="0.25">
      <c r="B107" s="6"/>
      <c r="C107" s="6"/>
      <c r="D107" s="6"/>
      <c r="E107" s="6"/>
      <c r="F107" s="6"/>
      <c r="G107" s="6"/>
    </row>
    <row r="108" spans="2:7" x14ac:dyDescent="0.25">
      <c r="B108" s="593" t="s">
        <v>2604</v>
      </c>
      <c r="C108" s="591"/>
      <c r="D108" s="591"/>
      <c r="E108" s="591"/>
      <c r="F108" s="591"/>
      <c r="G108" s="592"/>
    </row>
    <row r="109" spans="2:7" x14ac:dyDescent="0.25">
      <c r="B109" s="8"/>
      <c r="C109" s="8"/>
      <c r="D109" s="8"/>
      <c r="E109" s="8" t="s">
        <v>2609</v>
      </c>
      <c r="F109" s="8" t="s">
        <v>2612</v>
      </c>
      <c r="G109" s="8"/>
    </row>
    <row r="110" spans="2:7" x14ac:dyDescent="0.25">
      <c r="B110" s="9"/>
      <c r="C110" s="9"/>
      <c r="D110" s="9"/>
      <c r="E110" s="9" t="s">
        <v>2610</v>
      </c>
      <c r="F110" s="9" t="s">
        <v>2613</v>
      </c>
      <c r="G110" s="35" t="s">
        <v>2607</v>
      </c>
    </row>
    <row r="111" spans="2:7" x14ac:dyDescent="0.25">
      <c r="B111" s="85" t="s">
        <v>2608</v>
      </c>
      <c r="C111" s="9"/>
      <c r="D111" s="9"/>
      <c r="E111" s="9" t="s">
        <v>2605</v>
      </c>
      <c r="F111" s="9" t="s">
        <v>2614</v>
      </c>
      <c r="G111" s="9"/>
    </row>
    <row r="112" spans="2:7" x14ac:dyDescent="0.25">
      <c r="B112" s="9"/>
      <c r="C112" s="9"/>
      <c r="D112" s="9"/>
      <c r="E112" s="9" t="s">
        <v>2606</v>
      </c>
      <c r="F112" s="9" t="s">
        <v>2615</v>
      </c>
      <c r="G112" s="9"/>
    </row>
    <row r="113" spans="2:7" x14ac:dyDescent="0.25">
      <c r="B113" s="9"/>
      <c r="C113" s="9"/>
      <c r="D113" s="9"/>
      <c r="E113" s="81" t="s">
        <v>3028</v>
      </c>
      <c r="F113" s="9"/>
      <c r="G113" s="9"/>
    </row>
    <row r="114" spans="2:7" x14ac:dyDescent="0.25">
      <c r="B114" s="6"/>
      <c r="C114" s="6"/>
      <c r="D114" s="6"/>
      <c r="E114" s="6" t="s">
        <v>2611</v>
      </c>
      <c r="F114" s="6"/>
      <c r="G114" s="6"/>
    </row>
    <row r="115" spans="2:7" x14ac:dyDescent="0.25">
      <c r="B115" s="8"/>
      <c r="C115" s="8"/>
      <c r="D115" s="8"/>
      <c r="E115" s="8" t="s">
        <v>2618</v>
      </c>
      <c r="F115" s="8"/>
      <c r="G115" s="8"/>
    </row>
    <row r="116" spans="2:7" x14ac:dyDescent="0.25">
      <c r="B116" s="360" t="s">
        <v>2623</v>
      </c>
      <c r="C116" s="9"/>
      <c r="D116" s="9"/>
      <c r="E116" s="9"/>
      <c r="F116" s="9"/>
      <c r="G116" s="35" t="s">
        <v>2619</v>
      </c>
    </row>
    <row r="117" spans="2:7" x14ac:dyDescent="0.25">
      <c r="B117" s="5" t="s">
        <v>2622</v>
      </c>
      <c r="C117" s="6"/>
      <c r="D117" s="6"/>
      <c r="E117" s="6"/>
      <c r="F117" s="6"/>
      <c r="G117" s="6"/>
    </row>
    <row r="118" spans="2:7" x14ac:dyDescent="0.25">
      <c r="B118" s="8"/>
      <c r="C118" s="8"/>
      <c r="D118" s="8"/>
      <c r="E118" s="8" t="s">
        <v>2633</v>
      </c>
      <c r="F118" s="8"/>
      <c r="G118" s="8"/>
    </row>
    <row r="119" spans="2:7" x14ac:dyDescent="0.25">
      <c r="B119" s="85" t="s">
        <v>2632</v>
      </c>
      <c r="C119" s="9"/>
      <c r="D119" s="9"/>
      <c r="E119" s="9" t="s">
        <v>2634</v>
      </c>
      <c r="F119" s="9"/>
      <c r="G119" s="9"/>
    </row>
    <row r="120" spans="2:7" x14ac:dyDescent="0.25">
      <c r="B120" s="6"/>
      <c r="C120" s="6"/>
      <c r="D120" s="6"/>
      <c r="E120" s="6"/>
      <c r="F120" s="6"/>
      <c r="G120" s="6"/>
    </row>
    <row r="121" spans="2:7" x14ac:dyDescent="0.25">
      <c r="B121" s="8"/>
      <c r="C121" s="8"/>
      <c r="D121" s="8"/>
      <c r="E121" s="8" t="s">
        <v>2625</v>
      </c>
      <c r="F121" s="8" t="s">
        <v>2631</v>
      </c>
      <c r="G121" s="8"/>
    </row>
    <row r="122" spans="2:7" x14ac:dyDescent="0.25">
      <c r="B122" s="85" t="s">
        <v>2624</v>
      </c>
      <c r="C122" s="9"/>
      <c r="D122" s="9"/>
      <c r="E122" s="9"/>
      <c r="F122" s="9"/>
      <c r="G122" s="35" t="s">
        <v>2744</v>
      </c>
    </row>
    <row r="123" spans="2:7" x14ac:dyDescent="0.25">
      <c r="B123" s="6"/>
      <c r="C123" s="6"/>
      <c r="D123" s="6"/>
      <c r="E123" s="6"/>
      <c r="F123" s="6"/>
      <c r="G123" s="6"/>
    </row>
    <row r="124" spans="2:7" x14ac:dyDescent="0.25">
      <c r="B124" s="8"/>
      <c r="C124" s="8"/>
      <c r="D124" s="8"/>
      <c r="E124" s="8" t="s">
        <v>2627</v>
      </c>
      <c r="F124" s="8"/>
      <c r="G124" s="8"/>
    </row>
    <row r="125" spans="2:7" x14ac:dyDescent="0.25">
      <c r="B125" s="85" t="s">
        <v>2626</v>
      </c>
      <c r="C125" s="9"/>
      <c r="D125" s="9"/>
      <c r="E125" s="9" t="s">
        <v>2628</v>
      </c>
      <c r="F125" s="9"/>
      <c r="G125" s="9"/>
    </row>
    <row r="126" spans="2:7" x14ac:dyDescent="0.25">
      <c r="B126" s="6"/>
      <c r="C126" s="6"/>
      <c r="D126" s="6"/>
      <c r="E126" s="6" t="s">
        <v>2629</v>
      </c>
      <c r="F126" s="6"/>
      <c r="G126" s="6"/>
    </row>
    <row r="127" spans="2:7" x14ac:dyDescent="0.25">
      <c r="B127" s="8"/>
      <c r="C127" s="8"/>
      <c r="D127" s="8"/>
      <c r="E127" s="8"/>
      <c r="F127" s="8"/>
      <c r="G127" s="8"/>
    </row>
    <row r="128" spans="2:7" x14ac:dyDescent="0.25">
      <c r="B128" s="81" t="s">
        <v>2630</v>
      </c>
      <c r="C128" s="9"/>
      <c r="D128" s="9"/>
      <c r="E128" s="9"/>
      <c r="F128" s="9"/>
      <c r="G128" s="9"/>
    </row>
    <row r="129" spans="2:7" x14ac:dyDescent="0.25">
      <c r="B129" s="6"/>
      <c r="C129" s="845" t="s">
        <v>2899</v>
      </c>
      <c r="D129" s="6"/>
      <c r="E129" s="6"/>
      <c r="F129" s="6"/>
      <c r="G129" s="6"/>
    </row>
    <row r="130" spans="2:7" x14ac:dyDescent="0.25">
      <c r="B130" s="8"/>
      <c r="C130" s="8"/>
      <c r="D130" s="8"/>
      <c r="E130" s="8" t="s">
        <v>2636</v>
      </c>
      <c r="F130" s="8" t="s">
        <v>2640</v>
      </c>
      <c r="G130" s="8"/>
    </row>
    <row r="131" spans="2:7" x14ac:dyDescent="0.25">
      <c r="B131" s="85" t="s">
        <v>2635</v>
      </c>
      <c r="C131" s="9"/>
      <c r="D131" s="9"/>
      <c r="E131" s="9" t="s">
        <v>2637</v>
      </c>
      <c r="F131" s="9" t="s">
        <v>2641</v>
      </c>
      <c r="G131" s="9"/>
    </row>
    <row r="132" spans="2:7" x14ac:dyDescent="0.25">
      <c r="B132" s="759" t="s">
        <v>2642</v>
      </c>
      <c r="C132" s="9"/>
      <c r="D132" s="9"/>
      <c r="E132" s="9" t="s">
        <v>2638</v>
      </c>
      <c r="F132" s="9"/>
      <c r="G132" s="9"/>
    </row>
    <row r="133" spans="2:7" x14ac:dyDescent="0.25">
      <c r="B133" s="6"/>
      <c r="C133" s="845" t="s">
        <v>2900</v>
      </c>
      <c r="D133" s="6"/>
      <c r="E133" s="6" t="s">
        <v>2639</v>
      </c>
      <c r="F133" s="6"/>
      <c r="G133" s="6"/>
    </row>
    <row r="134" spans="2:7" x14ac:dyDescent="0.25">
      <c r="B134" s="8"/>
      <c r="C134" s="8"/>
      <c r="D134" s="8"/>
      <c r="E134" s="8"/>
      <c r="F134" s="8"/>
      <c r="G134" s="8"/>
    </row>
    <row r="135" spans="2:7" x14ac:dyDescent="0.25">
      <c r="B135" s="85" t="s">
        <v>2643</v>
      </c>
      <c r="C135" s="9"/>
      <c r="D135" s="9"/>
      <c r="E135" s="9"/>
      <c r="F135" s="9"/>
      <c r="G135" s="9"/>
    </row>
    <row r="136" spans="2:7" x14ac:dyDescent="0.25">
      <c r="B136" s="6"/>
      <c r="C136" s="845" t="s">
        <v>2901</v>
      </c>
      <c r="D136" s="6"/>
      <c r="E136" s="6"/>
      <c r="F136" s="6"/>
      <c r="G136" s="6"/>
    </row>
  </sheetData>
  <mergeCells count="2">
    <mergeCell ref="B7:G8"/>
    <mergeCell ref="C5:E6"/>
  </mergeCells>
  <phoneticPr fontId="18" type="noConversion"/>
  <hyperlinks>
    <hyperlink ref="A3" location="Regnskaber!A1" display="Regnskaber!A1" xr:uid="{00000000-0004-0000-0300-000000000000}"/>
    <hyperlink ref="B3" location="Investeringsteori!A1" display="Investeringsteori!A1" xr:uid="{00000000-0004-0000-0300-000001000000}"/>
    <hyperlink ref="A5" location="Finansieringsteori!A1" display="Finansieringsteori!A1" xr:uid="{00000000-0004-0000-0300-000002000000}"/>
    <hyperlink ref="G36" location="'Stordriftsfordele - eks'!A1" display="'Stordriftsfordele - eks'!A1" xr:uid="{00000000-0004-0000-0300-000003000000}"/>
    <hyperlink ref="G39" location="'Skalaulemper - eks'!A1" display="'Skalaulemper - eks'!A1" xr:uid="{00000000-0004-0000-0300-000004000000}"/>
    <hyperlink ref="G110" location="'Principal-agent-problemet -eks'!A1" display="'Principal-agent-problemet -eks'!A1" xr:uid="{00000000-0004-0000-0300-000005000000}"/>
    <hyperlink ref="G116" location="'Incitament baseret afløning -ek'!A1" display="'Incitament baseret afløning -ek'!A1" xr:uid="{00000000-0004-0000-0300-000006000000}"/>
    <hyperlink ref="G106" location="'Virksomheds undersøgelse - eks'!A1" display="'Virksomheds undersøgelse - eks'!A1" xr:uid="{00000000-0004-0000-0300-000007000000}"/>
    <hyperlink ref="G65" location="'Elastisitet - eksempel'!A1" display="'Elastisitet - eksempel'!A1" xr:uid="{00000000-0004-0000-0300-000008000000}"/>
    <hyperlink ref="G122" location="'Make-or-Buy - eks'!A1" display="'Make-or-Buy - eks'!A1" xr:uid="{00000000-0004-0000-0300-000009000000}"/>
    <hyperlink ref="C129" r:id="rId1" xr:uid="{00000000-0004-0000-0300-00000A000000}"/>
    <hyperlink ref="C133" r:id="rId2" xr:uid="{00000000-0004-0000-0300-00000B000000}"/>
    <hyperlink ref="C136" r:id="rId3" xr:uid="{00000000-0004-0000-0300-00000C000000}"/>
    <hyperlink ref="G14" location="'Optimal prissætning - eks'!A1" display="'Optimal prissætning - eks'!A1" xr:uid="{00000000-0004-0000-0300-00000D000000}"/>
    <hyperlink ref="G18" location="'Optimal prissætning - eks'!A1" display="'Optimal prissætning - eks'!A1" xr:uid="{00000000-0004-0000-0300-00000E000000}"/>
    <hyperlink ref="G27" location="'Optimal prissætning - eks'!A1" display="'Optimal prissætning - eks'!A1" xr:uid="{00000000-0004-0000-0300-00000F000000}"/>
    <hyperlink ref="G33" location="'Optimal prissætning - eks'!A1" display="'Optimal prissætning - eks'!A1" xr:uid="{00000000-0004-0000-0300-000010000000}"/>
  </hyperlinks>
  <pageMargins left="0.75" right="0.75" top="1" bottom="1" header="0.5" footer="0.5"/>
  <pageSetup paperSize="9" orientation="portrait" horizontalDpi="4294967292" verticalDpi="4294967292"/>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2:I46"/>
  <sheetViews>
    <sheetView topLeftCell="A2" workbookViewId="0"/>
  </sheetViews>
  <sheetFormatPr defaultColWidth="10.875" defaultRowHeight="15.75" x14ac:dyDescent="0.25"/>
  <cols>
    <col min="1" max="1" width="22.375" style="1" customWidth="1"/>
    <col min="2" max="2" width="18.125" style="1" customWidth="1"/>
    <col min="3" max="3" width="26.875" style="1" customWidth="1"/>
    <col min="4" max="4" width="12.5" style="1" customWidth="1"/>
    <col min="5" max="5" width="28.375" style="1" customWidth="1"/>
    <col min="6" max="6" width="10.875" style="1"/>
    <col min="7" max="7" width="18" style="1" customWidth="1"/>
    <col min="8" max="16384" width="10.875" style="1"/>
  </cols>
  <sheetData>
    <row r="2" spans="1:9" x14ac:dyDescent="0.25">
      <c r="F2" s="952" t="s">
        <v>1220</v>
      </c>
      <c r="G2" s="952"/>
    </row>
    <row r="6" spans="1:9" x14ac:dyDescent="0.25">
      <c r="A6" s="16" t="s">
        <v>19</v>
      </c>
      <c r="B6" s="16"/>
      <c r="C6" s="16"/>
      <c r="D6" s="16"/>
      <c r="E6" s="16"/>
      <c r="F6" s="16"/>
      <c r="G6" s="16"/>
      <c r="H6" s="16"/>
      <c r="I6" s="16"/>
    </row>
    <row r="7" spans="1:9" x14ac:dyDescent="0.25">
      <c r="A7" s="16"/>
      <c r="B7" s="16"/>
      <c r="C7" s="16"/>
      <c r="D7" s="16"/>
      <c r="E7" s="16"/>
      <c r="F7" s="16"/>
      <c r="G7" s="16"/>
      <c r="H7" s="16"/>
      <c r="I7" s="16"/>
    </row>
    <row r="8" spans="1:9" x14ac:dyDescent="0.25">
      <c r="A8" s="17"/>
      <c r="B8" s="16"/>
      <c r="C8" s="16"/>
      <c r="D8" s="16"/>
      <c r="E8" s="16"/>
      <c r="F8" s="16"/>
      <c r="G8" s="16"/>
      <c r="H8" s="16"/>
      <c r="I8" s="16"/>
    </row>
    <row r="9" spans="1:9" x14ac:dyDescent="0.25">
      <c r="A9" s="18" t="s">
        <v>20</v>
      </c>
      <c r="B9" s="19" t="s">
        <v>21</v>
      </c>
      <c r="C9" s="19" t="s">
        <v>22</v>
      </c>
      <c r="D9" s="19"/>
      <c r="E9" s="16"/>
      <c r="F9" s="16"/>
      <c r="G9" s="16"/>
      <c r="H9" s="16"/>
      <c r="I9" s="16"/>
    </row>
    <row r="10" spans="1:9" x14ac:dyDescent="0.25">
      <c r="A10" s="20" t="s">
        <v>23</v>
      </c>
      <c r="B10" s="21">
        <v>360000</v>
      </c>
      <c r="C10" s="22">
        <v>360000</v>
      </c>
      <c r="D10" s="24"/>
      <c r="E10" s="16"/>
      <c r="F10" s="16"/>
      <c r="G10" s="16"/>
      <c r="H10" s="16"/>
      <c r="I10" s="16"/>
    </row>
    <row r="11" spans="1:9" x14ac:dyDescent="0.25">
      <c r="A11" s="23" t="s">
        <v>24</v>
      </c>
      <c r="B11" s="24">
        <v>80000</v>
      </c>
      <c r="C11" s="25">
        <v>160000</v>
      </c>
      <c r="D11" s="24"/>
      <c r="E11" s="16"/>
      <c r="F11" s="16"/>
      <c r="G11" s="16"/>
      <c r="H11" s="16"/>
      <c r="I11" s="16"/>
    </row>
    <row r="12" spans="1:9" x14ac:dyDescent="0.25">
      <c r="A12" s="26" t="s">
        <v>25</v>
      </c>
      <c r="B12" s="27">
        <v>280000</v>
      </c>
      <c r="C12" s="28">
        <v>200000</v>
      </c>
      <c r="D12" s="24"/>
      <c r="E12" s="16"/>
      <c r="F12" s="16"/>
      <c r="G12" s="16"/>
      <c r="H12" s="16"/>
      <c r="I12" s="16"/>
    </row>
    <row r="13" spans="1:9" x14ac:dyDescent="0.25">
      <c r="A13" s="16"/>
      <c r="B13" s="24"/>
      <c r="C13" s="24"/>
      <c r="D13" s="24"/>
      <c r="E13" s="16"/>
      <c r="F13" s="16"/>
      <c r="G13" s="16"/>
      <c r="H13" s="16"/>
      <c r="I13" s="16"/>
    </row>
    <row r="14" spans="1:9" x14ac:dyDescent="0.25">
      <c r="A14" s="18" t="s">
        <v>26</v>
      </c>
      <c r="B14" s="24"/>
      <c r="C14" s="24"/>
      <c r="D14" s="24"/>
      <c r="E14" s="16"/>
      <c r="F14" s="16"/>
      <c r="G14" s="16"/>
      <c r="H14" s="16"/>
      <c r="I14" s="16"/>
    </row>
    <row r="15" spans="1:9" x14ac:dyDescent="0.25">
      <c r="A15" s="20" t="s">
        <v>27</v>
      </c>
      <c r="B15" s="21">
        <v>2000000</v>
      </c>
      <c r="C15" s="22">
        <v>1000000</v>
      </c>
      <c r="D15" s="24"/>
      <c r="E15" s="16"/>
      <c r="F15" s="16"/>
      <c r="G15" s="16"/>
      <c r="H15" s="16"/>
      <c r="I15" s="16"/>
    </row>
    <row r="16" spans="1:9" x14ac:dyDescent="0.25">
      <c r="A16" s="23" t="s">
        <v>28</v>
      </c>
      <c r="B16" s="24">
        <v>1000000</v>
      </c>
      <c r="C16" s="25">
        <v>2000000</v>
      </c>
      <c r="D16" s="24"/>
      <c r="E16" s="16"/>
      <c r="F16" s="16"/>
      <c r="G16" s="16"/>
      <c r="H16" s="16"/>
      <c r="I16" s="16"/>
    </row>
    <row r="17" spans="1:9" x14ac:dyDescent="0.25">
      <c r="A17" s="26" t="s">
        <v>3148</v>
      </c>
      <c r="B17" s="27">
        <v>3000000</v>
      </c>
      <c r="C17" s="28">
        <v>3000000</v>
      </c>
      <c r="D17" s="24"/>
      <c r="E17" s="16"/>
      <c r="F17" s="16"/>
      <c r="G17" s="16"/>
      <c r="H17" s="16"/>
      <c r="I17" s="16"/>
    </row>
    <row r="18" spans="1:9" x14ac:dyDescent="0.25">
      <c r="A18" s="16"/>
      <c r="B18" s="16"/>
      <c r="C18" s="16"/>
      <c r="D18" s="16"/>
      <c r="E18" s="16"/>
      <c r="F18" s="16"/>
      <c r="G18" s="16"/>
      <c r="H18" s="16"/>
      <c r="I18" s="16"/>
    </row>
    <row r="19" spans="1:9" x14ac:dyDescent="0.25">
      <c r="A19" s="16"/>
      <c r="B19" s="16"/>
      <c r="C19" s="16"/>
      <c r="D19" s="16"/>
      <c r="E19" s="16"/>
      <c r="F19" s="16"/>
      <c r="G19" s="16"/>
      <c r="H19" s="16"/>
      <c r="I19" s="16"/>
    </row>
    <row r="20" spans="1:9" x14ac:dyDescent="0.25">
      <c r="A20" s="16"/>
      <c r="B20" s="16"/>
      <c r="C20" s="16"/>
      <c r="D20" s="16"/>
      <c r="E20" s="16"/>
      <c r="F20" s="16"/>
      <c r="G20" s="16"/>
      <c r="H20" s="16"/>
      <c r="I20" s="16"/>
    </row>
    <row r="21" spans="1:9" x14ac:dyDescent="0.25">
      <c r="A21" s="16"/>
      <c r="B21" s="16"/>
      <c r="C21" s="16"/>
      <c r="D21" s="16"/>
      <c r="E21" s="16"/>
      <c r="F21" s="16"/>
      <c r="G21" s="16"/>
      <c r="H21" s="16"/>
      <c r="I21" s="16"/>
    </row>
    <row r="22" spans="1:9" x14ac:dyDescent="0.25">
      <c r="A22" s="16"/>
      <c r="B22" s="16"/>
      <c r="C22" s="16"/>
      <c r="D22" s="16"/>
      <c r="E22" s="16"/>
      <c r="F22" s="16"/>
      <c r="G22" s="16"/>
      <c r="H22" s="16"/>
      <c r="I22" s="16"/>
    </row>
    <row r="23" spans="1:9" x14ac:dyDescent="0.25">
      <c r="A23" s="16"/>
      <c r="B23" s="16"/>
      <c r="C23" s="16"/>
      <c r="D23" s="16"/>
      <c r="E23" s="16"/>
      <c r="F23" s="16"/>
      <c r="G23" s="16"/>
      <c r="H23" s="16"/>
      <c r="I23" s="16"/>
    </row>
    <row r="24" spans="1:9" x14ac:dyDescent="0.25">
      <c r="A24" s="18" t="s">
        <v>30</v>
      </c>
      <c r="B24" s="16"/>
      <c r="C24" s="16"/>
      <c r="D24" s="16"/>
      <c r="E24" s="16"/>
      <c r="F24" s="16"/>
      <c r="G24" s="16"/>
      <c r="H24" s="16"/>
      <c r="I24" s="16"/>
    </row>
    <row r="25" spans="1:9" x14ac:dyDescent="0.25">
      <c r="A25" s="16" t="s">
        <v>31</v>
      </c>
      <c r="B25" s="16"/>
      <c r="C25" s="16"/>
      <c r="D25" s="16"/>
      <c r="E25" s="16"/>
      <c r="F25" s="16"/>
      <c r="G25" s="16"/>
      <c r="H25" s="16"/>
      <c r="I25" s="16"/>
    </row>
    <row r="26" spans="1:9" x14ac:dyDescent="0.25">
      <c r="A26" s="18" t="s">
        <v>73</v>
      </c>
      <c r="B26" s="16" t="s">
        <v>32</v>
      </c>
      <c r="C26" s="16" t="s">
        <v>33</v>
      </c>
      <c r="D26" s="16"/>
      <c r="E26" s="18" t="s">
        <v>93</v>
      </c>
      <c r="F26" s="16" t="s">
        <v>32</v>
      </c>
      <c r="G26" s="16" t="s">
        <v>33</v>
      </c>
      <c r="H26" s="16"/>
      <c r="I26" s="16"/>
    </row>
    <row r="27" spans="1:9" x14ac:dyDescent="0.25">
      <c r="A27" s="29" t="s">
        <v>34</v>
      </c>
      <c r="B27" s="30">
        <f>B10/B17</f>
        <v>0.12</v>
      </c>
      <c r="C27" s="30">
        <f>C10/C17</f>
        <v>0.12</v>
      </c>
      <c r="D27" s="30"/>
      <c r="E27" s="18" t="s">
        <v>35</v>
      </c>
      <c r="F27" s="30">
        <f>B12/B15</f>
        <v>0.14000000000000001</v>
      </c>
      <c r="G27" s="30">
        <f>C12/C15</f>
        <v>0.2</v>
      </c>
      <c r="H27" s="16"/>
      <c r="I27" s="16"/>
    </row>
    <row r="28" spans="1:9" x14ac:dyDescent="0.25">
      <c r="A28" s="16" t="s">
        <v>15</v>
      </c>
      <c r="B28" s="16"/>
      <c r="C28" s="16"/>
      <c r="D28" s="16"/>
      <c r="E28" s="16" t="s">
        <v>36</v>
      </c>
      <c r="F28" s="16"/>
      <c r="G28" s="16"/>
      <c r="H28" s="16"/>
      <c r="I28" s="16"/>
    </row>
    <row r="29" spans="1:9" x14ac:dyDescent="0.25">
      <c r="A29" s="16" t="s">
        <v>37</v>
      </c>
      <c r="B29" s="16"/>
      <c r="C29" s="16"/>
      <c r="D29" s="16"/>
      <c r="E29" s="16" t="s">
        <v>38</v>
      </c>
      <c r="F29" s="16"/>
      <c r="G29" s="16"/>
      <c r="H29" s="16"/>
      <c r="I29" s="16"/>
    </row>
    <row r="30" spans="1:9" x14ac:dyDescent="0.25">
      <c r="A30" s="16"/>
      <c r="B30" s="16"/>
      <c r="C30" s="16"/>
      <c r="D30" s="16"/>
      <c r="E30" s="16"/>
      <c r="F30" s="16"/>
      <c r="G30" s="16"/>
      <c r="H30" s="16"/>
      <c r="I30" s="16"/>
    </row>
    <row r="31" spans="1:9" x14ac:dyDescent="0.25">
      <c r="A31" s="16" t="s">
        <v>39</v>
      </c>
      <c r="B31" s="16"/>
      <c r="C31" s="16"/>
      <c r="D31" s="16"/>
      <c r="E31" s="16"/>
      <c r="F31" s="16"/>
      <c r="G31" s="16"/>
      <c r="H31" s="16"/>
      <c r="I31" s="16"/>
    </row>
    <row r="32" spans="1:9" x14ac:dyDescent="0.25">
      <c r="A32" s="16"/>
      <c r="B32" s="16"/>
      <c r="C32" s="16"/>
      <c r="D32" s="16"/>
      <c r="E32" s="16"/>
      <c r="F32" s="16"/>
      <c r="G32" s="16"/>
      <c r="H32" s="16"/>
      <c r="I32" s="16"/>
    </row>
    <row r="33" spans="1:2" x14ac:dyDescent="0.25">
      <c r="A33" s="1" t="s">
        <v>3150</v>
      </c>
    </row>
    <row r="34" spans="1:2" x14ac:dyDescent="0.25">
      <c r="A34" s="1" t="s">
        <v>3156</v>
      </c>
    </row>
    <row r="35" spans="1:2" x14ac:dyDescent="0.25">
      <c r="A35" s="1" t="s">
        <v>3149</v>
      </c>
    </row>
    <row r="37" spans="1:2" x14ac:dyDescent="0.25">
      <c r="A37" s="1" t="s">
        <v>3151</v>
      </c>
      <c r="B37" s="1">
        <v>1450000</v>
      </c>
    </row>
    <row r="38" spans="1:2" x14ac:dyDescent="0.25">
      <c r="A38" s="1" t="s">
        <v>3152</v>
      </c>
      <c r="B38" s="1">
        <v>800000</v>
      </c>
    </row>
    <row r="39" spans="1:2" x14ac:dyDescent="0.25">
      <c r="A39" s="1" t="s">
        <v>63</v>
      </c>
      <c r="B39" s="1">
        <v>300000</v>
      </c>
    </row>
    <row r="40" spans="1:2" x14ac:dyDescent="0.25">
      <c r="A40" s="1" t="s">
        <v>3153</v>
      </c>
      <c r="B40" s="1">
        <v>370000</v>
      </c>
    </row>
    <row r="41" spans="1:2" x14ac:dyDescent="0.25">
      <c r="A41" s="1" t="s">
        <v>3154</v>
      </c>
      <c r="B41" s="922">
        <f>B40/B37</f>
        <v>0.25517241379310346</v>
      </c>
    </row>
    <row r="42" spans="1:2" x14ac:dyDescent="0.25">
      <c r="A42" s="1" t="s">
        <v>3155</v>
      </c>
      <c r="B42" s="922">
        <f>B39/B38</f>
        <v>0.375</v>
      </c>
    </row>
    <row r="44" spans="1:2" x14ac:dyDescent="0.25">
      <c r="A44" s="1" t="s">
        <v>3158</v>
      </c>
    </row>
    <row r="45" spans="1:2" x14ac:dyDescent="0.25">
      <c r="A45" t="s">
        <v>3157</v>
      </c>
    </row>
    <row r="46" spans="1:2" x14ac:dyDescent="0.25">
      <c r="A46" s="1" t="s">
        <v>3159</v>
      </c>
    </row>
  </sheetData>
  <mergeCells count="1">
    <mergeCell ref="F2:G2"/>
  </mergeCells>
  <hyperlinks>
    <hyperlink ref="F2" location="Regnskaber!A1" display="Regnskaber!A1" xr:uid="{00000000-0004-0000-0400-000000000000}"/>
    <hyperlink ref="G2" location="Regnskaber!A1" display="Regnskaber!A1" xr:uid="{00000000-0004-0000-0400-000001000000}"/>
  </hyperlinks>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2:Q62"/>
  <sheetViews>
    <sheetView topLeftCell="A39" workbookViewId="0">
      <selection activeCell="G2" sqref="G2:H2"/>
    </sheetView>
  </sheetViews>
  <sheetFormatPr defaultColWidth="10.875" defaultRowHeight="15.75" x14ac:dyDescent="0.25"/>
  <cols>
    <col min="1" max="1" width="10.875" style="1"/>
    <col min="2" max="2" width="37.375" style="1" customWidth="1"/>
    <col min="3" max="3" width="10.875" style="1" customWidth="1"/>
    <col min="4" max="16384" width="10.875" style="1"/>
  </cols>
  <sheetData>
    <row r="2" spans="2:8" x14ac:dyDescent="0.25">
      <c r="G2" s="953" t="s">
        <v>1220</v>
      </c>
      <c r="H2" s="953"/>
    </row>
    <row r="6" spans="2:8" x14ac:dyDescent="0.25">
      <c r="B6" s="36" t="s">
        <v>51</v>
      </c>
      <c r="C6" s="36"/>
      <c r="D6" s="36"/>
      <c r="E6" s="36"/>
      <c r="F6" s="36"/>
    </row>
    <row r="7" spans="2:8" x14ac:dyDescent="0.25">
      <c r="B7" s="37" t="s">
        <v>52</v>
      </c>
      <c r="C7" s="36"/>
      <c r="D7" s="36"/>
      <c r="E7" s="36"/>
      <c r="F7" s="36"/>
    </row>
    <row r="8" spans="2:8" x14ac:dyDescent="0.25">
      <c r="B8" s="36"/>
      <c r="C8" s="36"/>
      <c r="D8" s="36"/>
      <c r="E8" s="36"/>
      <c r="F8" s="36"/>
    </row>
    <row r="9" spans="2:8" x14ac:dyDescent="0.25">
      <c r="B9" s="36"/>
      <c r="C9" s="36"/>
      <c r="D9" s="36"/>
      <c r="E9" s="36"/>
      <c r="F9" s="36"/>
    </row>
    <row r="10" spans="2:8" ht="16.5" thickBot="1" x14ac:dyDescent="0.3">
      <c r="B10" s="954" t="s">
        <v>53</v>
      </c>
      <c r="C10" s="954"/>
      <c r="D10" s="36"/>
      <c r="E10" s="36"/>
      <c r="F10" s="36"/>
    </row>
    <row r="11" spans="2:8" ht="16.5" thickBot="1" x14ac:dyDescent="0.3">
      <c r="B11" s="39"/>
      <c r="C11" s="40">
        <v>1999</v>
      </c>
      <c r="D11" s="40">
        <v>2000</v>
      </c>
      <c r="E11" s="41">
        <v>2001</v>
      </c>
      <c r="F11" s="36"/>
    </row>
    <row r="12" spans="2:8" x14ac:dyDescent="0.25">
      <c r="B12" s="42" t="s">
        <v>54</v>
      </c>
      <c r="C12" s="43">
        <v>32600</v>
      </c>
      <c r="D12" s="43">
        <v>35800</v>
      </c>
      <c r="E12" s="44">
        <v>39400</v>
      </c>
      <c r="F12" s="36"/>
    </row>
    <row r="13" spans="2:8" x14ac:dyDescent="0.25">
      <c r="B13" s="42" t="s">
        <v>55</v>
      </c>
      <c r="C13" s="43">
        <v>16620</v>
      </c>
      <c r="D13" s="43">
        <v>18370</v>
      </c>
      <c r="E13" s="44">
        <v>20220</v>
      </c>
      <c r="F13" s="36"/>
    </row>
    <row r="14" spans="2:8" x14ac:dyDescent="0.25">
      <c r="B14" s="42" t="s">
        <v>56</v>
      </c>
      <c r="C14" s="43">
        <v>1300</v>
      </c>
      <c r="D14" s="43">
        <v>1430</v>
      </c>
      <c r="E14" s="44">
        <v>1575</v>
      </c>
      <c r="F14" s="36"/>
    </row>
    <row r="15" spans="2:8" x14ac:dyDescent="0.25">
      <c r="B15" s="42" t="s">
        <v>57</v>
      </c>
      <c r="C15" s="43">
        <v>14680</v>
      </c>
      <c r="D15" s="43">
        <v>16000</v>
      </c>
      <c r="E15" s="44">
        <v>17605</v>
      </c>
      <c r="F15" s="36"/>
    </row>
    <row r="16" spans="2:8" x14ac:dyDescent="0.25">
      <c r="B16" s="42" t="s">
        <v>58</v>
      </c>
      <c r="C16" s="43">
        <v>10280</v>
      </c>
      <c r="D16" s="43">
        <v>11400</v>
      </c>
      <c r="E16" s="44">
        <v>11215</v>
      </c>
      <c r="F16" s="36"/>
    </row>
    <row r="17" spans="2:6" x14ac:dyDescent="0.25">
      <c r="B17" s="42" t="s">
        <v>59</v>
      </c>
      <c r="C17" s="43">
        <v>4400</v>
      </c>
      <c r="D17" s="43">
        <v>4600</v>
      </c>
      <c r="E17" s="44">
        <v>6390</v>
      </c>
      <c r="F17" s="36"/>
    </row>
    <row r="18" spans="2:6" x14ac:dyDescent="0.25">
      <c r="B18" s="42" t="s">
        <v>60</v>
      </c>
      <c r="C18" s="43">
        <v>1900</v>
      </c>
      <c r="D18" s="43">
        <v>2100</v>
      </c>
      <c r="E18" s="44">
        <v>2300</v>
      </c>
      <c r="F18" s="36"/>
    </row>
    <row r="19" spans="2:6" x14ac:dyDescent="0.25">
      <c r="B19" s="42" t="s">
        <v>23</v>
      </c>
      <c r="C19" s="43">
        <v>2500</v>
      </c>
      <c r="D19" s="43">
        <v>2500</v>
      </c>
      <c r="E19" s="44">
        <v>4090</v>
      </c>
      <c r="F19" s="36"/>
    </row>
    <row r="20" spans="2:6" x14ac:dyDescent="0.25">
      <c r="B20" s="42" t="s">
        <v>61</v>
      </c>
      <c r="C20" s="45">
        <v>530</v>
      </c>
      <c r="D20" s="45">
        <v>605</v>
      </c>
      <c r="E20" s="46">
        <v>760</v>
      </c>
      <c r="F20" s="36"/>
    </row>
    <row r="21" spans="2:6" x14ac:dyDescent="0.25">
      <c r="B21" s="42" t="s">
        <v>25</v>
      </c>
      <c r="C21" s="43">
        <v>1970</v>
      </c>
      <c r="D21" s="43">
        <v>1895</v>
      </c>
      <c r="E21" s="44">
        <v>3330</v>
      </c>
      <c r="F21" s="36"/>
    </row>
    <row r="22" spans="2:6" x14ac:dyDescent="0.25">
      <c r="B22" s="42" t="s">
        <v>62</v>
      </c>
      <c r="C22" s="45">
        <v>670</v>
      </c>
      <c r="D22" s="45">
        <v>645</v>
      </c>
      <c r="E22" s="44">
        <v>1130</v>
      </c>
      <c r="F22" s="36"/>
    </row>
    <row r="23" spans="2:6" x14ac:dyDescent="0.25">
      <c r="B23" s="42"/>
      <c r="C23" s="45"/>
      <c r="D23" s="45"/>
      <c r="E23" s="44"/>
      <c r="F23" s="36"/>
    </row>
    <row r="24" spans="2:6" x14ac:dyDescent="0.25">
      <c r="B24" s="42" t="s">
        <v>63</v>
      </c>
      <c r="C24" s="43">
        <v>1300</v>
      </c>
      <c r="D24" s="43">
        <v>1250</v>
      </c>
      <c r="E24" s="44">
        <v>2200</v>
      </c>
      <c r="F24" s="36"/>
    </row>
    <row r="25" spans="2:6" x14ac:dyDescent="0.25">
      <c r="B25" s="42"/>
      <c r="C25" s="47"/>
      <c r="D25" s="47"/>
      <c r="E25" s="48"/>
      <c r="F25" s="36"/>
    </row>
    <row r="26" spans="2:6" x14ac:dyDescent="0.25">
      <c r="B26" s="42" t="s">
        <v>64</v>
      </c>
      <c r="C26" s="45">
        <v>600</v>
      </c>
      <c r="D26" s="45">
        <v>600</v>
      </c>
      <c r="E26" s="46">
        <v>600</v>
      </c>
      <c r="F26" s="36"/>
    </row>
    <row r="27" spans="2:6" x14ac:dyDescent="0.25">
      <c r="B27" s="42" t="s">
        <v>65</v>
      </c>
      <c r="C27" s="45">
        <v>700</v>
      </c>
      <c r="D27" s="45">
        <v>650</v>
      </c>
      <c r="E27" s="44">
        <v>1600</v>
      </c>
      <c r="F27" s="36"/>
    </row>
    <row r="28" spans="2:6" ht="16.5" thickBot="1" x14ac:dyDescent="0.3">
      <c r="B28" s="49"/>
      <c r="C28" s="50">
        <v>1300</v>
      </c>
      <c r="D28" s="50">
        <v>1250</v>
      </c>
      <c r="E28" s="51">
        <v>2200</v>
      </c>
      <c r="F28" s="36"/>
    </row>
    <row r="29" spans="2:6" x14ac:dyDescent="0.25">
      <c r="B29" s="36"/>
      <c r="C29" s="36"/>
      <c r="D29" s="36"/>
      <c r="E29" s="36"/>
      <c r="F29" s="36"/>
    </row>
    <row r="30" spans="2:6" x14ac:dyDescent="0.25">
      <c r="B30" s="36"/>
      <c r="C30" s="36"/>
      <c r="D30" s="36"/>
      <c r="E30" s="36"/>
      <c r="F30" s="36"/>
    </row>
    <row r="31" spans="2:6" ht="16.5" thickBot="1" x14ac:dyDescent="0.3">
      <c r="B31" s="36" t="s">
        <v>66</v>
      </c>
      <c r="C31" s="36"/>
      <c r="D31" s="36"/>
      <c r="E31" s="36"/>
      <c r="F31" s="36"/>
    </row>
    <row r="32" spans="2:6" ht="16.5" thickBot="1" x14ac:dyDescent="0.3">
      <c r="B32" s="39"/>
      <c r="C32" s="40">
        <v>1999</v>
      </c>
      <c r="D32" s="40">
        <v>2000</v>
      </c>
      <c r="E32" s="41">
        <v>2001</v>
      </c>
      <c r="F32" s="36"/>
    </row>
    <row r="33" spans="1:17" x14ac:dyDescent="0.25">
      <c r="B33" s="36" t="s">
        <v>67</v>
      </c>
      <c r="C33" s="52">
        <v>15450</v>
      </c>
      <c r="D33" s="52">
        <v>16700</v>
      </c>
      <c r="E33" s="52">
        <v>18200</v>
      </c>
      <c r="F33" s="36"/>
    </row>
    <row r="34" spans="1:17" x14ac:dyDescent="0.25">
      <c r="B34" s="36" t="s">
        <v>68</v>
      </c>
      <c r="C34" s="52">
        <v>11460</v>
      </c>
      <c r="D34" s="52">
        <v>12950</v>
      </c>
      <c r="E34" s="52">
        <v>15950</v>
      </c>
      <c r="F34" s="36"/>
    </row>
    <row r="35" spans="1:17" x14ac:dyDescent="0.25">
      <c r="B35" s="36"/>
      <c r="C35" s="52"/>
      <c r="D35" s="52"/>
      <c r="E35" s="52"/>
      <c r="F35" s="36"/>
    </row>
    <row r="36" spans="1:17" x14ac:dyDescent="0.25">
      <c r="B36" s="53" t="s">
        <v>69</v>
      </c>
      <c r="C36" s="54">
        <v>26910</v>
      </c>
      <c r="D36" s="54">
        <v>29650</v>
      </c>
      <c r="E36" s="55">
        <v>34150</v>
      </c>
      <c r="F36" s="36"/>
    </row>
    <row r="37" spans="1:17" x14ac:dyDescent="0.25">
      <c r="B37" s="36"/>
      <c r="C37" s="36"/>
      <c r="D37" s="36"/>
      <c r="E37" s="36"/>
      <c r="F37" s="36"/>
    </row>
    <row r="38" spans="1:17" x14ac:dyDescent="0.25">
      <c r="B38" s="36" t="s">
        <v>70</v>
      </c>
      <c r="C38" s="52">
        <v>10000</v>
      </c>
      <c r="D38" s="52">
        <v>10000</v>
      </c>
      <c r="E38" s="52">
        <v>10000</v>
      </c>
      <c r="F38" s="36"/>
    </row>
    <row r="39" spans="1:17" x14ac:dyDescent="0.25">
      <c r="B39" s="36" t="s">
        <v>71</v>
      </c>
      <c r="C39" s="52">
        <v>14400</v>
      </c>
      <c r="D39" s="52">
        <v>15200</v>
      </c>
      <c r="E39" s="52">
        <v>16300</v>
      </c>
      <c r="F39" s="36"/>
    </row>
    <row r="40" spans="1:17" x14ac:dyDescent="0.25">
      <c r="B40" s="36" t="s">
        <v>28</v>
      </c>
      <c r="C40" s="52">
        <v>12510</v>
      </c>
      <c r="D40" s="52">
        <v>14450</v>
      </c>
      <c r="E40" s="52">
        <v>17850</v>
      </c>
      <c r="F40" s="36"/>
    </row>
    <row r="41" spans="1:17" x14ac:dyDescent="0.25">
      <c r="B41" s="36"/>
      <c r="C41" s="52"/>
      <c r="D41" s="52"/>
      <c r="E41" s="52"/>
      <c r="F41" s="36"/>
    </row>
    <row r="42" spans="1:17" x14ac:dyDescent="0.25">
      <c r="B42" s="53" t="s">
        <v>72</v>
      </c>
      <c r="C42" s="54">
        <v>26910</v>
      </c>
      <c r="D42" s="54">
        <v>29650</v>
      </c>
      <c r="E42" s="55">
        <v>34150</v>
      </c>
      <c r="F42" s="36"/>
    </row>
    <row r="43" spans="1:17" x14ac:dyDescent="0.25">
      <c r="B43" s="36"/>
      <c r="C43" s="36"/>
      <c r="D43" s="36"/>
      <c r="E43" s="36"/>
      <c r="F43" s="36"/>
    </row>
    <row r="44" spans="1:17" x14ac:dyDescent="0.25">
      <c r="B44" s="36"/>
      <c r="C44" s="36"/>
      <c r="D44" s="36"/>
      <c r="E44" s="36"/>
      <c r="F44" s="36"/>
    </row>
    <row r="45" spans="1:17" x14ac:dyDescent="0.25">
      <c r="A45" s="12"/>
      <c r="B45" s="64"/>
      <c r="C45" s="64"/>
      <c r="D45" s="64"/>
      <c r="E45" s="64"/>
      <c r="F45" s="16"/>
      <c r="G45" s="7"/>
      <c r="H45" s="7"/>
      <c r="I45" s="7"/>
      <c r="J45" s="7"/>
      <c r="K45" s="7"/>
      <c r="L45" s="7"/>
      <c r="M45" s="7"/>
      <c r="N45" s="7"/>
      <c r="O45" s="7"/>
      <c r="P45" s="7"/>
      <c r="Q45" s="7"/>
    </row>
    <row r="46" spans="1:17" ht="16.5" thickBot="1" x14ac:dyDescent="0.3">
      <c r="A46" s="7"/>
      <c r="B46" s="16"/>
      <c r="C46" s="16"/>
      <c r="D46" s="16"/>
      <c r="E46" s="16"/>
      <c r="F46" s="16"/>
      <c r="G46" s="7"/>
      <c r="H46" s="7"/>
      <c r="I46" s="7"/>
      <c r="J46" s="7"/>
      <c r="K46" s="7"/>
      <c r="L46" s="7"/>
      <c r="M46" s="7"/>
      <c r="N46" s="7"/>
      <c r="O46" s="7"/>
      <c r="P46" s="7"/>
    </row>
    <row r="47" spans="1:17" ht="16.5" thickBot="1" x14ac:dyDescent="0.3">
      <c r="B47" s="36"/>
      <c r="C47" s="56">
        <v>1999</v>
      </c>
      <c r="D47" s="56">
        <v>2000</v>
      </c>
      <c r="E47" s="41">
        <v>2001</v>
      </c>
      <c r="F47" s="36"/>
    </row>
    <row r="48" spans="1:17" x14ac:dyDescent="0.25">
      <c r="B48" s="57" t="s">
        <v>73</v>
      </c>
      <c r="C48" s="58">
        <f>C19/C36</f>
        <v>9.2902266815310289E-2</v>
      </c>
      <c r="D48" s="58">
        <f>D19/D36</f>
        <v>8.4317032040472181E-2</v>
      </c>
      <c r="E48" s="58">
        <f>E19/E36</f>
        <v>0.11976573938506589</v>
      </c>
      <c r="F48" s="36"/>
    </row>
    <row r="49" spans="2:6" x14ac:dyDescent="0.25">
      <c r="B49" s="37" t="s">
        <v>41</v>
      </c>
      <c r="C49" s="59">
        <f>C19/C12</f>
        <v>7.6687116564417179E-2</v>
      </c>
      <c r="D49" s="59">
        <f>D19/D12</f>
        <v>6.9832402234636867E-2</v>
      </c>
      <c r="E49" s="59">
        <f>E19/E12</f>
        <v>0.10380710659898477</v>
      </c>
      <c r="F49" s="36"/>
    </row>
    <row r="50" spans="2:6" x14ac:dyDescent="0.25">
      <c r="B50" s="37" t="s">
        <v>74</v>
      </c>
      <c r="C50" s="60">
        <f>C12/C36</f>
        <v>1.2114455592716462</v>
      </c>
      <c r="D50" s="60">
        <f>D12/D36</f>
        <v>1.2074198988195615</v>
      </c>
      <c r="E50" s="60">
        <f>E12/E36</f>
        <v>1.1537335285505124</v>
      </c>
      <c r="F50" s="36"/>
    </row>
    <row r="51" spans="2:6" x14ac:dyDescent="0.25">
      <c r="B51" s="37" t="s">
        <v>75</v>
      </c>
      <c r="C51" s="59">
        <f>C39/C36</f>
        <v>0.53511705685618727</v>
      </c>
      <c r="D51" s="59">
        <f>D39/D36</f>
        <v>0.51264755480607083</v>
      </c>
      <c r="E51" s="59">
        <f>E39/E36</f>
        <v>0.4773060029282577</v>
      </c>
      <c r="F51" s="36"/>
    </row>
    <row r="52" spans="2:6" x14ac:dyDescent="0.25">
      <c r="B52" s="37" t="s">
        <v>76</v>
      </c>
      <c r="C52" s="59">
        <f>C34/C40</f>
        <v>0.91606714628297359</v>
      </c>
      <c r="D52" s="59">
        <f>D34/D40</f>
        <v>0.89619377162629754</v>
      </c>
      <c r="E52" s="59">
        <f>E34/E40</f>
        <v>0.89355742296918772</v>
      </c>
      <c r="F52" s="36"/>
    </row>
    <row r="53" spans="2:6" x14ac:dyDescent="0.25">
      <c r="B53" s="36"/>
      <c r="C53" s="36"/>
      <c r="D53" s="36"/>
      <c r="E53" s="36"/>
      <c r="F53" s="36"/>
    </row>
    <row r="54" spans="2:6" x14ac:dyDescent="0.25">
      <c r="B54" s="37"/>
      <c r="C54" s="37" t="s">
        <v>77</v>
      </c>
      <c r="D54" s="36"/>
      <c r="E54" s="36"/>
      <c r="F54" s="36"/>
    </row>
    <row r="55" spans="2:6" x14ac:dyDescent="0.25">
      <c r="B55" s="37"/>
      <c r="C55" s="61">
        <v>1999</v>
      </c>
      <c r="D55" s="61">
        <v>2000</v>
      </c>
      <c r="E55" s="62">
        <v>2001</v>
      </c>
      <c r="F55" s="36"/>
    </row>
    <row r="56" spans="2:6" x14ac:dyDescent="0.25">
      <c r="B56" s="57" t="s">
        <v>73</v>
      </c>
      <c r="C56" s="63">
        <f>C48/C48*100</f>
        <v>100</v>
      </c>
      <c r="D56" s="63">
        <f>D48/C48*100</f>
        <v>90.758853288364264</v>
      </c>
      <c r="E56" s="63">
        <f>E48/C48*100</f>
        <v>128.91584187408495</v>
      </c>
      <c r="F56" s="36"/>
    </row>
    <row r="57" spans="2:6" x14ac:dyDescent="0.25">
      <c r="B57" s="37" t="s">
        <v>41</v>
      </c>
      <c r="C57" s="63">
        <f>C49/C49*100</f>
        <v>100</v>
      </c>
      <c r="D57" s="63">
        <f>D49/C49*100</f>
        <v>91.061452513966472</v>
      </c>
      <c r="E57" s="63">
        <f>E49/C49*100</f>
        <v>135.36446700507614</v>
      </c>
      <c r="F57" s="36"/>
    </row>
    <row r="58" spans="2:6" x14ac:dyDescent="0.25">
      <c r="B58" s="37" t="s">
        <v>74</v>
      </c>
      <c r="C58" s="63">
        <f>C50/C50*100</f>
        <v>100</v>
      </c>
      <c r="D58" s="63">
        <f>D50/C50*100</f>
        <v>99.667697782927604</v>
      </c>
      <c r="E58" s="63">
        <f>E50/C50*100</f>
        <v>95.236102003970217</v>
      </c>
      <c r="F58" s="36"/>
    </row>
    <row r="59" spans="2:6" x14ac:dyDescent="0.25">
      <c r="B59" s="37" t="s">
        <v>75</v>
      </c>
      <c r="C59" s="63">
        <f>C51/C51*100</f>
        <v>100</v>
      </c>
      <c r="D59" s="63">
        <f>D51/C51*100</f>
        <v>95.801011804384501</v>
      </c>
      <c r="E59" s="63">
        <f>E51/C51*100</f>
        <v>89.196559297218158</v>
      </c>
      <c r="F59" s="36"/>
    </row>
    <row r="60" spans="2:6" x14ac:dyDescent="0.25">
      <c r="B60" s="37" t="s">
        <v>76</v>
      </c>
      <c r="C60" s="63">
        <f>C52/C52*100</f>
        <v>100</v>
      </c>
      <c r="D60" s="63">
        <f>D52/C52*100</f>
        <v>97.830576640881176</v>
      </c>
      <c r="E60" s="63">
        <f>E52/C52*100</f>
        <v>97.542786748207149</v>
      </c>
      <c r="F60" s="36"/>
    </row>
    <row r="61" spans="2:6" x14ac:dyDescent="0.25">
      <c r="B61" s="36"/>
      <c r="C61" s="59"/>
      <c r="D61" s="59"/>
      <c r="E61" s="59"/>
      <c r="F61" s="36"/>
    </row>
    <row r="62" spans="2:6" x14ac:dyDescent="0.25">
      <c r="B62" s="36"/>
      <c r="C62" s="36"/>
      <c r="D62" s="36"/>
      <c r="E62" s="36"/>
      <c r="F62" s="36"/>
    </row>
  </sheetData>
  <mergeCells count="2">
    <mergeCell ref="G2:H2"/>
    <mergeCell ref="B10:C10"/>
  </mergeCells>
  <hyperlinks>
    <hyperlink ref="H2" location="Regnskaber!A1" display="Regnskaber!A1" xr:uid="{00000000-0004-0000-0500-000000000000}"/>
    <hyperlink ref="G2" location="Regnskaber!A1" display="Regnskaber!A1" xr:uid="{00000000-0004-0000-0500-00000100000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3:S61"/>
  <sheetViews>
    <sheetView workbookViewId="0"/>
  </sheetViews>
  <sheetFormatPr defaultColWidth="10.875" defaultRowHeight="15.75" x14ac:dyDescent="0.25"/>
  <cols>
    <col min="1" max="1" width="34.5" style="1" customWidth="1"/>
    <col min="2" max="2" width="16.625" style="1" customWidth="1"/>
    <col min="3" max="3" width="16" style="1" customWidth="1"/>
    <col min="4" max="4" width="17.125" style="1" customWidth="1"/>
    <col min="5" max="16384" width="10.875" style="1"/>
  </cols>
  <sheetData>
    <row r="3" spans="1:7" x14ac:dyDescent="0.25">
      <c r="F3" s="953" t="s">
        <v>1220</v>
      </c>
      <c r="G3" s="953"/>
    </row>
    <row r="6" spans="1:7" x14ac:dyDescent="0.25">
      <c r="A6" s="36" t="s">
        <v>51</v>
      </c>
      <c r="B6" s="36"/>
      <c r="C6" s="36"/>
      <c r="D6" s="36"/>
    </row>
    <row r="7" spans="1:7" x14ac:dyDescent="0.25">
      <c r="A7" s="37" t="s">
        <v>52</v>
      </c>
      <c r="B7" s="36"/>
      <c r="C7" s="36"/>
      <c r="D7" s="36"/>
    </row>
    <row r="8" spans="1:7" x14ac:dyDescent="0.25">
      <c r="A8" s="36"/>
      <c r="B8" s="36"/>
      <c r="C8" s="36"/>
      <c r="D8" s="36"/>
    </row>
    <row r="9" spans="1:7" x14ac:dyDescent="0.25">
      <c r="A9" s="36"/>
      <c r="B9" s="36"/>
      <c r="C9" s="36"/>
      <c r="D9" s="36"/>
    </row>
    <row r="10" spans="1:7" ht="16.5" thickBot="1" x14ac:dyDescent="0.3">
      <c r="A10" s="954" t="s">
        <v>53</v>
      </c>
      <c r="B10" s="954"/>
      <c r="C10" s="36"/>
      <c r="D10" s="36"/>
    </row>
    <row r="11" spans="1:7" ht="16.5" thickBot="1" x14ac:dyDescent="0.3">
      <c r="A11" s="39"/>
      <c r="B11" s="40">
        <v>1999</v>
      </c>
      <c r="C11" s="40">
        <v>2000</v>
      </c>
      <c r="D11" s="41">
        <v>2001</v>
      </c>
    </row>
    <row r="12" spans="1:7" x14ac:dyDescent="0.25">
      <c r="A12" s="42" t="s">
        <v>54</v>
      </c>
      <c r="B12" s="43">
        <v>32600</v>
      </c>
      <c r="C12" s="43">
        <v>35800</v>
      </c>
      <c r="D12" s="44">
        <v>39400</v>
      </c>
    </row>
    <row r="13" spans="1:7" x14ac:dyDescent="0.25">
      <c r="A13" s="42" t="s">
        <v>55</v>
      </c>
      <c r="B13" s="43">
        <v>16620</v>
      </c>
      <c r="C13" s="43">
        <v>18370</v>
      </c>
      <c r="D13" s="44">
        <v>20220</v>
      </c>
    </row>
    <row r="14" spans="1:7" x14ac:dyDescent="0.25">
      <c r="A14" s="42" t="s">
        <v>56</v>
      </c>
      <c r="B14" s="43">
        <v>1300</v>
      </c>
      <c r="C14" s="43">
        <v>1430</v>
      </c>
      <c r="D14" s="44">
        <v>1575</v>
      </c>
    </row>
    <row r="15" spans="1:7" x14ac:dyDescent="0.25">
      <c r="A15" s="42" t="s">
        <v>57</v>
      </c>
      <c r="B15" s="43">
        <v>14680</v>
      </c>
      <c r="C15" s="43">
        <v>16000</v>
      </c>
      <c r="D15" s="44">
        <v>17605</v>
      </c>
    </row>
    <row r="16" spans="1:7" x14ac:dyDescent="0.25">
      <c r="A16" s="42" t="s">
        <v>58</v>
      </c>
      <c r="B16" s="43">
        <v>10280</v>
      </c>
      <c r="C16" s="43">
        <v>11400</v>
      </c>
      <c r="D16" s="44">
        <v>11215</v>
      </c>
    </row>
    <row r="17" spans="1:4" x14ac:dyDescent="0.25">
      <c r="A17" s="42" t="s">
        <v>59</v>
      </c>
      <c r="B17" s="43">
        <v>4400</v>
      </c>
      <c r="C17" s="43">
        <v>4600</v>
      </c>
      <c r="D17" s="44">
        <v>6390</v>
      </c>
    </row>
    <row r="18" spans="1:4" x14ac:dyDescent="0.25">
      <c r="A18" s="42" t="s">
        <v>60</v>
      </c>
      <c r="B18" s="43">
        <v>1900</v>
      </c>
      <c r="C18" s="43">
        <v>2100</v>
      </c>
      <c r="D18" s="44">
        <v>2300</v>
      </c>
    </row>
    <row r="19" spans="1:4" x14ac:dyDescent="0.25">
      <c r="A19" s="42" t="s">
        <v>23</v>
      </c>
      <c r="B19" s="43">
        <v>2500</v>
      </c>
      <c r="C19" s="43">
        <v>2500</v>
      </c>
      <c r="D19" s="44">
        <v>4090</v>
      </c>
    </row>
    <row r="20" spans="1:4" x14ac:dyDescent="0.25">
      <c r="A20" s="42" t="s">
        <v>61</v>
      </c>
      <c r="B20" s="45">
        <v>530</v>
      </c>
      <c r="C20" s="45">
        <v>605</v>
      </c>
      <c r="D20" s="46">
        <v>760</v>
      </c>
    </row>
    <row r="21" spans="1:4" x14ac:dyDescent="0.25">
      <c r="A21" s="42" t="s">
        <v>25</v>
      </c>
      <c r="B21" s="43">
        <v>1970</v>
      </c>
      <c r="C21" s="43">
        <v>1895</v>
      </c>
      <c r="D21" s="44">
        <v>3330</v>
      </c>
    </row>
    <row r="22" spans="1:4" x14ac:dyDescent="0.25">
      <c r="A22" s="42" t="s">
        <v>62</v>
      </c>
      <c r="B22" s="45">
        <v>670</v>
      </c>
      <c r="C22" s="45">
        <v>645</v>
      </c>
      <c r="D22" s="44">
        <v>1130</v>
      </c>
    </row>
    <row r="23" spans="1:4" x14ac:dyDescent="0.25">
      <c r="A23" s="42"/>
      <c r="B23" s="45"/>
      <c r="C23" s="45"/>
      <c r="D23" s="44"/>
    </row>
    <row r="24" spans="1:4" x14ac:dyDescent="0.25">
      <c r="A24" s="42" t="s">
        <v>63</v>
      </c>
      <c r="B24" s="43">
        <v>1300</v>
      </c>
      <c r="C24" s="43">
        <v>1250</v>
      </c>
      <c r="D24" s="44">
        <v>2200</v>
      </c>
    </row>
    <row r="25" spans="1:4" x14ac:dyDescent="0.25">
      <c r="A25" s="42"/>
      <c r="B25" s="47"/>
      <c r="C25" s="47"/>
      <c r="D25" s="48"/>
    </row>
    <row r="26" spans="1:4" x14ac:dyDescent="0.25">
      <c r="A26" s="42" t="s">
        <v>64</v>
      </c>
      <c r="B26" s="45">
        <v>600</v>
      </c>
      <c r="C26" s="45">
        <v>600</v>
      </c>
      <c r="D26" s="46">
        <v>600</v>
      </c>
    </row>
    <row r="27" spans="1:4" x14ac:dyDescent="0.25">
      <c r="A27" s="42" t="s">
        <v>65</v>
      </c>
      <c r="B27" s="45">
        <v>700</v>
      </c>
      <c r="C27" s="45">
        <v>650</v>
      </c>
      <c r="D27" s="44">
        <v>1600</v>
      </c>
    </row>
    <row r="28" spans="1:4" ht="16.5" thickBot="1" x14ac:dyDescent="0.3">
      <c r="A28" s="49"/>
      <c r="B28" s="50">
        <v>1300</v>
      </c>
      <c r="C28" s="50">
        <v>1250</v>
      </c>
      <c r="D28" s="51">
        <v>2200</v>
      </c>
    </row>
    <row r="29" spans="1:4" x14ac:dyDescent="0.25">
      <c r="A29" s="36"/>
      <c r="B29" s="36"/>
      <c r="C29" s="36"/>
      <c r="D29" s="36"/>
    </row>
    <row r="30" spans="1:4" x14ac:dyDescent="0.25">
      <c r="A30" s="36"/>
      <c r="B30" s="36"/>
      <c r="C30" s="36"/>
      <c r="D30" s="36"/>
    </row>
    <row r="31" spans="1:4" ht="16.5" thickBot="1" x14ac:dyDescent="0.3">
      <c r="A31" s="36" t="s">
        <v>66</v>
      </c>
      <c r="B31" s="36"/>
      <c r="C31" s="36"/>
      <c r="D31" s="36"/>
    </row>
    <row r="32" spans="1:4" ht="16.5" thickBot="1" x14ac:dyDescent="0.3">
      <c r="A32" s="39"/>
      <c r="B32" s="40">
        <v>1999</v>
      </c>
      <c r="C32" s="40">
        <v>2000</v>
      </c>
      <c r="D32" s="41">
        <v>2001</v>
      </c>
    </row>
    <row r="33" spans="1:19" x14ac:dyDescent="0.25">
      <c r="A33" s="36" t="s">
        <v>67</v>
      </c>
      <c r="B33" s="52">
        <v>15450</v>
      </c>
      <c r="C33" s="52">
        <v>16700</v>
      </c>
      <c r="D33" s="52">
        <v>18200</v>
      </c>
    </row>
    <row r="34" spans="1:19" x14ac:dyDescent="0.25">
      <c r="A34" s="36" t="s">
        <v>68</v>
      </c>
      <c r="B34" s="52">
        <v>11460</v>
      </c>
      <c r="C34" s="52">
        <v>12950</v>
      </c>
      <c r="D34" s="52">
        <v>15950</v>
      </c>
    </row>
    <row r="35" spans="1:19" x14ac:dyDescent="0.25">
      <c r="A35" s="36"/>
      <c r="B35" s="52"/>
      <c r="C35" s="52"/>
      <c r="D35" s="52"/>
    </row>
    <row r="36" spans="1:19" x14ac:dyDescent="0.25">
      <c r="A36" s="53" t="s">
        <v>69</v>
      </c>
      <c r="B36" s="54">
        <v>26910</v>
      </c>
      <c r="C36" s="54">
        <v>29650</v>
      </c>
      <c r="D36" s="55">
        <v>34150</v>
      </c>
    </row>
    <row r="37" spans="1:19" x14ac:dyDescent="0.25">
      <c r="A37" s="36"/>
      <c r="B37" s="36"/>
      <c r="C37" s="36"/>
      <c r="D37" s="36"/>
    </row>
    <row r="38" spans="1:19" x14ac:dyDescent="0.25">
      <c r="A38" s="36" t="s">
        <v>70</v>
      </c>
      <c r="B38" s="52">
        <v>10000</v>
      </c>
      <c r="C38" s="52">
        <v>10000</v>
      </c>
      <c r="D38" s="52">
        <v>10000</v>
      </c>
    </row>
    <row r="39" spans="1:19" x14ac:dyDescent="0.25">
      <c r="A39" s="36" t="s">
        <v>71</v>
      </c>
      <c r="B39" s="52">
        <v>14400</v>
      </c>
      <c r="C39" s="52">
        <v>15200</v>
      </c>
      <c r="D39" s="52">
        <v>16300</v>
      </c>
    </row>
    <row r="40" spans="1:19" x14ac:dyDescent="0.25">
      <c r="A40" s="36" t="s">
        <v>28</v>
      </c>
      <c r="B40" s="52">
        <v>12510</v>
      </c>
      <c r="C40" s="52">
        <v>14450</v>
      </c>
      <c r="D40" s="52">
        <v>17850</v>
      </c>
    </row>
    <row r="41" spans="1:19" x14ac:dyDescent="0.25">
      <c r="A41" s="36"/>
      <c r="B41" s="52"/>
      <c r="C41" s="52"/>
      <c r="D41" s="52"/>
    </row>
    <row r="42" spans="1:19" x14ac:dyDescent="0.25">
      <c r="A42" s="53" t="s">
        <v>72</v>
      </c>
      <c r="B42" s="54">
        <v>26910</v>
      </c>
      <c r="C42" s="54">
        <v>29650</v>
      </c>
      <c r="D42" s="55">
        <v>34150</v>
      </c>
    </row>
    <row r="43" spans="1:19" x14ac:dyDescent="0.25">
      <c r="A43" s="36"/>
      <c r="B43" s="36"/>
      <c r="C43" s="36"/>
      <c r="D43" s="36"/>
    </row>
    <row r="44" spans="1:19" x14ac:dyDescent="0.25">
      <c r="A44" s="36"/>
      <c r="B44" s="36"/>
      <c r="C44" s="36"/>
      <c r="D44" s="36"/>
    </row>
    <row r="45" spans="1:19" x14ac:dyDescent="0.25">
      <c r="A45" s="64"/>
      <c r="B45" s="64"/>
      <c r="C45" s="64"/>
      <c r="D45" s="64"/>
      <c r="E45" s="12"/>
      <c r="F45" s="12"/>
      <c r="G45" s="12"/>
      <c r="H45" s="12"/>
      <c r="I45" s="12"/>
      <c r="J45" s="12"/>
      <c r="K45" s="12"/>
      <c r="L45" s="12"/>
      <c r="M45" s="12"/>
      <c r="N45" s="12"/>
      <c r="O45" s="12"/>
      <c r="P45" s="12"/>
      <c r="Q45" s="12"/>
      <c r="R45" s="12"/>
      <c r="S45" s="12"/>
    </row>
    <row r="46" spans="1:19" ht="16.5" thickBot="1" x14ac:dyDescent="0.3">
      <c r="A46" s="36"/>
      <c r="B46" s="36"/>
      <c r="C46" s="36"/>
      <c r="D46" s="36"/>
    </row>
    <row r="47" spans="1:19" ht="16.5" thickBot="1" x14ac:dyDescent="0.3">
      <c r="A47" s="36"/>
      <c r="B47" s="56">
        <v>1999</v>
      </c>
      <c r="C47" s="56">
        <v>2000</v>
      </c>
      <c r="D47" s="41">
        <v>2001</v>
      </c>
    </row>
    <row r="48" spans="1:19" x14ac:dyDescent="0.25">
      <c r="A48" s="57" t="s">
        <v>73</v>
      </c>
      <c r="B48" s="58">
        <f>B19/B36</f>
        <v>9.2902266815310289E-2</v>
      </c>
      <c r="C48" s="58">
        <f>C19/C36</f>
        <v>8.4317032040472181E-2</v>
      </c>
      <c r="D48" s="58">
        <f>D19/D36</f>
        <v>0.11976573938506589</v>
      </c>
    </row>
    <row r="49" spans="1:4" x14ac:dyDescent="0.25">
      <c r="A49" s="37" t="s">
        <v>41</v>
      </c>
      <c r="B49" s="59">
        <f>B19/B12</f>
        <v>7.6687116564417179E-2</v>
      </c>
      <c r="C49" s="59">
        <f>C19/C12</f>
        <v>6.9832402234636867E-2</v>
      </c>
      <c r="D49" s="59">
        <f>D19/D12</f>
        <v>0.10380710659898477</v>
      </c>
    </row>
    <row r="50" spans="1:4" x14ac:dyDescent="0.25">
      <c r="A50" s="37" t="s">
        <v>74</v>
      </c>
      <c r="B50" s="60">
        <f>B12/B36</f>
        <v>1.2114455592716462</v>
      </c>
      <c r="C50" s="60">
        <f>C12/C36</f>
        <v>1.2074198988195615</v>
      </c>
      <c r="D50" s="60">
        <f>D12/D36</f>
        <v>1.1537335285505124</v>
      </c>
    </row>
    <row r="51" spans="1:4" x14ac:dyDescent="0.25">
      <c r="A51" s="37" t="s">
        <v>75</v>
      </c>
      <c r="B51" s="59">
        <f>B39/B36</f>
        <v>0.53511705685618727</v>
      </c>
      <c r="C51" s="59">
        <f>C39/C36</f>
        <v>0.51264755480607083</v>
      </c>
      <c r="D51" s="59">
        <f>D39/D36</f>
        <v>0.4773060029282577</v>
      </c>
    </row>
    <row r="52" spans="1:4" x14ac:dyDescent="0.25">
      <c r="A52" s="37" t="s">
        <v>76</v>
      </c>
      <c r="B52" s="59">
        <f>B34/B40</f>
        <v>0.91606714628297359</v>
      </c>
      <c r="C52" s="59">
        <f>C34/C40</f>
        <v>0.89619377162629754</v>
      </c>
      <c r="D52" s="59">
        <f>D34/D40</f>
        <v>0.89355742296918772</v>
      </c>
    </row>
    <row r="53" spans="1:4" x14ac:dyDescent="0.25">
      <c r="A53" s="36"/>
      <c r="B53" s="36"/>
      <c r="C53" s="36"/>
      <c r="D53" s="36"/>
    </row>
    <row r="54" spans="1:4" x14ac:dyDescent="0.25">
      <c r="A54" s="37"/>
      <c r="B54" s="37" t="s">
        <v>77</v>
      </c>
      <c r="C54" s="36"/>
      <c r="D54" s="36"/>
    </row>
    <row r="55" spans="1:4" x14ac:dyDescent="0.25">
      <c r="A55" s="37"/>
      <c r="B55" s="61">
        <v>1999</v>
      </c>
      <c r="C55" s="61">
        <v>2000</v>
      </c>
      <c r="D55" s="62">
        <v>2001</v>
      </c>
    </row>
    <row r="56" spans="1:4" x14ac:dyDescent="0.25">
      <c r="A56" s="57" t="s">
        <v>73</v>
      </c>
      <c r="B56" s="63">
        <f>B48/B48*100</f>
        <v>100</v>
      </c>
      <c r="C56" s="63">
        <f>C48/B48*100</f>
        <v>90.758853288364264</v>
      </c>
      <c r="D56" s="63">
        <f>D48/B48*100</f>
        <v>128.91584187408495</v>
      </c>
    </row>
    <row r="57" spans="1:4" x14ac:dyDescent="0.25">
      <c r="A57" s="37" t="s">
        <v>41</v>
      </c>
      <c r="B57" s="63">
        <f>B49/B49*100</f>
        <v>100</v>
      </c>
      <c r="C57" s="63">
        <f>C49/B49*100</f>
        <v>91.061452513966472</v>
      </c>
      <c r="D57" s="63">
        <f>D49/B49*100</f>
        <v>135.36446700507614</v>
      </c>
    </row>
    <row r="58" spans="1:4" x14ac:dyDescent="0.25">
      <c r="A58" s="37" t="s">
        <v>74</v>
      </c>
      <c r="B58" s="63">
        <f>B50/B50*100</f>
        <v>100</v>
      </c>
      <c r="C58" s="63">
        <f>C50/B50*100</f>
        <v>99.667697782927604</v>
      </c>
      <c r="D58" s="63">
        <f>D50/B50*100</f>
        <v>95.236102003970217</v>
      </c>
    </row>
    <row r="59" spans="1:4" x14ac:dyDescent="0.25">
      <c r="A59" s="37" t="s">
        <v>75</v>
      </c>
      <c r="B59" s="63">
        <f>B51/B51*100</f>
        <v>100</v>
      </c>
      <c r="C59" s="63">
        <f>C51/B51*100</f>
        <v>95.801011804384501</v>
      </c>
      <c r="D59" s="63">
        <f>D51/B51*100</f>
        <v>89.196559297218158</v>
      </c>
    </row>
    <row r="60" spans="1:4" x14ac:dyDescent="0.25">
      <c r="A60" s="37" t="s">
        <v>76</v>
      </c>
      <c r="B60" s="63">
        <f>B52/B52*100</f>
        <v>100</v>
      </c>
      <c r="C60" s="63">
        <f>C52/B52*100</f>
        <v>97.830576640881176</v>
      </c>
      <c r="D60" s="63">
        <f>D52/B52*100</f>
        <v>97.542786748207149</v>
      </c>
    </row>
    <row r="61" spans="1:4" x14ac:dyDescent="0.25">
      <c r="A61" s="36"/>
      <c r="B61" s="59"/>
      <c r="C61" s="59"/>
      <c r="D61" s="59"/>
    </row>
  </sheetData>
  <mergeCells count="2">
    <mergeCell ref="F3:G3"/>
    <mergeCell ref="A10:B10"/>
  </mergeCells>
  <hyperlinks>
    <hyperlink ref="G3" location="Regnskaber!A1" display="Regnskaber!A1" xr:uid="{00000000-0004-0000-0600-000000000000}"/>
    <hyperlink ref="F3" location="Regnskaber!A1" display="Regnskaber!A1" xr:uid="{00000000-0004-0000-0600-000001000000}"/>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2:I50"/>
  <sheetViews>
    <sheetView topLeftCell="A17" workbookViewId="0">
      <selection activeCell="F45" sqref="F45"/>
    </sheetView>
  </sheetViews>
  <sheetFormatPr defaultColWidth="10.875" defaultRowHeight="15.75" x14ac:dyDescent="0.25"/>
  <cols>
    <col min="1" max="1" width="28.375" style="1" customWidth="1"/>
    <col min="2" max="3" width="10.875" style="1"/>
    <col min="4" max="4" width="16.375" style="1" customWidth="1"/>
    <col min="5" max="5" width="29" style="1" customWidth="1"/>
    <col min="6" max="16384" width="10.875" style="1"/>
  </cols>
  <sheetData>
    <row r="2" spans="1:9" x14ac:dyDescent="0.25">
      <c r="E2" s="101" t="s">
        <v>1026</v>
      </c>
      <c r="F2" s="953"/>
      <c r="G2" s="953"/>
    </row>
    <row r="5" spans="1:9" x14ac:dyDescent="0.25">
      <c r="A5" s="16" t="s">
        <v>19</v>
      </c>
      <c r="B5" s="16"/>
      <c r="C5" s="16"/>
      <c r="D5" s="16"/>
      <c r="E5" s="16"/>
      <c r="F5" s="16"/>
      <c r="G5" s="16"/>
      <c r="H5" s="16"/>
      <c r="I5" s="16"/>
    </row>
    <row r="6" spans="1:9" x14ac:dyDescent="0.25">
      <c r="A6" s="16"/>
      <c r="B6" s="16"/>
      <c r="C6" s="16"/>
      <c r="D6" s="16"/>
      <c r="E6" s="16"/>
      <c r="F6" s="16"/>
      <c r="G6" s="16"/>
      <c r="H6" s="16"/>
      <c r="I6" s="16"/>
    </row>
    <row r="7" spans="1:9" x14ac:dyDescent="0.25">
      <c r="A7" s="17"/>
      <c r="B7" s="16"/>
      <c r="C7" s="16"/>
      <c r="D7" s="16"/>
      <c r="E7" s="16"/>
      <c r="F7" s="16"/>
      <c r="G7" s="16"/>
      <c r="H7" s="16"/>
      <c r="I7" s="16"/>
    </row>
    <row r="8" spans="1:9" x14ac:dyDescent="0.25">
      <c r="A8" s="18" t="s">
        <v>20</v>
      </c>
      <c r="B8" s="19" t="s">
        <v>21</v>
      </c>
      <c r="C8" s="19" t="s">
        <v>22</v>
      </c>
      <c r="D8" s="19"/>
      <c r="E8" s="16"/>
      <c r="F8" s="16"/>
      <c r="G8" s="16"/>
      <c r="H8" s="16"/>
      <c r="I8" s="16"/>
    </row>
    <row r="9" spans="1:9" x14ac:dyDescent="0.25">
      <c r="A9" s="20" t="s">
        <v>23</v>
      </c>
      <c r="B9" s="21">
        <v>360000</v>
      </c>
      <c r="C9" s="22">
        <v>360000</v>
      </c>
      <c r="D9" s="24"/>
      <c r="E9" s="16"/>
      <c r="F9" s="16"/>
      <c r="G9" s="16"/>
      <c r="H9" s="16"/>
      <c r="I9" s="16"/>
    </row>
    <row r="10" spans="1:9" x14ac:dyDescent="0.25">
      <c r="A10" s="23" t="s">
        <v>24</v>
      </c>
      <c r="B10" s="24">
        <v>80000</v>
      </c>
      <c r="C10" s="25">
        <v>160000</v>
      </c>
      <c r="D10" s="24"/>
      <c r="E10" s="16"/>
      <c r="F10" s="16"/>
      <c r="G10" s="16"/>
      <c r="H10" s="16"/>
      <c r="I10" s="16"/>
    </row>
    <row r="11" spans="1:9" x14ac:dyDescent="0.25">
      <c r="A11" s="26" t="s">
        <v>25</v>
      </c>
      <c r="B11" s="27">
        <v>280000</v>
      </c>
      <c r="C11" s="28">
        <v>200000</v>
      </c>
      <c r="D11" s="24"/>
      <c r="E11" s="16"/>
      <c r="F11" s="16"/>
      <c r="G11" s="16"/>
      <c r="H11" s="16"/>
      <c r="I11" s="16"/>
    </row>
    <row r="12" spans="1:9" x14ac:dyDescent="0.25">
      <c r="A12" s="16"/>
      <c r="B12" s="24"/>
      <c r="C12" s="24"/>
      <c r="D12" s="24"/>
      <c r="E12" s="16"/>
      <c r="F12" s="16"/>
      <c r="G12" s="16"/>
      <c r="H12" s="16"/>
      <c r="I12" s="16"/>
    </row>
    <row r="13" spans="1:9" x14ac:dyDescent="0.25">
      <c r="A13" s="18" t="s">
        <v>26</v>
      </c>
      <c r="B13" s="24"/>
      <c r="C13" s="24"/>
      <c r="D13" s="24"/>
      <c r="E13" s="16"/>
      <c r="F13" s="16"/>
      <c r="G13" s="16"/>
      <c r="H13" s="16"/>
      <c r="I13" s="16"/>
    </row>
    <row r="14" spans="1:9" x14ac:dyDescent="0.25">
      <c r="A14" s="20" t="s">
        <v>27</v>
      </c>
      <c r="B14" s="21">
        <v>2000000</v>
      </c>
      <c r="C14" s="22">
        <v>1000000</v>
      </c>
      <c r="D14" s="24"/>
      <c r="E14" s="16"/>
      <c r="F14" s="16"/>
      <c r="G14" s="16"/>
      <c r="H14" s="16"/>
      <c r="I14" s="16"/>
    </row>
    <row r="15" spans="1:9" x14ac:dyDescent="0.25">
      <c r="A15" s="23" t="s">
        <v>28</v>
      </c>
      <c r="B15" s="24">
        <v>1000000</v>
      </c>
      <c r="C15" s="25">
        <v>2000000</v>
      </c>
      <c r="D15" s="24"/>
      <c r="E15" s="16"/>
      <c r="F15" s="16"/>
      <c r="G15" s="16"/>
      <c r="H15" s="16"/>
      <c r="I15" s="16"/>
    </row>
    <row r="16" spans="1:9" x14ac:dyDescent="0.25">
      <c r="A16" s="26" t="s">
        <v>29</v>
      </c>
      <c r="B16" s="27">
        <v>3000000</v>
      </c>
      <c r="C16" s="28">
        <v>3000000</v>
      </c>
      <c r="D16" s="24"/>
      <c r="E16" s="16"/>
      <c r="F16" s="16"/>
      <c r="G16" s="16"/>
      <c r="H16" s="16"/>
      <c r="I16" s="16"/>
    </row>
    <row r="17" spans="1:9" x14ac:dyDescent="0.25">
      <c r="A17" s="16"/>
      <c r="B17" s="16"/>
      <c r="C17" s="16"/>
      <c r="D17" s="16"/>
      <c r="E17" s="16"/>
      <c r="F17" s="16"/>
      <c r="G17" s="16"/>
      <c r="H17" s="16"/>
      <c r="I17" s="16"/>
    </row>
    <row r="18" spans="1:9" x14ac:dyDescent="0.25">
      <c r="A18" s="16"/>
      <c r="B18" s="16"/>
      <c r="C18" s="16"/>
      <c r="D18" s="16"/>
      <c r="E18" s="16"/>
      <c r="F18" s="16"/>
      <c r="G18" s="16"/>
      <c r="H18" s="16"/>
      <c r="I18" s="16"/>
    </row>
    <row r="19" spans="1:9" x14ac:dyDescent="0.25">
      <c r="A19" s="16"/>
      <c r="B19" s="16"/>
      <c r="C19" s="16"/>
      <c r="D19" s="16"/>
      <c r="E19" s="16"/>
      <c r="F19" s="16"/>
      <c r="G19" s="16"/>
      <c r="H19" s="16"/>
      <c r="I19" s="16"/>
    </row>
    <row r="20" spans="1:9" x14ac:dyDescent="0.25">
      <c r="A20" s="16"/>
      <c r="B20" s="16"/>
      <c r="C20" s="16"/>
      <c r="D20" s="16"/>
      <c r="E20" s="16"/>
      <c r="F20" s="16"/>
      <c r="G20" s="16"/>
      <c r="H20" s="16"/>
      <c r="I20" s="16"/>
    </row>
    <row r="21" spans="1:9" x14ac:dyDescent="0.25">
      <c r="A21" s="16"/>
      <c r="B21" s="16"/>
      <c r="C21" s="16"/>
      <c r="D21" s="16"/>
      <c r="E21" s="16"/>
      <c r="F21" s="16"/>
      <c r="G21" s="16"/>
      <c r="H21" s="16"/>
      <c r="I21" s="16"/>
    </row>
    <row r="22" spans="1:9" x14ac:dyDescent="0.25">
      <c r="A22" s="16"/>
      <c r="B22" s="16"/>
      <c r="C22" s="16"/>
      <c r="D22" s="16"/>
      <c r="E22" s="16"/>
      <c r="F22" s="16"/>
      <c r="G22" s="16"/>
      <c r="H22" s="16"/>
      <c r="I22" s="16"/>
    </row>
    <row r="23" spans="1:9" x14ac:dyDescent="0.25">
      <c r="A23" s="18" t="s">
        <v>30</v>
      </c>
      <c r="B23" s="16"/>
      <c r="C23" s="16"/>
      <c r="D23" s="16"/>
      <c r="E23" s="16"/>
      <c r="F23" s="16"/>
      <c r="G23" s="16"/>
      <c r="H23" s="16"/>
      <c r="I23" s="16"/>
    </row>
    <row r="24" spans="1:9" x14ac:dyDescent="0.25">
      <c r="A24" s="16" t="s">
        <v>31</v>
      </c>
      <c r="B24" s="16"/>
      <c r="C24" s="16"/>
      <c r="D24" s="16"/>
      <c r="E24" s="16"/>
      <c r="F24" s="16"/>
      <c r="G24" s="16"/>
      <c r="H24" s="16"/>
      <c r="I24" s="16"/>
    </row>
    <row r="25" spans="1:9" x14ac:dyDescent="0.25">
      <c r="A25" s="18" t="s">
        <v>73</v>
      </c>
      <c r="B25" s="16" t="s">
        <v>32</v>
      </c>
      <c r="C25" s="16" t="s">
        <v>33</v>
      </c>
      <c r="D25" s="16"/>
      <c r="E25" s="18" t="s">
        <v>93</v>
      </c>
      <c r="F25" s="16" t="s">
        <v>32</v>
      </c>
      <c r="G25" s="16" t="s">
        <v>33</v>
      </c>
      <c r="H25" s="16"/>
      <c r="I25" s="16"/>
    </row>
    <row r="26" spans="1:9" x14ac:dyDescent="0.25">
      <c r="A26" s="29" t="s">
        <v>34</v>
      </c>
      <c r="B26" s="30">
        <f>B9/B16</f>
        <v>0.12</v>
      </c>
      <c r="C26" s="30">
        <f>C9/C16</f>
        <v>0.12</v>
      </c>
      <c r="D26" s="30"/>
      <c r="E26" s="18" t="s">
        <v>35</v>
      </c>
      <c r="F26" s="30">
        <f>B11/B14</f>
        <v>0.14000000000000001</v>
      </c>
      <c r="G26" s="30">
        <f>C11/C14</f>
        <v>0.2</v>
      </c>
      <c r="H26" s="16"/>
      <c r="I26" s="16"/>
    </row>
    <row r="27" spans="1:9" x14ac:dyDescent="0.25">
      <c r="A27" s="16" t="s">
        <v>15</v>
      </c>
      <c r="B27" s="16"/>
      <c r="C27" s="16"/>
      <c r="D27" s="16"/>
      <c r="E27" s="16" t="s">
        <v>36</v>
      </c>
      <c r="F27" s="16"/>
      <c r="G27" s="16"/>
      <c r="H27" s="16"/>
      <c r="I27" s="16"/>
    </row>
    <row r="28" spans="1:9" x14ac:dyDescent="0.25">
      <c r="A28" s="16" t="s">
        <v>37</v>
      </c>
      <c r="B28" s="16"/>
      <c r="C28" s="16"/>
      <c r="D28" s="16"/>
      <c r="E28" s="16" t="s">
        <v>38</v>
      </c>
      <c r="F28" s="16"/>
      <c r="G28" s="16"/>
      <c r="H28" s="16"/>
      <c r="I28" s="16"/>
    </row>
    <row r="29" spans="1:9" x14ac:dyDescent="0.25">
      <c r="A29" s="16"/>
      <c r="B29" s="16"/>
      <c r="C29" s="16"/>
      <c r="D29" s="16"/>
      <c r="E29" s="16"/>
      <c r="F29" s="16"/>
      <c r="G29" s="16"/>
      <c r="H29" s="16"/>
      <c r="I29" s="16"/>
    </row>
    <row r="30" spans="1:9" x14ac:dyDescent="0.25">
      <c r="A30" s="16" t="s">
        <v>39</v>
      </c>
      <c r="B30" s="16"/>
      <c r="C30" s="16"/>
      <c r="D30" s="16"/>
      <c r="E30" s="16"/>
      <c r="F30" s="16"/>
      <c r="G30" s="16"/>
      <c r="H30" s="16"/>
      <c r="I30" s="16"/>
    </row>
    <row r="33" spans="1:9" s="203" customFormat="1" x14ac:dyDescent="0.25"/>
    <row r="35" spans="1:9" x14ac:dyDescent="0.25">
      <c r="A35" s="1" t="s">
        <v>3160</v>
      </c>
    </row>
    <row r="36" spans="1:9" x14ac:dyDescent="0.25">
      <c r="A36" t="s">
        <v>3161</v>
      </c>
    </row>
    <row r="37" spans="1:9" x14ac:dyDescent="0.25">
      <c r="A37" s="1" t="s">
        <v>3162</v>
      </c>
    </row>
    <row r="39" spans="1:9" x14ac:dyDescent="0.25">
      <c r="A39" s="1" t="s">
        <v>3163</v>
      </c>
    </row>
    <row r="41" spans="1:9" x14ac:dyDescent="0.25">
      <c r="A41" s="1" t="s">
        <v>572</v>
      </c>
      <c r="B41" s="1">
        <v>20000000</v>
      </c>
      <c r="E41" s="1" t="s">
        <v>3164</v>
      </c>
    </row>
    <row r="42" spans="1:9" x14ac:dyDescent="0.25">
      <c r="A42" s="1" t="s">
        <v>3169</v>
      </c>
      <c r="B42" s="1">
        <f>10000000</f>
        <v>10000000</v>
      </c>
      <c r="E42" s="1" t="s">
        <v>3165</v>
      </c>
      <c r="G42" s="1">
        <f>B41/B42</f>
        <v>2</v>
      </c>
    </row>
    <row r="43" spans="1:9" x14ac:dyDescent="0.25">
      <c r="A43" s="1" t="s">
        <v>27</v>
      </c>
      <c r="B43" s="1">
        <f>10000000/2</f>
        <v>5000000</v>
      </c>
      <c r="E43" s="1" t="s">
        <v>796</v>
      </c>
      <c r="F43" s="1" t="s">
        <v>3166</v>
      </c>
      <c r="I43" s="1">
        <f>B42/B43</f>
        <v>2</v>
      </c>
    </row>
    <row r="44" spans="1:9" x14ac:dyDescent="0.25">
      <c r="E44" s="1" t="s">
        <v>3167</v>
      </c>
    </row>
    <row r="45" spans="1:9" x14ac:dyDescent="0.25">
      <c r="E45" s="1" t="s">
        <v>3168</v>
      </c>
      <c r="F45" s="1">
        <f>0.05*G42*I43*0.85</f>
        <v>0.17</v>
      </c>
    </row>
    <row r="46" spans="1:9" x14ac:dyDescent="0.25">
      <c r="A46" s="1" t="s">
        <v>3170</v>
      </c>
    </row>
    <row r="50" spans="1:1" x14ac:dyDescent="0.25">
      <c r="A50" s="923"/>
    </row>
  </sheetData>
  <mergeCells count="1">
    <mergeCell ref="F2:G2"/>
  </mergeCells>
  <hyperlinks>
    <hyperlink ref="G2" location="'Formler og forklaringer'!A1" display="Formler og forklaringer" xr:uid="{00000000-0004-0000-0700-000000000000}"/>
    <hyperlink ref="E2" location="Regnskaber!A1" display="Regnskaber" xr:uid="{00000000-0004-0000-0700-000001000000}"/>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N114"/>
  <sheetViews>
    <sheetView topLeftCell="A33" zoomScale="90" zoomScaleNormal="90" zoomScalePageLayoutView="90" workbookViewId="0">
      <selection activeCell="C60" sqref="C60"/>
    </sheetView>
  </sheetViews>
  <sheetFormatPr defaultColWidth="10.875" defaultRowHeight="15.75" x14ac:dyDescent="0.25"/>
  <cols>
    <col min="1" max="1" width="10.875" style="1"/>
    <col min="2" max="2" width="28.375" style="1" customWidth="1"/>
    <col min="3" max="4" width="10.875" style="1"/>
    <col min="5" max="5" width="29" style="1" customWidth="1"/>
    <col min="6" max="6" width="10.875" style="1"/>
    <col min="7" max="7" width="29.125" style="1" customWidth="1"/>
    <col min="8" max="11" width="10.875" style="1"/>
    <col min="12" max="12" width="21.625" style="1" customWidth="1"/>
    <col min="13" max="13" width="13.625" style="1" customWidth="1"/>
    <col min="14" max="14" width="14.5" style="1" customWidth="1"/>
    <col min="15" max="16384" width="10.875" style="1"/>
  </cols>
  <sheetData>
    <row r="1" spans="5:14" x14ac:dyDescent="0.25">
      <c r="G1" s="14"/>
    </row>
    <row r="2" spans="5:14" x14ac:dyDescent="0.25">
      <c r="E2" s="101" t="s">
        <v>1220</v>
      </c>
      <c r="G2" s="14"/>
    </row>
    <row r="3" spans="5:14" x14ac:dyDescent="0.25">
      <c r="G3" s="14"/>
    </row>
    <row r="4" spans="5:14" x14ac:dyDescent="0.25">
      <c r="G4" s="14"/>
    </row>
    <row r="5" spans="5:14" x14ac:dyDescent="0.25">
      <c r="G5" s="14"/>
    </row>
    <row r="6" spans="5:14" x14ac:dyDescent="0.25">
      <c r="G6" s="14"/>
      <c r="K6" s="168" t="s">
        <v>268</v>
      </c>
      <c r="L6" s="169"/>
      <c r="M6" s="170"/>
      <c r="N6" s="169"/>
    </row>
    <row r="7" spans="5:14" x14ac:dyDescent="0.25">
      <c r="G7" s="14"/>
      <c r="K7" s="171" t="s">
        <v>269</v>
      </c>
      <c r="L7" s="169"/>
      <c r="M7" s="172"/>
      <c r="N7" s="169"/>
    </row>
    <row r="8" spans="5:14" x14ac:dyDescent="0.25">
      <c r="G8" s="14"/>
      <c r="K8" s="169"/>
      <c r="L8" s="169"/>
      <c r="M8" s="169"/>
      <c r="N8" s="169"/>
    </row>
    <row r="9" spans="5:14" x14ac:dyDescent="0.25">
      <c r="G9" s="14"/>
      <c r="K9" s="168" t="s">
        <v>270</v>
      </c>
      <c r="L9" s="173" t="s">
        <v>271</v>
      </c>
      <c r="M9" s="168" t="s">
        <v>272</v>
      </c>
      <c r="N9" s="169"/>
    </row>
    <row r="10" spans="5:14" x14ac:dyDescent="0.25">
      <c r="G10" s="14"/>
      <c r="K10" s="169" t="s">
        <v>273</v>
      </c>
      <c r="L10" s="169">
        <v>140000</v>
      </c>
      <c r="M10" s="169" t="s">
        <v>219</v>
      </c>
      <c r="N10" s="169"/>
    </row>
    <row r="11" spans="5:14" x14ac:dyDescent="0.25">
      <c r="G11" s="14"/>
      <c r="K11" s="169" t="s">
        <v>274</v>
      </c>
      <c r="L11" s="169">
        <v>96000</v>
      </c>
      <c r="M11" s="169" t="s">
        <v>220</v>
      </c>
      <c r="N11" s="169"/>
    </row>
    <row r="12" spans="5:14" x14ac:dyDescent="0.25">
      <c r="G12" s="14"/>
      <c r="K12" s="169" t="s">
        <v>275</v>
      </c>
      <c r="L12" s="169">
        <v>120000</v>
      </c>
      <c r="M12" s="169" t="s">
        <v>217</v>
      </c>
      <c r="N12" s="169"/>
    </row>
    <row r="13" spans="5:14" x14ac:dyDescent="0.25">
      <c r="G13" s="14"/>
      <c r="K13" s="169" t="s">
        <v>276</v>
      </c>
      <c r="L13" s="169">
        <v>4300</v>
      </c>
      <c r="M13" s="169" t="s">
        <v>217</v>
      </c>
      <c r="N13" s="169"/>
    </row>
    <row r="14" spans="5:14" x14ac:dyDescent="0.25">
      <c r="G14" s="14"/>
      <c r="K14" s="169" t="s">
        <v>277</v>
      </c>
      <c r="L14" s="169">
        <v>45000</v>
      </c>
      <c r="M14" s="169" t="s">
        <v>220</v>
      </c>
      <c r="N14" s="169"/>
    </row>
    <row r="15" spans="5:14" x14ac:dyDescent="0.25">
      <c r="G15" s="14"/>
      <c r="K15" s="169" t="s">
        <v>278</v>
      </c>
      <c r="L15" s="169">
        <v>12000</v>
      </c>
      <c r="M15" s="169" t="s">
        <v>220</v>
      </c>
      <c r="N15" s="169"/>
    </row>
    <row r="16" spans="5:14" x14ac:dyDescent="0.25">
      <c r="G16" s="14"/>
      <c r="K16" s="169" t="s">
        <v>279</v>
      </c>
      <c r="L16" s="169">
        <v>4000</v>
      </c>
      <c r="M16" s="169" t="s">
        <v>219</v>
      </c>
      <c r="N16" s="169"/>
    </row>
    <row r="17" spans="7:14" x14ac:dyDescent="0.25">
      <c r="G17" s="14"/>
      <c r="K17" s="169" t="s">
        <v>280</v>
      </c>
      <c r="L17" s="169">
        <v>58000</v>
      </c>
      <c r="M17" s="169" t="s">
        <v>219</v>
      </c>
      <c r="N17" s="169"/>
    </row>
    <row r="18" spans="7:14" x14ac:dyDescent="0.25">
      <c r="G18" s="14"/>
      <c r="K18" s="169" t="s">
        <v>281</v>
      </c>
      <c r="L18" s="169">
        <v>12000</v>
      </c>
      <c r="M18" s="169" t="s">
        <v>219</v>
      </c>
      <c r="N18" s="169"/>
    </row>
    <row r="19" spans="7:14" x14ac:dyDescent="0.25">
      <c r="G19" s="14"/>
      <c r="K19" s="169" t="s">
        <v>282</v>
      </c>
      <c r="L19" s="169">
        <v>120000</v>
      </c>
      <c r="M19" s="169" t="s">
        <v>217</v>
      </c>
      <c r="N19" s="169" t="s">
        <v>283</v>
      </c>
    </row>
    <row r="20" spans="7:14" x14ac:dyDescent="0.25">
      <c r="G20" s="14"/>
      <c r="K20" s="169" t="s">
        <v>284</v>
      </c>
      <c r="L20" s="169">
        <v>12000</v>
      </c>
      <c r="M20" s="169" t="s">
        <v>285</v>
      </c>
      <c r="N20" s="169" t="s">
        <v>286</v>
      </c>
    </row>
    <row r="21" spans="7:14" x14ac:dyDescent="0.25">
      <c r="G21" s="14"/>
      <c r="K21" s="169" t="s">
        <v>287</v>
      </c>
      <c r="L21" s="169">
        <v>2138000</v>
      </c>
      <c r="M21" s="169" t="s">
        <v>288</v>
      </c>
      <c r="N21" s="169"/>
    </row>
    <row r="22" spans="7:14" x14ac:dyDescent="0.25">
      <c r="G22" s="14"/>
      <c r="K22" s="169" t="s">
        <v>289</v>
      </c>
      <c r="L22" s="169">
        <v>6000</v>
      </c>
      <c r="M22" s="169" t="s">
        <v>290</v>
      </c>
      <c r="N22" s="169" t="s">
        <v>286</v>
      </c>
    </row>
    <row r="23" spans="7:14" x14ac:dyDescent="0.25">
      <c r="G23" s="14"/>
      <c r="K23" s="169" t="s">
        <v>291</v>
      </c>
      <c r="L23" s="169">
        <v>35000</v>
      </c>
      <c r="M23" s="169" t="s">
        <v>220</v>
      </c>
      <c r="N23" s="169"/>
    </row>
    <row r="24" spans="7:14" x14ac:dyDescent="0.25">
      <c r="G24" s="14"/>
      <c r="K24" s="169" t="s">
        <v>292</v>
      </c>
      <c r="L24" s="169">
        <v>135000</v>
      </c>
      <c r="M24" s="169" t="s">
        <v>219</v>
      </c>
      <c r="N24" s="169"/>
    </row>
    <row r="25" spans="7:14" x14ac:dyDescent="0.25">
      <c r="G25" s="14"/>
      <c r="K25" s="169" t="s">
        <v>293</v>
      </c>
      <c r="L25" s="169">
        <v>800000</v>
      </c>
      <c r="M25" s="169" t="s">
        <v>294</v>
      </c>
      <c r="N25" s="169"/>
    </row>
    <row r="26" spans="7:14" x14ac:dyDescent="0.25">
      <c r="G26" s="14"/>
      <c r="K26" s="169" t="s">
        <v>295</v>
      </c>
      <c r="L26" s="169">
        <v>25000</v>
      </c>
      <c r="M26" s="169" t="s">
        <v>217</v>
      </c>
      <c r="N26" s="169"/>
    </row>
    <row r="27" spans="7:14" x14ac:dyDescent="0.25">
      <c r="G27" s="14"/>
      <c r="K27" s="169" t="s">
        <v>296</v>
      </c>
      <c r="L27" s="169">
        <v>22000</v>
      </c>
      <c r="M27" s="169" t="s">
        <v>285</v>
      </c>
      <c r="N27" s="169"/>
    </row>
    <row r="28" spans="7:14" x14ac:dyDescent="0.25">
      <c r="G28" s="14"/>
    </row>
    <row r="29" spans="7:14" x14ac:dyDescent="0.25">
      <c r="G29" s="14"/>
    </row>
    <row r="30" spans="7:14" x14ac:dyDescent="0.25">
      <c r="G30" s="14"/>
    </row>
    <row r="31" spans="7:14" x14ac:dyDescent="0.25">
      <c r="G31" s="14"/>
    </row>
    <row r="32" spans="7:14" x14ac:dyDescent="0.25">
      <c r="G32" s="14"/>
    </row>
    <row r="33" spans="1:7" x14ac:dyDescent="0.25">
      <c r="G33" s="14"/>
    </row>
    <row r="34" spans="1:7" x14ac:dyDescent="0.25">
      <c r="G34" s="14"/>
    </row>
    <row r="35" spans="1:7" x14ac:dyDescent="0.25">
      <c r="G35" s="15"/>
    </row>
    <row r="36" spans="1:7" x14ac:dyDescent="0.25">
      <c r="A36" s="1" t="s">
        <v>3120</v>
      </c>
      <c r="G36" s="7"/>
    </row>
    <row r="37" spans="1:7" x14ac:dyDescent="0.25">
      <c r="A37" s="1" t="s">
        <v>3118</v>
      </c>
      <c r="G37" s="7"/>
    </row>
    <row r="38" spans="1:7" x14ac:dyDescent="0.25">
      <c r="A38" s="1" t="s">
        <v>3084</v>
      </c>
      <c r="G38" s="7"/>
    </row>
    <row r="39" spans="1:7" x14ac:dyDescent="0.25">
      <c r="A39" s="1" t="s">
        <v>3085</v>
      </c>
      <c r="G39" s="7"/>
    </row>
    <row r="40" spans="1:7" x14ac:dyDescent="0.25">
      <c r="A40" s="1" t="s">
        <v>3086</v>
      </c>
      <c r="G40" s="7"/>
    </row>
    <row r="41" spans="1:7" x14ac:dyDescent="0.25">
      <c r="A41" s="1" t="s">
        <v>3087</v>
      </c>
      <c r="G41" s="7"/>
    </row>
    <row r="42" spans="1:7" x14ac:dyDescent="0.25">
      <c r="A42" s="1" t="s">
        <v>3088</v>
      </c>
      <c r="G42" s="7"/>
    </row>
    <row r="43" spans="1:7" x14ac:dyDescent="0.25">
      <c r="A43" s="1" t="s">
        <v>3089</v>
      </c>
      <c r="G43" s="7"/>
    </row>
    <row r="44" spans="1:7" x14ac:dyDescent="0.25">
      <c r="A44" s="1" t="s">
        <v>3090</v>
      </c>
      <c r="G44" s="7"/>
    </row>
    <row r="45" spans="1:7" x14ac:dyDescent="0.25">
      <c r="A45" s="1" t="s">
        <v>3091</v>
      </c>
      <c r="G45" s="7"/>
    </row>
    <row r="46" spans="1:7" x14ac:dyDescent="0.25">
      <c r="A46" s="1" t="s">
        <v>3092</v>
      </c>
      <c r="G46" s="7"/>
    </row>
    <row r="47" spans="1:7" x14ac:dyDescent="0.25">
      <c r="A47" s="1" t="s">
        <v>3093</v>
      </c>
      <c r="G47" s="7"/>
    </row>
    <row r="48" spans="1:7" x14ac:dyDescent="0.25">
      <c r="A48" s="1" t="s">
        <v>3094</v>
      </c>
      <c r="G48" s="7"/>
    </row>
    <row r="49" spans="1:8" x14ac:dyDescent="0.25">
      <c r="A49" s="1" t="s">
        <v>3095</v>
      </c>
      <c r="G49" s="7"/>
    </row>
    <row r="50" spans="1:8" x14ac:dyDescent="0.25">
      <c r="A50" s="1" t="s">
        <v>3096</v>
      </c>
      <c r="G50" s="7"/>
    </row>
    <row r="51" spans="1:8" x14ac:dyDescent="0.25">
      <c r="G51" s="7"/>
    </row>
    <row r="52" spans="1:8" x14ac:dyDescent="0.25">
      <c r="A52" s="921" t="s">
        <v>3138</v>
      </c>
    </row>
    <row r="53" spans="1:8" x14ac:dyDescent="0.25">
      <c r="A53" s="921" t="s">
        <v>3139</v>
      </c>
    </row>
    <row r="54" spans="1:8" x14ac:dyDescent="0.25">
      <c r="A54" s="1" t="s">
        <v>3121</v>
      </c>
    </row>
    <row r="55" spans="1:8" x14ac:dyDescent="0.25">
      <c r="A55" s="1" t="s">
        <v>3122</v>
      </c>
    </row>
    <row r="56" spans="1:8" x14ac:dyDescent="0.25">
      <c r="A56" s="1" t="s">
        <v>3123</v>
      </c>
      <c r="G56" s="1" t="s">
        <v>3132</v>
      </c>
    </row>
    <row r="57" spans="1:8" x14ac:dyDescent="0.25">
      <c r="A57" s="1" t="s">
        <v>3124</v>
      </c>
      <c r="G57" s="1" t="s">
        <v>3133</v>
      </c>
      <c r="H57" s="1">
        <f>500000+700000-800000-300000-70000+600000-325000-120000</f>
        <v>185000</v>
      </c>
    </row>
    <row r="58" spans="1:8" x14ac:dyDescent="0.25">
      <c r="A58" s="1" t="s">
        <v>3125</v>
      </c>
      <c r="G58" s="7" t="s">
        <v>3134</v>
      </c>
      <c r="H58" s="1">
        <f>800000-200000</f>
        <v>600000</v>
      </c>
    </row>
    <row r="59" spans="1:8" x14ac:dyDescent="0.25">
      <c r="A59" s="1" t="s">
        <v>3126</v>
      </c>
      <c r="G59" s="7" t="s">
        <v>3135</v>
      </c>
      <c r="H59" s="1">
        <f>300000-200000</f>
        <v>100000</v>
      </c>
    </row>
    <row r="60" spans="1:8" x14ac:dyDescent="0.25">
      <c r="A60" s="1" t="s">
        <v>3127</v>
      </c>
      <c r="G60" s="7" t="s">
        <v>3136</v>
      </c>
      <c r="H60" s="1">
        <f>1100000-600000</f>
        <v>500000</v>
      </c>
    </row>
    <row r="61" spans="1:8" x14ac:dyDescent="0.25">
      <c r="A61" s="1" t="s">
        <v>3128</v>
      </c>
      <c r="G61" s="7" t="s">
        <v>3137</v>
      </c>
      <c r="H61" s="1">
        <v>65000</v>
      </c>
    </row>
    <row r="62" spans="1:8" x14ac:dyDescent="0.25">
      <c r="A62" s="1" t="s">
        <v>3129</v>
      </c>
      <c r="G62" s="7" t="s">
        <v>3132</v>
      </c>
      <c r="H62" s="1">
        <f>SUM(H57:H61)</f>
        <v>1450000</v>
      </c>
    </row>
    <row r="63" spans="1:8" x14ac:dyDescent="0.25">
      <c r="A63" s="1" t="s">
        <v>3130</v>
      </c>
      <c r="G63" s="7"/>
    </row>
    <row r="64" spans="1:8" x14ac:dyDescent="0.25">
      <c r="A64" s="1" t="s">
        <v>3131</v>
      </c>
      <c r="G64" s="7"/>
    </row>
    <row r="66" spans="1:7" x14ac:dyDescent="0.25">
      <c r="A66" s="1" t="s">
        <v>3140</v>
      </c>
      <c r="E66" s="1" t="s">
        <v>3146</v>
      </c>
    </row>
    <row r="67" spans="1:7" x14ac:dyDescent="0.25">
      <c r="A67" s="1" t="s">
        <v>3141</v>
      </c>
      <c r="E67" s="1" t="s">
        <v>3143</v>
      </c>
      <c r="F67" s="1">
        <v>500000</v>
      </c>
    </row>
    <row r="68" spans="1:7" x14ac:dyDescent="0.25">
      <c r="A68" s="1" t="s">
        <v>3142</v>
      </c>
      <c r="E68" s="1" t="s">
        <v>3144</v>
      </c>
      <c r="F68" s="1">
        <v>300000</v>
      </c>
    </row>
    <row r="69" spans="1:7" x14ac:dyDescent="0.25">
      <c r="E69" s="1" t="s">
        <v>3145</v>
      </c>
      <c r="F69" s="1">
        <f>F67+F68</f>
        <v>800000</v>
      </c>
    </row>
    <row r="72" spans="1:7" x14ac:dyDescent="0.25">
      <c r="A72" s="1" t="s">
        <v>3147</v>
      </c>
      <c r="G72" s="7"/>
    </row>
    <row r="73" spans="1:7" x14ac:dyDescent="0.25">
      <c r="G73" s="7"/>
    </row>
    <row r="74" spans="1:7" x14ac:dyDescent="0.25">
      <c r="G74" s="7"/>
    </row>
    <row r="75" spans="1:7" x14ac:dyDescent="0.25">
      <c r="G75" s="7"/>
    </row>
    <row r="76" spans="1:7" x14ac:dyDescent="0.25">
      <c r="G76" s="7"/>
    </row>
    <row r="77" spans="1:7" x14ac:dyDescent="0.25">
      <c r="G77" s="7"/>
    </row>
    <row r="78" spans="1:7" x14ac:dyDescent="0.25">
      <c r="G78" s="7"/>
    </row>
    <row r="79" spans="1:7" x14ac:dyDescent="0.25">
      <c r="G79" s="7"/>
    </row>
    <row r="80" spans="1:7" x14ac:dyDescent="0.25">
      <c r="G80" s="7"/>
    </row>
    <row r="81" spans="2:8" x14ac:dyDescent="0.25">
      <c r="G81" s="7"/>
    </row>
    <row r="82" spans="2:8" x14ac:dyDescent="0.25">
      <c r="G82" s="7"/>
    </row>
    <row r="83" spans="2:8" x14ac:dyDescent="0.25">
      <c r="G83" s="7"/>
    </row>
    <row r="84" spans="2:8" x14ac:dyDescent="0.25">
      <c r="G84" s="7"/>
    </row>
    <row r="85" spans="2:8" s="12" customFormat="1" x14ac:dyDescent="0.25"/>
    <row r="86" spans="2:8" x14ac:dyDescent="0.25">
      <c r="B86" s="183" t="s">
        <v>502</v>
      </c>
      <c r="C86" s="52"/>
      <c r="D86" s="52"/>
      <c r="E86" s="52"/>
      <c r="F86" s="52"/>
      <c r="G86" s="52"/>
      <c r="H86" s="52"/>
    </row>
    <row r="87" spans="2:8" x14ac:dyDescent="0.25">
      <c r="B87" s="188" t="s">
        <v>503</v>
      </c>
      <c r="C87" s="52"/>
      <c r="D87" s="52"/>
      <c r="E87" s="52"/>
      <c r="F87" s="52"/>
      <c r="G87" s="52"/>
      <c r="H87" s="52"/>
    </row>
    <row r="88" spans="2:8" x14ac:dyDescent="0.25">
      <c r="B88" s="188" t="s">
        <v>504</v>
      </c>
      <c r="C88" s="228" t="s">
        <v>505</v>
      </c>
      <c r="D88" s="52"/>
      <c r="E88" s="189" t="s">
        <v>506</v>
      </c>
      <c r="F88" s="229" t="s">
        <v>507</v>
      </c>
      <c r="G88" s="189" t="s">
        <v>508</v>
      </c>
      <c r="H88" s="229" t="s">
        <v>507</v>
      </c>
    </row>
    <row r="89" spans="2:8" x14ac:dyDescent="0.25">
      <c r="B89" s="52" t="s">
        <v>509</v>
      </c>
      <c r="C89" s="52">
        <v>4000</v>
      </c>
      <c r="D89" s="52"/>
      <c r="E89" s="192" t="s">
        <v>510</v>
      </c>
      <c r="F89" s="191"/>
      <c r="G89" s="192" t="s">
        <v>511</v>
      </c>
      <c r="H89" s="191"/>
    </row>
    <row r="90" spans="2:8" x14ac:dyDescent="0.25">
      <c r="B90" s="52" t="s">
        <v>512</v>
      </c>
      <c r="C90" s="52">
        <v>1500</v>
      </c>
      <c r="D90" s="52"/>
      <c r="E90" s="182"/>
      <c r="F90" s="191"/>
      <c r="G90" s="182" t="s">
        <v>513</v>
      </c>
      <c r="H90" s="191">
        <v>2000</v>
      </c>
    </row>
    <row r="91" spans="2:8" x14ac:dyDescent="0.25">
      <c r="B91" s="52" t="s">
        <v>514</v>
      </c>
      <c r="C91" s="52">
        <v>1000</v>
      </c>
      <c r="D91" s="52"/>
      <c r="E91" s="182"/>
      <c r="F91" s="191"/>
      <c r="G91" s="182" t="s">
        <v>515</v>
      </c>
      <c r="H91" s="191">
        <v>1056</v>
      </c>
    </row>
    <row r="92" spans="2:8" x14ac:dyDescent="0.25">
      <c r="B92" s="52" t="s">
        <v>516</v>
      </c>
      <c r="C92" s="52">
        <v>420</v>
      </c>
      <c r="D92" s="52"/>
      <c r="E92" s="182"/>
      <c r="F92" s="191"/>
      <c r="G92" s="182"/>
      <c r="H92" s="191"/>
    </row>
    <row r="93" spans="2:8" x14ac:dyDescent="0.25">
      <c r="B93" s="52" t="s">
        <v>517</v>
      </c>
      <c r="C93" s="52">
        <v>608</v>
      </c>
      <c r="D93" s="52"/>
      <c r="E93" s="182"/>
      <c r="F93" s="191"/>
      <c r="G93" s="182"/>
      <c r="H93" s="191"/>
    </row>
    <row r="94" spans="2:8" x14ac:dyDescent="0.25">
      <c r="B94" s="52" t="s">
        <v>518</v>
      </c>
      <c r="C94" s="52">
        <v>1640</v>
      </c>
      <c r="D94" s="52"/>
      <c r="E94" s="192" t="s">
        <v>519</v>
      </c>
      <c r="F94" s="191"/>
      <c r="G94" s="192" t="s">
        <v>520</v>
      </c>
      <c r="H94" s="191"/>
    </row>
    <row r="95" spans="2:8" x14ac:dyDescent="0.25">
      <c r="B95" s="52" t="s">
        <v>521</v>
      </c>
      <c r="C95" s="52">
        <v>2040</v>
      </c>
      <c r="D95" s="52"/>
      <c r="E95" s="182" t="s">
        <v>509</v>
      </c>
      <c r="F95" s="191">
        <v>4000</v>
      </c>
      <c r="G95" s="182" t="s">
        <v>522</v>
      </c>
      <c r="H95" s="191">
        <v>80</v>
      </c>
    </row>
    <row r="96" spans="2:8" x14ac:dyDescent="0.25">
      <c r="B96" s="52" t="s">
        <v>523</v>
      </c>
      <c r="C96" s="52">
        <v>296</v>
      </c>
      <c r="D96" s="52"/>
      <c r="E96" s="182" t="s">
        <v>512</v>
      </c>
      <c r="F96" s="191">
        <v>1500</v>
      </c>
      <c r="G96" s="182"/>
      <c r="H96" s="191"/>
    </row>
    <row r="97" spans="2:8" x14ac:dyDescent="0.25">
      <c r="B97" s="52" t="s">
        <v>524</v>
      </c>
      <c r="C97" s="52">
        <v>44</v>
      </c>
      <c r="D97" s="52"/>
      <c r="E97" s="182" t="s">
        <v>523</v>
      </c>
      <c r="F97" s="191">
        <v>296</v>
      </c>
      <c r="G97" s="182"/>
      <c r="H97" s="191"/>
    </row>
    <row r="98" spans="2:8" x14ac:dyDescent="0.25">
      <c r="B98" s="52" t="s">
        <v>525</v>
      </c>
      <c r="C98" s="52">
        <v>36</v>
      </c>
      <c r="D98" s="52"/>
      <c r="E98" s="182"/>
      <c r="F98" s="191"/>
      <c r="G98" s="182"/>
      <c r="H98" s="191"/>
    </row>
    <row r="99" spans="2:8" x14ac:dyDescent="0.25">
      <c r="B99" s="52" t="s">
        <v>526</v>
      </c>
      <c r="C99" s="52">
        <v>2000</v>
      </c>
      <c r="D99" s="52"/>
      <c r="E99" s="192" t="s">
        <v>527</v>
      </c>
      <c r="F99" s="191"/>
      <c r="G99" s="192" t="s">
        <v>528</v>
      </c>
      <c r="H99" s="191"/>
    </row>
    <row r="100" spans="2:8" x14ac:dyDescent="0.25">
      <c r="B100" s="52" t="s">
        <v>515</v>
      </c>
      <c r="C100" s="52">
        <v>1056</v>
      </c>
      <c r="D100" s="52"/>
      <c r="E100" s="182" t="s">
        <v>529</v>
      </c>
      <c r="F100" s="191">
        <v>1000</v>
      </c>
      <c r="G100" s="182" t="s">
        <v>530</v>
      </c>
      <c r="H100" s="191">
        <v>2916</v>
      </c>
    </row>
    <row r="101" spans="2:8" x14ac:dyDescent="0.25">
      <c r="B101" s="52" t="s">
        <v>522</v>
      </c>
      <c r="C101" s="52">
        <v>80</v>
      </c>
      <c r="D101" s="52"/>
      <c r="E101" s="182"/>
      <c r="F101" s="191"/>
      <c r="G101" s="182" t="s">
        <v>531</v>
      </c>
      <c r="H101" s="191">
        <v>2168</v>
      </c>
    </row>
    <row r="102" spans="2:8" x14ac:dyDescent="0.25">
      <c r="B102" s="52" t="s">
        <v>532</v>
      </c>
      <c r="C102" s="52">
        <v>2520</v>
      </c>
      <c r="D102" s="52"/>
      <c r="E102" s="182"/>
      <c r="F102" s="191"/>
      <c r="G102" s="182" t="s">
        <v>533</v>
      </c>
      <c r="H102" s="191">
        <v>292</v>
      </c>
    </row>
    <row r="103" spans="2:8" x14ac:dyDescent="0.25">
      <c r="B103" s="52" t="s">
        <v>530</v>
      </c>
      <c r="C103" s="52">
        <v>2916</v>
      </c>
      <c r="D103" s="52"/>
      <c r="E103" s="182"/>
      <c r="F103" s="191"/>
      <c r="G103" s="182" t="s">
        <v>534</v>
      </c>
      <c r="H103" s="191">
        <v>352</v>
      </c>
    </row>
    <row r="104" spans="2:8" x14ac:dyDescent="0.25">
      <c r="B104" s="52" t="s">
        <v>531</v>
      </c>
      <c r="C104" s="52">
        <v>2168</v>
      </c>
      <c r="D104" s="52"/>
      <c r="E104" s="192" t="s">
        <v>535</v>
      </c>
      <c r="F104" s="191"/>
      <c r="G104" s="182" t="s">
        <v>536</v>
      </c>
      <c r="H104" s="191">
        <v>200</v>
      </c>
    </row>
    <row r="105" spans="2:8" x14ac:dyDescent="0.25">
      <c r="B105" s="52" t="s">
        <v>533</v>
      </c>
      <c r="C105" s="52">
        <v>292</v>
      </c>
      <c r="D105" s="52"/>
      <c r="E105" s="182" t="s">
        <v>516</v>
      </c>
      <c r="F105" s="191">
        <v>420</v>
      </c>
      <c r="G105" s="192" t="s">
        <v>537</v>
      </c>
      <c r="H105" s="191"/>
    </row>
    <row r="106" spans="2:8" x14ac:dyDescent="0.25">
      <c r="B106" s="52" t="s">
        <v>534</v>
      </c>
      <c r="C106" s="52">
        <v>352</v>
      </c>
      <c r="D106" s="52"/>
      <c r="E106" s="182" t="s">
        <v>517</v>
      </c>
      <c r="F106" s="191">
        <v>608</v>
      </c>
      <c r="G106" s="182" t="s">
        <v>532</v>
      </c>
      <c r="H106" s="191">
        <v>2520</v>
      </c>
    </row>
    <row r="107" spans="2:8" x14ac:dyDescent="0.25">
      <c r="B107" s="52" t="s">
        <v>536</v>
      </c>
      <c r="C107" s="52">
        <v>200</v>
      </c>
      <c r="D107" s="52"/>
      <c r="E107" s="182" t="s">
        <v>518</v>
      </c>
      <c r="F107" s="191">
        <v>1640</v>
      </c>
      <c r="G107" s="182"/>
      <c r="H107" s="191"/>
    </row>
    <row r="108" spans="2:8" x14ac:dyDescent="0.25">
      <c r="B108" s="52"/>
      <c r="C108" s="52"/>
      <c r="D108" s="52"/>
      <c r="E108" s="182" t="s">
        <v>538</v>
      </c>
      <c r="F108" s="191">
        <v>2040</v>
      </c>
      <c r="G108" s="182"/>
      <c r="H108" s="191"/>
    </row>
    <row r="109" spans="2:8" x14ac:dyDescent="0.25">
      <c r="B109" s="52"/>
      <c r="C109" s="52"/>
      <c r="D109" s="52"/>
      <c r="E109" s="182" t="s">
        <v>524</v>
      </c>
      <c r="F109" s="191">
        <v>44</v>
      </c>
      <c r="G109" s="182"/>
      <c r="H109" s="191"/>
    </row>
    <row r="110" spans="2:8" x14ac:dyDescent="0.25">
      <c r="B110" s="52"/>
      <c r="C110" s="52"/>
      <c r="D110" s="52"/>
      <c r="E110" s="182" t="s">
        <v>525</v>
      </c>
      <c r="F110" s="191">
        <v>36</v>
      </c>
      <c r="G110" s="182"/>
      <c r="H110" s="191"/>
    </row>
    <row r="111" spans="2:8" x14ac:dyDescent="0.25">
      <c r="B111" s="52"/>
      <c r="C111" s="52"/>
      <c r="D111" s="52"/>
      <c r="E111" s="182"/>
      <c r="F111" s="191"/>
      <c r="G111" s="182"/>
      <c r="H111" s="191"/>
    </row>
    <row r="112" spans="2:8" x14ac:dyDescent="0.25">
      <c r="B112" s="52"/>
      <c r="C112" s="52"/>
      <c r="D112" s="52"/>
      <c r="E112" s="182"/>
      <c r="F112" s="191"/>
      <c r="G112" s="182"/>
      <c r="H112" s="191"/>
    </row>
    <row r="113" spans="2:8" x14ac:dyDescent="0.25">
      <c r="B113" s="52"/>
      <c r="C113" s="52"/>
      <c r="D113" s="52"/>
      <c r="E113" s="193"/>
      <c r="F113" s="194"/>
      <c r="G113" s="193"/>
      <c r="H113" s="194"/>
    </row>
    <row r="114" spans="2:8" x14ac:dyDescent="0.25">
      <c r="B114" s="52"/>
      <c r="C114" s="52"/>
      <c r="D114" s="52"/>
      <c r="E114" s="52"/>
      <c r="F114" s="52">
        <f>SUM(F90:F113)</f>
        <v>11584</v>
      </c>
      <c r="G114" s="52"/>
      <c r="H114" s="52">
        <f>SUM(H90:H113)</f>
        <v>11584</v>
      </c>
    </row>
  </sheetData>
  <hyperlinks>
    <hyperlink ref="E2" location="Regnskaber!A1" display="Regnskaber!A1" xr:uid="{00000000-0004-0000-0800-000000000000}"/>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H48"/>
  <sheetViews>
    <sheetView workbookViewId="0">
      <selection activeCell="C27" sqref="C27"/>
    </sheetView>
  </sheetViews>
  <sheetFormatPr defaultColWidth="10.875" defaultRowHeight="15.75" x14ac:dyDescent="0.25"/>
  <cols>
    <col min="1" max="2" width="10.875" style="1"/>
    <col min="3" max="3" width="32.125" style="1" bestFit="1" customWidth="1"/>
    <col min="4" max="4" width="20.125" style="1" bestFit="1" customWidth="1"/>
    <col min="5" max="5" width="18.375" style="1" bestFit="1" customWidth="1"/>
    <col min="6" max="6" width="12.875" style="1" bestFit="1" customWidth="1"/>
    <col min="7" max="7" width="18.375" style="1" bestFit="1" customWidth="1"/>
    <col min="8" max="8" width="15.375" style="1" bestFit="1" customWidth="1"/>
    <col min="9" max="16384" width="10.875" style="1"/>
  </cols>
  <sheetData>
    <row r="2" spans="4:4" x14ac:dyDescent="0.25">
      <c r="D2" s="101" t="s">
        <v>1220</v>
      </c>
    </row>
    <row r="23" spans="2:8" x14ac:dyDescent="0.25">
      <c r="B23" s="168" t="s">
        <v>297</v>
      </c>
      <c r="C23" s="169"/>
      <c r="D23" s="169"/>
      <c r="E23" s="169"/>
      <c r="F23" s="169"/>
      <c r="G23" s="169"/>
      <c r="H23" s="169"/>
    </row>
    <row r="24" spans="2:8" x14ac:dyDescent="0.25">
      <c r="B24" s="171" t="s">
        <v>298</v>
      </c>
      <c r="C24" s="174"/>
      <c r="D24" s="175"/>
      <c r="E24" s="169"/>
      <c r="F24" s="169"/>
      <c r="G24" s="169"/>
      <c r="H24" s="169"/>
    </row>
    <row r="25" spans="2:8" x14ac:dyDescent="0.25">
      <c r="B25" s="177" t="s">
        <v>299</v>
      </c>
      <c r="C25" s="178" t="s">
        <v>300</v>
      </c>
      <c r="D25" s="177" t="s">
        <v>271</v>
      </c>
      <c r="E25" s="179" t="s">
        <v>301</v>
      </c>
      <c r="F25" s="179" t="s">
        <v>302</v>
      </c>
      <c r="G25" s="179" t="s">
        <v>301</v>
      </c>
      <c r="H25" s="179" t="s">
        <v>302</v>
      </c>
    </row>
    <row r="26" spans="2:8" x14ac:dyDescent="0.25">
      <c r="B26" s="169"/>
      <c r="C26" s="169"/>
      <c r="D26" s="169"/>
      <c r="E26" s="180" t="s">
        <v>303</v>
      </c>
      <c r="F26" s="181" t="s">
        <v>288</v>
      </c>
      <c r="G26" s="180" t="s">
        <v>304</v>
      </c>
      <c r="H26" s="181" t="s">
        <v>219</v>
      </c>
    </row>
    <row r="27" spans="2:8" x14ac:dyDescent="0.25">
      <c r="B27" s="169">
        <v>1</v>
      </c>
      <c r="C27" s="169" t="s">
        <v>305</v>
      </c>
      <c r="D27" s="169">
        <v>5000</v>
      </c>
      <c r="E27" s="182"/>
      <c r="F27" s="169">
        <v>5000</v>
      </c>
      <c r="G27" s="182">
        <v>5000</v>
      </c>
      <c r="H27" s="169"/>
    </row>
    <row r="28" spans="2:8" x14ac:dyDescent="0.25">
      <c r="B28" s="169"/>
      <c r="C28" s="169"/>
      <c r="D28" s="169"/>
      <c r="E28" s="182"/>
      <c r="F28" s="169"/>
      <c r="G28" s="182"/>
      <c r="H28" s="169"/>
    </row>
    <row r="29" spans="2:8" x14ac:dyDescent="0.25">
      <c r="B29" s="169"/>
      <c r="C29" s="169"/>
      <c r="D29" s="169"/>
      <c r="E29" s="180" t="s">
        <v>273</v>
      </c>
      <c r="F29" s="181" t="s">
        <v>219</v>
      </c>
      <c r="G29" s="180" t="s">
        <v>306</v>
      </c>
      <c r="H29" s="181" t="s">
        <v>307</v>
      </c>
    </row>
    <row r="30" spans="2:8" x14ac:dyDescent="0.25">
      <c r="B30" s="169">
        <v>2</v>
      </c>
      <c r="C30" s="169" t="s">
        <v>308</v>
      </c>
      <c r="D30" s="169">
        <v>3000</v>
      </c>
      <c r="E30" s="182">
        <v>3000</v>
      </c>
      <c r="F30" s="169"/>
      <c r="G30" s="182"/>
      <c r="H30" s="169">
        <v>3000</v>
      </c>
    </row>
    <row r="31" spans="2:8" x14ac:dyDescent="0.25">
      <c r="B31" s="169"/>
      <c r="C31" s="169"/>
      <c r="D31" s="169"/>
      <c r="E31" s="182"/>
      <c r="F31" s="169"/>
      <c r="G31" s="182"/>
      <c r="H31" s="169"/>
    </row>
    <row r="32" spans="2:8" x14ac:dyDescent="0.25">
      <c r="B32" s="169"/>
      <c r="C32" s="169"/>
      <c r="D32" s="169"/>
      <c r="E32" s="180" t="s">
        <v>303</v>
      </c>
      <c r="F32" s="181" t="s">
        <v>288</v>
      </c>
      <c r="G32" s="180" t="s">
        <v>309</v>
      </c>
      <c r="H32" s="181" t="s">
        <v>310</v>
      </c>
    </row>
    <row r="33" spans="2:8" x14ac:dyDescent="0.25">
      <c r="B33" s="169">
        <v>3</v>
      </c>
      <c r="C33" s="169" t="s">
        <v>311</v>
      </c>
      <c r="D33" s="169">
        <v>10900</v>
      </c>
      <c r="E33" s="182"/>
      <c r="F33" s="169">
        <v>10900</v>
      </c>
      <c r="G33" s="182">
        <v>10900</v>
      </c>
      <c r="H33" s="169"/>
    </row>
    <row r="34" spans="2:8" x14ac:dyDescent="0.25">
      <c r="B34" s="169"/>
      <c r="C34" s="169"/>
      <c r="D34" s="169"/>
      <c r="E34" s="182"/>
      <c r="F34" s="169"/>
      <c r="G34" s="182"/>
      <c r="H34" s="169"/>
    </row>
    <row r="35" spans="2:8" x14ac:dyDescent="0.25">
      <c r="B35" s="169"/>
      <c r="C35" s="169"/>
      <c r="D35" s="169"/>
      <c r="E35" s="180" t="s">
        <v>312</v>
      </c>
      <c r="F35" s="181" t="s">
        <v>217</v>
      </c>
      <c r="G35" s="180" t="s">
        <v>304</v>
      </c>
      <c r="H35" s="181" t="s">
        <v>219</v>
      </c>
    </row>
    <row r="36" spans="2:8" x14ac:dyDescent="0.25">
      <c r="B36" s="169">
        <v>4</v>
      </c>
      <c r="C36" s="169" t="s">
        <v>313</v>
      </c>
      <c r="D36" s="169">
        <v>4900</v>
      </c>
      <c r="E36" s="182">
        <v>4900</v>
      </c>
      <c r="F36" s="169"/>
      <c r="G36" s="182"/>
      <c r="H36" s="169">
        <v>4900</v>
      </c>
    </row>
    <row r="37" spans="2:8" x14ac:dyDescent="0.25">
      <c r="B37" s="169"/>
      <c r="C37" s="169"/>
      <c r="D37" s="169"/>
      <c r="E37" s="182"/>
      <c r="F37" s="169"/>
      <c r="G37" s="182"/>
      <c r="H37" s="169"/>
    </row>
    <row r="38" spans="2:8" x14ac:dyDescent="0.25">
      <c r="B38" s="169"/>
      <c r="C38" s="169"/>
      <c r="D38" s="169"/>
      <c r="E38" s="180" t="s">
        <v>273</v>
      </c>
      <c r="F38" s="181" t="s">
        <v>219</v>
      </c>
      <c r="G38" s="180" t="s">
        <v>314</v>
      </c>
      <c r="H38" s="181" t="s">
        <v>219</v>
      </c>
    </row>
    <row r="39" spans="2:8" x14ac:dyDescent="0.25">
      <c r="B39" s="169">
        <v>5</v>
      </c>
      <c r="C39" s="169" t="s">
        <v>315</v>
      </c>
      <c r="D39" s="169">
        <v>800</v>
      </c>
      <c r="E39" s="182">
        <v>800</v>
      </c>
      <c r="F39" s="169"/>
      <c r="G39" s="182"/>
      <c r="H39" s="169">
        <v>800</v>
      </c>
    </row>
    <row r="40" spans="2:8" x14ac:dyDescent="0.25">
      <c r="B40" s="169"/>
      <c r="C40" s="169"/>
      <c r="D40" s="169"/>
      <c r="E40" s="182"/>
      <c r="F40" s="169"/>
      <c r="G40" s="182"/>
      <c r="H40" s="169"/>
    </row>
    <row r="41" spans="2:8" x14ac:dyDescent="0.25">
      <c r="B41" s="169"/>
      <c r="C41" s="169"/>
      <c r="D41" s="169"/>
      <c r="E41" s="180" t="s">
        <v>304</v>
      </c>
      <c r="F41" s="181" t="s">
        <v>219</v>
      </c>
      <c r="G41" s="180" t="s">
        <v>314</v>
      </c>
      <c r="H41" s="181" t="s">
        <v>219</v>
      </c>
    </row>
    <row r="42" spans="2:8" x14ac:dyDescent="0.25">
      <c r="B42" s="169">
        <v>6</v>
      </c>
      <c r="C42" s="169" t="s">
        <v>316</v>
      </c>
      <c r="D42" s="169">
        <v>2500</v>
      </c>
      <c r="E42" s="182"/>
      <c r="F42" s="169">
        <v>2500</v>
      </c>
      <c r="G42" s="182">
        <v>2500</v>
      </c>
      <c r="H42" s="169"/>
    </row>
    <row r="43" spans="2:8" x14ac:dyDescent="0.25">
      <c r="B43" s="169"/>
      <c r="C43" s="169"/>
      <c r="D43" s="169"/>
      <c r="E43" s="182"/>
      <c r="F43" s="169"/>
      <c r="G43" s="182"/>
      <c r="H43" s="169"/>
    </row>
    <row r="44" spans="2:8" x14ac:dyDescent="0.25">
      <c r="B44" s="169"/>
      <c r="C44" s="169"/>
      <c r="D44" s="169"/>
      <c r="E44" s="180" t="s">
        <v>303</v>
      </c>
      <c r="F44" s="181" t="s">
        <v>288</v>
      </c>
      <c r="G44" s="180" t="s">
        <v>304</v>
      </c>
      <c r="H44" s="181" t="s">
        <v>219</v>
      </c>
    </row>
    <row r="45" spans="2:8" x14ac:dyDescent="0.25">
      <c r="B45" s="169">
        <v>7</v>
      </c>
      <c r="C45" s="169" t="s">
        <v>317</v>
      </c>
      <c r="D45" s="169">
        <v>1450</v>
      </c>
      <c r="E45" s="182"/>
      <c r="F45" s="169">
        <v>1450</v>
      </c>
      <c r="G45" s="182">
        <v>1450</v>
      </c>
      <c r="H45" s="169"/>
    </row>
    <row r="46" spans="2:8" x14ac:dyDescent="0.25">
      <c r="B46" s="169"/>
      <c r="C46" s="169"/>
      <c r="D46" s="169"/>
      <c r="E46" s="182"/>
      <c r="F46" s="169"/>
      <c r="G46" s="182"/>
      <c r="H46" s="169"/>
    </row>
    <row r="47" spans="2:8" x14ac:dyDescent="0.25">
      <c r="B47" s="169"/>
      <c r="C47" s="169"/>
      <c r="D47" s="169"/>
      <c r="E47" s="180" t="s">
        <v>318</v>
      </c>
      <c r="F47" s="181" t="s">
        <v>217</v>
      </c>
      <c r="G47" s="180" t="s">
        <v>304</v>
      </c>
      <c r="H47" s="181" t="s">
        <v>219</v>
      </c>
    </row>
    <row r="48" spans="2:8" x14ac:dyDescent="0.25">
      <c r="B48" s="169">
        <v>8</v>
      </c>
      <c r="C48" s="169" t="s">
        <v>319</v>
      </c>
      <c r="D48" s="169">
        <v>400</v>
      </c>
      <c r="E48" s="182">
        <v>400</v>
      </c>
      <c r="F48" s="169"/>
      <c r="G48" s="182"/>
      <c r="H48" s="169">
        <v>400</v>
      </c>
    </row>
  </sheetData>
  <hyperlinks>
    <hyperlink ref="D2" location="Regnskaber!A1" display="Regnskaber!A1" xr:uid="{00000000-0004-0000-0900-000000000000}"/>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B2:H23"/>
  <sheetViews>
    <sheetView workbookViewId="0">
      <selection activeCell="G1" sqref="G1:G1048576"/>
    </sheetView>
  </sheetViews>
  <sheetFormatPr defaultColWidth="10.875" defaultRowHeight="15.75" x14ac:dyDescent="0.25"/>
  <cols>
    <col min="1" max="1" width="10.875" style="1"/>
    <col min="2" max="2" width="45" style="1" bestFit="1" customWidth="1"/>
    <col min="3" max="3" width="23.375" style="1" bestFit="1" customWidth="1"/>
    <col min="4" max="4" width="21.375" style="1" bestFit="1" customWidth="1"/>
    <col min="5" max="5" width="21.5" style="1" bestFit="1" customWidth="1"/>
    <col min="6" max="6" width="15.625" style="1" bestFit="1" customWidth="1"/>
    <col min="7" max="7" width="14.625" style="1" bestFit="1" customWidth="1"/>
    <col min="8" max="16384" width="10.875" style="1"/>
  </cols>
  <sheetData>
    <row r="2" spans="2:8" x14ac:dyDescent="0.25">
      <c r="B2" s="101" t="s">
        <v>18</v>
      </c>
    </row>
    <row r="5" spans="2:8" x14ac:dyDescent="0.25">
      <c r="B5" s="161" t="s">
        <v>247</v>
      </c>
      <c r="C5" s="161"/>
      <c r="D5" s="162"/>
      <c r="E5" s="162"/>
      <c r="F5" s="162"/>
      <c r="G5" s="162"/>
      <c r="H5" s="162"/>
    </row>
    <row r="6" spans="2:8" x14ac:dyDescent="0.25">
      <c r="B6" s="162"/>
      <c r="C6" s="163" t="s">
        <v>248</v>
      </c>
      <c r="D6" s="163" t="s">
        <v>249</v>
      </c>
      <c r="E6" s="163" t="s">
        <v>250</v>
      </c>
      <c r="F6" s="163" t="s">
        <v>251</v>
      </c>
      <c r="G6" s="163" t="s">
        <v>252</v>
      </c>
      <c r="H6" s="163" t="s">
        <v>253</v>
      </c>
    </row>
    <row r="7" spans="2:8" x14ac:dyDescent="0.25">
      <c r="B7" s="162"/>
      <c r="C7" s="955" t="s">
        <v>67</v>
      </c>
      <c r="D7" s="955"/>
      <c r="E7" s="955"/>
      <c r="F7" s="956" t="s">
        <v>68</v>
      </c>
      <c r="G7" s="956"/>
      <c r="H7" s="956"/>
    </row>
    <row r="8" spans="2:8" x14ac:dyDescent="0.25">
      <c r="B8" s="162" t="s">
        <v>229</v>
      </c>
      <c r="C8" s="164"/>
      <c r="D8" s="165" t="s">
        <v>254</v>
      </c>
      <c r="E8" s="165"/>
      <c r="F8" s="165"/>
      <c r="G8" s="165"/>
      <c r="H8" s="165"/>
    </row>
    <row r="9" spans="2:8" x14ac:dyDescent="0.25">
      <c r="B9" s="162" t="s">
        <v>255</v>
      </c>
      <c r="C9" s="164"/>
      <c r="D9" s="165" t="s">
        <v>254</v>
      </c>
      <c r="E9" s="165"/>
      <c r="F9" s="165"/>
      <c r="G9" s="165"/>
      <c r="H9" s="165"/>
    </row>
    <row r="10" spans="2:8" x14ac:dyDescent="0.25">
      <c r="B10" s="162" t="s">
        <v>256</v>
      </c>
      <c r="C10" s="164"/>
      <c r="D10" s="165"/>
      <c r="E10" s="165"/>
      <c r="F10" s="165"/>
      <c r="G10" s="165"/>
      <c r="H10" s="165" t="s">
        <v>254</v>
      </c>
    </row>
    <row r="11" spans="2:8" x14ac:dyDescent="0.25">
      <c r="B11" s="162" t="s">
        <v>257</v>
      </c>
      <c r="C11" s="164" t="s">
        <v>254</v>
      </c>
      <c r="D11" s="165"/>
      <c r="E11" s="165"/>
      <c r="F11" s="165"/>
      <c r="G11" s="165"/>
      <c r="H11" s="165"/>
    </row>
    <row r="12" spans="2:8" x14ac:dyDescent="0.25">
      <c r="B12" s="162" t="s">
        <v>258</v>
      </c>
      <c r="C12" s="164"/>
      <c r="D12" s="165" t="s">
        <v>254</v>
      </c>
      <c r="E12" s="165"/>
      <c r="F12" s="165"/>
      <c r="G12" s="165"/>
      <c r="H12" s="165"/>
    </row>
    <row r="13" spans="2:8" x14ac:dyDescent="0.25">
      <c r="B13" s="162" t="s">
        <v>259</v>
      </c>
      <c r="C13" s="164" t="s">
        <v>254</v>
      </c>
      <c r="D13" s="165"/>
      <c r="E13" s="165"/>
      <c r="F13" s="165"/>
      <c r="G13" s="165"/>
      <c r="H13" s="165"/>
    </row>
    <row r="14" spans="2:8" x14ac:dyDescent="0.25">
      <c r="B14" s="162" t="s">
        <v>260</v>
      </c>
      <c r="C14" s="164"/>
      <c r="D14" s="165" t="s">
        <v>254</v>
      </c>
      <c r="E14" s="165"/>
      <c r="F14" s="165"/>
      <c r="G14" s="165"/>
      <c r="H14" s="165"/>
    </row>
    <row r="15" spans="2:8" x14ac:dyDescent="0.25">
      <c r="B15" s="162" t="s">
        <v>232</v>
      </c>
      <c r="C15" s="164"/>
      <c r="D15" s="165"/>
      <c r="E15" s="165"/>
      <c r="F15" s="165"/>
      <c r="G15" s="165" t="s">
        <v>254</v>
      </c>
      <c r="H15" s="165"/>
    </row>
    <row r="16" spans="2:8" x14ac:dyDescent="0.25">
      <c r="B16" s="162" t="s">
        <v>261</v>
      </c>
      <c r="C16" s="164"/>
      <c r="D16" s="165"/>
      <c r="E16" s="165"/>
      <c r="F16" s="165"/>
      <c r="G16" s="165"/>
      <c r="H16" s="165" t="s">
        <v>254</v>
      </c>
    </row>
    <row r="17" spans="2:8" x14ac:dyDescent="0.25">
      <c r="B17" s="162" t="s">
        <v>262</v>
      </c>
      <c r="C17" s="164"/>
      <c r="D17" s="165"/>
      <c r="E17" s="165"/>
      <c r="F17" s="165" t="s">
        <v>254</v>
      </c>
      <c r="G17" s="165"/>
      <c r="H17" s="165"/>
    </row>
    <row r="18" spans="2:8" x14ac:dyDescent="0.25">
      <c r="B18" s="162" t="s">
        <v>263</v>
      </c>
      <c r="C18" s="164"/>
      <c r="D18" s="165"/>
      <c r="E18" s="165"/>
      <c r="F18" s="165"/>
      <c r="G18" s="165" t="s">
        <v>254</v>
      </c>
      <c r="H18" s="165"/>
    </row>
    <row r="19" spans="2:8" x14ac:dyDescent="0.25">
      <c r="B19" s="162" t="s">
        <v>264</v>
      </c>
      <c r="C19" s="164"/>
      <c r="D19" s="165"/>
      <c r="E19" s="165"/>
      <c r="F19" s="165" t="s">
        <v>254</v>
      </c>
      <c r="G19" s="165"/>
      <c r="H19" s="165"/>
    </row>
    <row r="20" spans="2:8" x14ac:dyDescent="0.25">
      <c r="B20" s="162" t="s">
        <v>265</v>
      </c>
      <c r="C20" s="164"/>
      <c r="D20" s="165"/>
      <c r="E20" s="165"/>
      <c r="F20" s="165"/>
      <c r="G20" s="165" t="s">
        <v>254</v>
      </c>
      <c r="H20" s="165"/>
    </row>
    <row r="21" spans="2:8" x14ac:dyDescent="0.25">
      <c r="B21" s="162" t="s">
        <v>241</v>
      </c>
      <c r="C21" s="164"/>
      <c r="D21" s="165"/>
      <c r="E21" s="165"/>
      <c r="F21" s="165"/>
      <c r="G21" s="165" t="s">
        <v>254</v>
      </c>
      <c r="H21" s="165"/>
    </row>
    <row r="22" spans="2:8" x14ac:dyDescent="0.25">
      <c r="B22" s="162" t="s">
        <v>266</v>
      </c>
      <c r="C22" s="164"/>
      <c r="D22" s="165"/>
      <c r="E22" s="165" t="s">
        <v>254</v>
      </c>
      <c r="F22" s="165"/>
      <c r="G22" s="165"/>
      <c r="H22" s="165"/>
    </row>
    <row r="23" spans="2:8" x14ac:dyDescent="0.25">
      <c r="B23" s="162" t="s">
        <v>267</v>
      </c>
      <c r="C23" s="166"/>
      <c r="D23" s="167"/>
      <c r="E23" s="167" t="s">
        <v>254</v>
      </c>
      <c r="F23" s="167"/>
      <c r="G23" s="167"/>
      <c r="H23" s="167"/>
    </row>
  </sheetData>
  <mergeCells count="2">
    <mergeCell ref="C7:E7"/>
    <mergeCell ref="F7:H7"/>
  </mergeCells>
  <hyperlinks>
    <hyperlink ref="B2" location="'Formler og forklaringer'!A1" display="Formler og forklaringer" xr:uid="{00000000-0004-0000-0A00-000000000000}"/>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U78"/>
  <sheetViews>
    <sheetView zoomScale="75" workbookViewId="0"/>
  </sheetViews>
  <sheetFormatPr defaultColWidth="10.875" defaultRowHeight="15.75" x14ac:dyDescent="0.25"/>
  <cols>
    <col min="1" max="1" width="33" style="1" customWidth="1"/>
    <col min="2" max="2" width="9.125" style="1" bestFit="1" customWidth="1"/>
    <col min="3" max="3" width="27.875" style="1" bestFit="1" customWidth="1"/>
    <col min="4" max="4" width="10.875" style="1"/>
    <col min="5" max="5" width="12.5" style="1" bestFit="1" customWidth="1"/>
    <col min="6" max="6" width="17.5" style="1" customWidth="1"/>
    <col min="7" max="8" width="10.875" style="1"/>
    <col min="9" max="9" width="3.875" style="195" customWidth="1"/>
    <col min="10" max="11" width="10.875" style="1"/>
    <col min="12" max="12" width="10.875" style="1" customWidth="1"/>
    <col min="13" max="13" width="10.875" style="1"/>
    <col min="14" max="14" width="14.375" style="1" customWidth="1"/>
    <col min="15" max="15" width="13.625" style="1" customWidth="1"/>
    <col min="16" max="16" width="16" style="1" customWidth="1"/>
    <col min="17" max="17" width="13.125" style="1" bestFit="1" customWidth="1"/>
    <col min="18" max="18" width="16" style="1" bestFit="1" customWidth="1"/>
    <col min="19" max="16384" width="10.875" style="1"/>
  </cols>
  <sheetData>
    <row r="1" spans="1:21" x14ac:dyDescent="0.25">
      <c r="H1" s="101" t="s">
        <v>1220</v>
      </c>
      <c r="I1" s="1"/>
    </row>
    <row r="5" spans="1:21" x14ac:dyDescent="0.25">
      <c r="A5" s="183" t="s">
        <v>320</v>
      </c>
      <c r="B5" s="184"/>
      <c r="C5" s="184"/>
      <c r="D5" s="184"/>
      <c r="E5" s="52"/>
      <c r="F5" s="52"/>
      <c r="G5" s="52"/>
      <c r="H5" s="52"/>
    </row>
    <row r="6" spans="1:21" x14ac:dyDescent="0.25">
      <c r="A6" s="185" t="s">
        <v>321</v>
      </c>
      <c r="B6" s="184"/>
      <c r="C6" s="184"/>
      <c r="D6" s="184"/>
      <c r="E6" s="52"/>
      <c r="F6" s="52"/>
      <c r="G6" s="52"/>
      <c r="H6" s="52"/>
      <c r="K6" s="17" t="s">
        <v>358</v>
      </c>
      <c r="L6" s="16"/>
      <c r="M6" s="102"/>
      <c r="N6" s="16"/>
      <c r="O6" s="16"/>
      <c r="P6" s="16"/>
      <c r="Q6" s="16"/>
      <c r="R6" s="16"/>
      <c r="S6" s="16"/>
      <c r="T6" s="16"/>
      <c r="U6" s="16"/>
    </row>
    <row r="7" spans="1:21" x14ac:dyDescent="0.25">
      <c r="A7" s="185" t="s">
        <v>322</v>
      </c>
      <c r="B7" s="52"/>
      <c r="C7" s="52"/>
      <c r="D7" s="52"/>
      <c r="E7" s="52"/>
      <c r="F7" s="52"/>
      <c r="G7" s="52"/>
      <c r="H7" s="52"/>
      <c r="K7" s="18" t="s">
        <v>195</v>
      </c>
      <c r="L7" s="16"/>
      <c r="M7" s="16"/>
      <c r="N7" s="16"/>
      <c r="O7" s="16"/>
      <c r="P7" s="16"/>
      <c r="Q7" s="16"/>
      <c r="R7" s="16"/>
      <c r="S7" s="16"/>
      <c r="T7" s="16"/>
      <c r="U7" s="16"/>
    </row>
    <row r="8" spans="1:21" x14ac:dyDescent="0.25">
      <c r="A8" s="52"/>
      <c r="B8" s="52"/>
      <c r="C8" s="52"/>
      <c r="D8" s="52"/>
      <c r="E8" s="52"/>
      <c r="F8" s="52"/>
      <c r="G8" s="52"/>
      <c r="H8" s="52"/>
      <c r="K8" s="18" t="s">
        <v>196</v>
      </c>
      <c r="L8" s="16"/>
      <c r="M8" s="16"/>
      <c r="N8" s="103" t="s">
        <v>197</v>
      </c>
      <c r="O8" s="16"/>
      <c r="P8" s="16"/>
      <c r="Q8" s="16"/>
      <c r="R8" s="16"/>
      <c r="S8" s="16"/>
      <c r="T8" s="16"/>
      <c r="U8" s="16"/>
    </row>
    <row r="9" spans="1:21" x14ac:dyDescent="0.25">
      <c r="A9" s="169" t="s">
        <v>323</v>
      </c>
      <c r="B9" s="169">
        <v>1950</v>
      </c>
      <c r="C9" s="182" t="s">
        <v>324</v>
      </c>
      <c r="D9" s="169">
        <v>70</v>
      </c>
      <c r="E9" s="182" t="s">
        <v>325</v>
      </c>
      <c r="F9" s="169">
        <v>65</v>
      </c>
      <c r="G9" s="182"/>
      <c r="H9" s="169"/>
      <c r="K9" s="16" t="s">
        <v>198</v>
      </c>
      <c r="L9" s="16"/>
      <c r="M9" s="16"/>
      <c r="N9" s="104" t="s">
        <v>199</v>
      </c>
      <c r="O9" s="16"/>
      <c r="P9" s="16"/>
      <c r="Q9" s="16"/>
      <c r="R9" s="16"/>
      <c r="S9" s="16"/>
      <c r="T9" s="16"/>
      <c r="U9" s="16"/>
    </row>
    <row r="10" spans="1:21" x14ac:dyDescent="0.25">
      <c r="A10" s="169" t="s">
        <v>326</v>
      </c>
      <c r="B10" s="169">
        <v>45</v>
      </c>
      <c r="C10" s="182" t="s">
        <v>327</v>
      </c>
      <c r="D10" s="169">
        <v>2590</v>
      </c>
      <c r="E10" s="182" t="s">
        <v>328</v>
      </c>
      <c r="F10" s="169">
        <v>120</v>
      </c>
      <c r="G10" s="182"/>
      <c r="H10" s="169"/>
      <c r="K10" s="16" t="s">
        <v>200</v>
      </c>
      <c r="L10" s="16"/>
      <c r="M10" s="16"/>
      <c r="N10" s="104" t="s">
        <v>201</v>
      </c>
      <c r="O10" s="16"/>
      <c r="P10" s="16"/>
      <c r="Q10" s="16"/>
      <c r="R10" s="16"/>
      <c r="S10" s="16"/>
      <c r="T10" s="16"/>
      <c r="U10" s="16"/>
    </row>
    <row r="11" spans="1:21" x14ac:dyDescent="0.25">
      <c r="A11" s="169" t="s">
        <v>273</v>
      </c>
      <c r="B11" s="169">
        <v>600</v>
      </c>
      <c r="C11" s="182" t="s">
        <v>329</v>
      </c>
      <c r="D11" s="169">
        <v>180</v>
      </c>
      <c r="E11" s="182" t="s">
        <v>330</v>
      </c>
      <c r="F11" s="169">
        <v>90</v>
      </c>
      <c r="G11" s="182"/>
      <c r="H11" s="169"/>
      <c r="K11" s="16" t="s">
        <v>202</v>
      </c>
      <c r="L11" s="16"/>
      <c r="M11" s="16"/>
      <c r="N11" s="104" t="s">
        <v>203</v>
      </c>
      <c r="O11" s="16"/>
      <c r="P11" s="16"/>
      <c r="Q11" s="16"/>
      <c r="R11" s="16"/>
      <c r="S11" s="16"/>
      <c r="T11" s="16"/>
      <c r="U11" s="16"/>
    </row>
    <row r="12" spans="1:21" x14ac:dyDescent="0.25">
      <c r="A12" s="169" t="s">
        <v>331</v>
      </c>
      <c r="B12" s="169">
        <v>320</v>
      </c>
      <c r="C12" s="182" t="s">
        <v>332</v>
      </c>
      <c r="D12" s="169">
        <v>450</v>
      </c>
      <c r="E12" s="182" t="s">
        <v>278</v>
      </c>
      <c r="F12" s="169">
        <v>125</v>
      </c>
      <c r="G12" s="182"/>
      <c r="H12" s="169"/>
      <c r="K12" s="16" t="s">
        <v>204</v>
      </c>
      <c r="L12" s="16"/>
      <c r="M12" s="16"/>
      <c r="N12" s="104" t="s">
        <v>205</v>
      </c>
      <c r="O12" s="16"/>
      <c r="P12" s="16"/>
      <c r="Q12" s="16"/>
      <c r="R12" s="16"/>
      <c r="S12" s="16"/>
      <c r="T12" s="16"/>
      <c r="U12" s="16"/>
    </row>
    <row r="13" spans="1:21" x14ac:dyDescent="0.25">
      <c r="A13" s="169" t="s">
        <v>333</v>
      </c>
      <c r="B13" s="169">
        <v>450</v>
      </c>
      <c r="C13" s="182" t="s">
        <v>334</v>
      </c>
      <c r="D13" s="169">
        <v>1200</v>
      </c>
      <c r="E13" s="182" t="s">
        <v>335</v>
      </c>
      <c r="F13" s="169">
        <v>420</v>
      </c>
      <c r="G13" s="182"/>
      <c r="H13" s="169"/>
      <c r="K13" s="16" t="s">
        <v>206</v>
      </c>
      <c r="L13" s="16"/>
      <c r="M13" s="16"/>
      <c r="N13" s="104" t="s">
        <v>207</v>
      </c>
      <c r="O13" s="16"/>
      <c r="P13" s="16"/>
      <c r="Q13" s="16"/>
      <c r="R13" s="16"/>
      <c r="S13" s="16"/>
      <c r="T13" s="16"/>
      <c r="U13" s="16"/>
    </row>
    <row r="14" spans="1:21" x14ac:dyDescent="0.25">
      <c r="A14" s="169" t="s">
        <v>293</v>
      </c>
      <c r="B14" s="169">
        <v>940</v>
      </c>
      <c r="C14" s="182" t="s">
        <v>336</v>
      </c>
      <c r="D14" s="169">
        <v>650</v>
      </c>
      <c r="E14" s="182" t="s">
        <v>291</v>
      </c>
      <c r="F14" s="169">
        <v>90</v>
      </c>
      <c r="G14" s="182"/>
      <c r="H14" s="169"/>
      <c r="K14" s="16" t="s">
        <v>208</v>
      </c>
      <c r="L14" s="16"/>
      <c r="M14" s="16"/>
      <c r="N14" s="104" t="s">
        <v>209</v>
      </c>
      <c r="O14" s="16"/>
      <c r="P14" s="16"/>
      <c r="Q14" s="16"/>
      <c r="R14" s="16"/>
      <c r="S14" s="16"/>
      <c r="T14" s="16"/>
      <c r="U14" s="16"/>
    </row>
    <row r="15" spans="1:21" ht="16.5" thickBot="1" x14ac:dyDescent="0.3">
      <c r="A15" s="169" t="s">
        <v>337</v>
      </c>
      <c r="B15" s="169">
        <v>140</v>
      </c>
      <c r="C15" s="182" t="s">
        <v>267</v>
      </c>
      <c r="D15" s="169">
        <v>800</v>
      </c>
      <c r="E15" s="182" t="s">
        <v>338</v>
      </c>
      <c r="F15" s="169">
        <v>1545</v>
      </c>
      <c r="G15" s="182"/>
      <c r="H15" s="169"/>
      <c r="K15" s="18"/>
      <c r="L15" s="16"/>
      <c r="M15" s="16"/>
      <c r="N15" s="16"/>
      <c r="O15" s="16"/>
      <c r="P15" s="16"/>
      <c r="Q15" s="16"/>
      <c r="R15" s="16"/>
      <c r="S15" s="16"/>
      <c r="T15" s="16"/>
      <c r="U15" s="16"/>
    </row>
    <row r="16" spans="1:21" x14ac:dyDescent="0.25">
      <c r="A16" s="52"/>
      <c r="B16" s="52"/>
      <c r="C16" s="52"/>
      <c r="D16" s="52"/>
      <c r="E16" s="52"/>
      <c r="F16" s="52"/>
      <c r="G16" s="52"/>
      <c r="H16" s="52"/>
      <c r="K16" s="105"/>
      <c r="L16" s="106"/>
      <c r="M16" s="959" t="s">
        <v>210</v>
      </c>
      <c r="N16" s="960"/>
      <c r="O16" s="959" t="s">
        <v>211</v>
      </c>
      <c r="P16" s="960"/>
      <c r="Q16" s="959" t="s">
        <v>212</v>
      </c>
      <c r="R16" s="961"/>
      <c r="S16" s="959" t="s">
        <v>213</v>
      </c>
      <c r="T16" s="961"/>
      <c r="U16" s="16"/>
    </row>
    <row r="17" spans="1:21" ht="16.5" thickBot="1" x14ac:dyDescent="0.3">
      <c r="A17" s="186" t="s">
        <v>339</v>
      </c>
      <c r="B17" s="52"/>
      <c r="C17" s="52"/>
      <c r="D17" s="52"/>
      <c r="E17" s="52"/>
      <c r="F17" s="186" t="s">
        <v>340</v>
      </c>
      <c r="G17" s="52"/>
      <c r="H17" s="52"/>
      <c r="K17" s="107" t="s">
        <v>214</v>
      </c>
      <c r="L17" s="108"/>
      <c r="M17" s="109" t="s">
        <v>215</v>
      </c>
      <c r="N17" s="110" t="s">
        <v>216</v>
      </c>
      <c r="O17" s="109" t="s">
        <v>215</v>
      </c>
      <c r="P17" s="110" t="s">
        <v>216</v>
      </c>
      <c r="Q17" s="109" t="s">
        <v>217</v>
      </c>
      <c r="R17" s="111" t="s">
        <v>218</v>
      </c>
      <c r="S17" s="112" t="s">
        <v>219</v>
      </c>
      <c r="T17" s="111" t="s">
        <v>220</v>
      </c>
      <c r="U17" s="16"/>
    </row>
    <row r="18" spans="1:21" x14ac:dyDescent="0.25">
      <c r="A18" s="187" t="s">
        <v>341</v>
      </c>
      <c r="B18" s="177" t="s">
        <v>342</v>
      </c>
      <c r="C18" s="187" t="s">
        <v>343</v>
      </c>
      <c r="D18" s="177" t="s">
        <v>342</v>
      </c>
      <c r="E18" s="52"/>
      <c r="F18" s="183"/>
      <c r="G18" s="52"/>
      <c r="H18" s="52"/>
      <c r="K18" s="42" t="s">
        <v>221</v>
      </c>
      <c r="L18" s="36"/>
      <c r="M18" s="113"/>
      <c r="N18" s="114">
        <v>2800000</v>
      </c>
      <c r="O18" s="115"/>
      <c r="P18" s="116"/>
      <c r="Q18" s="117"/>
      <c r="R18" s="118">
        <f>+N18</f>
        <v>2800000</v>
      </c>
      <c r="S18" s="117"/>
      <c r="T18" s="119"/>
      <c r="U18" s="16"/>
    </row>
    <row r="19" spans="1:21" x14ac:dyDescent="0.25">
      <c r="A19" s="188" t="s">
        <v>344</v>
      </c>
      <c r="B19" s="52"/>
      <c r="C19" s="189" t="s">
        <v>345</v>
      </c>
      <c r="D19" s="190"/>
      <c r="E19" s="52"/>
      <c r="F19" s="189" t="s">
        <v>346</v>
      </c>
      <c r="G19" s="190"/>
      <c r="H19" s="169"/>
      <c r="K19" s="120" t="s">
        <v>222</v>
      </c>
      <c r="L19" s="121"/>
      <c r="M19" s="122">
        <v>1500000</v>
      </c>
      <c r="N19" s="123"/>
      <c r="O19" s="124">
        <f>+P29</f>
        <v>442800</v>
      </c>
      <c r="P19" s="124"/>
      <c r="Q19" s="125">
        <f>+M19+O19</f>
        <v>1942800</v>
      </c>
      <c r="R19" s="126"/>
      <c r="S19" s="127"/>
      <c r="T19" s="126"/>
      <c r="U19" s="16"/>
    </row>
    <row r="20" spans="1:21" x14ac:dyDescent="0.25">
      <c r="A20" s="169" t="s">
        <v>281</v>
      </c>
      <c r="B20" s="169">
        <v>45</v>
      </c>
      <c r="C20" s="182" t="s">
        <v>327</v>
      </c>
      <c r="D20" s="191">
        <v>2590</v>
      </c>
      <c r="E20" s="52"/>
      <c r="F20" s="182" t="s">
        <v>323</v>
      </c>
      <c r="G20" s="191">
        <v>1950</v>
      </c>
      <c r="H20" s="169"/>
      <c r="K20" s="42" t="s">
        <v>223</v>
      </c>
      <c r="L20" s="36"/>
      <c r="M20" s="122">
        <v>181000</v>
      </c>
      <c r="N20" s="123"/>
      <c r="O20" s="128"/>
      <c r="P20" s="124">
        <v>11500</v>
      </c>
      <c r="Q20" s="125">
        <f>+M20-P20</f>
        <v>169500</v>
      </c>
      <c r="R20" s="126"/>
      <c r="S20" s="127"/>
      <c r="T20" s="126"/>
      <c r="U20" s="16"/>
    </row>
    <row r="21" spans="1:21" x14ac:dyDescent="0.25">
      <c r="A21" s="169" t="s">
        <v>273</v>
      </c>
      <c r="B21" s="169">
        <v>600</v>
      </c>
      <c r="C21" s="182" t="s">
        <v>347</v>
      </c>
      <c r="D21" s="191">
        <v>715</v>
      </c>
      <c r="E21" s="52"/>
      <c r="F21" s="182"/>
      <c r="G21" s="191"/>
      <c r="H21" s="169"/>
      <c r="K21" s="957" t="s">
        <v>224</v>
      </c>
      <c r="L21" s="958"/>
      <c r="M21" s="122">
        <v>6700</v>
      </c>
      <c r="N21" s="123"/>
      <c r="O21" s="128"/>
      <c r="P21" s="124"/>
      <c r="Q21" s="125">
        <f>+M21</f>
        <v>6700</v>
      </c>
      <c r="R21" s="126"/>
      <c r="S21" s="127"/>
      <c r="T21" s="126"/>
      <c r="U21" s="16"/>
    </row>
    <row r="22" spans="1:21" x14ac:dyDescent="0.25">
      <c r="A22" s="169" t="s">
        <v>348</v>
      </c>
      <c r="B22" s="169">
        <v>140</v>
      </c>
      <c r="C22" s="182"/>
      <c r="D22" s="191"/>
      <c r="E22" s="52"/>
      <c r="F22" s="182"/>
      <c r="G22" s="191"/>
      <c r="H22" s="169"/>
      <c r="K22" s="957" t="s">
        <v>225</v>
      </c>
      <c r="L22" s="958"/>
      <c r="M22" s="122">
        <v>142700</v>
      </c>
      <c r="N22" s="123"/>
      <c r="O22" s="128">
        <v>18000</v>
      </c>
      <c r="P22" s="124"/>
      <c r="Q22" s="127">
        <f>+M22+O22</f>
        <v>160700</v>
      </c>
      <c r="R22" s="126"/>
      <c r="S22" s="127"/>
      <c r="T22" s="126"/>
      <c r="U22" s="16"/>
    </row>
    <row r="23" spans="1:21" x14ac:dyDescent="0.25">
      <c r="A23" s="182" t="s">
        <v>324</v>
      </c>
      <c r="B23" s="169">
        <v>70</v>
      </c>
      <c r="C23" s="192" t="s">
        <v>349</v>
      </c>
      <c r="D23" s="191"/>
      <c r="E23" s="52"/>
      <c r="F23" s="192" t="s">
        <v>350</v>
      </c>
      <c r="G23" s="191"/>
      <c r="H23" s="169"/>
      <c r="K23" s="42" t="s">
        <v>226</v>
      </c>
      <c r="L23" s="36"/>
      <c r="M23" s="122">
        <v>341800</v>
      </c>
      <c r="N23" s="123"/>
      <c r="O23" s="128"/>
      <c r="P23" s="124"/>
      <c r="Q23" s="125">
        <f>+M23</f>
        <v>341800</v>
      </c>
      <c r="R23" s="126"/>
      <c r="S23" s="127"/>
      <c r="T23" s="126"/>
      <c r="U23" s="16"/>
    </row>
    <row r="24" spans="1:21" x14ac:dyDescent="0.25">
      <c r="A24" s="52"/>
      <c r="B24" s="52"/>
      <c r="C24" s="182" t="s">
        <v>351</v>
      </c>
      <c r="D24" s="191"/>
      <c r="E24" s="52"/>
      <c r="F24" s="182" t="s">
        <v>333</v>
      </c>
      <c r="G24" s="191">
        <v>450</v>
      </c>
      <c r="H24" s="169"/>
      <c r="K24" s="120" t="s">
        <v>227</v>
      </c>
      <c r="L24" s="121"/>
      <c r="M24" s="122">
        <v>16600</v>
      </c>
      <c r="N24" s="123"/>
      <c r="O24" s="128"/>
      <c r="P24" s="124"/>
      <c r="Q24" s="129">
        <f>+M24</f>
        <v>16600</v>
      </c>
      <c r="R24" s="126"/>
      <c r="S24" s="127"/>
      <c r="T24" s="126"/>
      <c r="U24" s="16"/>
    </row>
    <row r="25" spans="1:21" x14ac:dyDescent="0.25">
      <c r="A25" s="188" t="s">
        <v>352</v>
      </c>
      <c r="B25" s="52"/>
      <c r="C25" s="182" t="s">
        <v>328</v>
      </c>
      <c r="D25" s="191">
        <v>120</v>
      </c>
      <c r="E25" s="52"/>
      <c r="F25" s="182" t="s">
        <v>329</v>
      </c>
      <c r="G25" s="191">
        <v>180</v>
      </c>
      <c r="H25" s="169"/>
      <c r="K25" s="53" t="s">
        <v>228</v>
      </c>
      <c r="L25" s="121"/>
      <c r="M25" s="122"/>
      <c r="N25" s="123"/>
      <c r="O25" s="128">
        <v>24500</v>
      </c>
      <c r="P25" s="124"/>
      <c r="Q25" s="129">
        <f>+O25</f>
        <v>24500</v>
      </c>
      <c r="R25" s="126"/>
      <c r="S25" s="42"/>
      <c r="T25" s="126"/>
      <c r="U25" s="16"/>
    </row>
    <row r="26" spans="1:21" x14ac:dyDescent="0.25">
      <c r="A26" s="52" t="s">
        <v>353</v>
      </c>
      <c r="B26" s="52"/>
      <c r="C26" s="182" t="s">
        <v>278</v>
      </c>
      <c r="D26" s="191">
        <v>125</v>
      </c>
      <c r="E26" s="52"/>
      <c r="F26" s="182" t="s">
        <v>332</v>
      </c>
      <c r="G26" s="191">
        <v>450</v>
      </c>
      <c r="H26" s="169"/>
      <c r="K26" s="130" t="s">
        <v>24</v>
      </c>
      <c r="L26" s="36"/>
      <c r="M26" s="122">
        <v>31300</v>
      </c>
      <c r="N26" s="123"/>
      <c r="O26" s="128"/>
      <c r="P26" s="124"/>
      <c r="Q26" s="127">
        <f>+M26</f>
        <v>31300</v>
      </c>
      <c r="R26" s="126"/>
      <c r="S26" s="127"/>
      <c r="T26" s="126"/>
      <c r="U26" s="16"/>
    </row>
    <row r="27" spans="1:21" x14ac:dyDescent="0.25">
      <c r="A27" s="169" t="s">
        <v>331</v>
      </c>
      <c r="B27" s="169">
        <v>320</v>
      </c>
      <c r="C27" s="182" t="s">
        <v>291</v>
      </c>
      <c r="D27" s="191">
        <v>90</v>
      </c>
      <c r="E27" s="52"/>
      <c r="F27" s="182" t="s">
        <v>325</v>
      </c>
      <c r="G27" s="191">
        <v>65</v>
      </c>
      <c r="H27" s="169"/>
      <c r="K27" s="120" t="s">
        <v>229</v>
      </c>
      <c r="L27" s="121"/>
      <c r="M27" s="131">
        <v>162000</v>
      </c>
      <c r="N27" s="132"/>
      <c r="O27" s="128"/>
      <c r="P27" s="124"/>
      <c r="Q27" s="127"/>
      <c r="R27" s="126"/>
      <c r="S27" s="125">
        <f>+M27-N28-P28</f>
        <v>25500</v>
      </c>
      <c r="T27" s="126"/>
      <c r="U27" s="16"/>
    </row>
    <row r="28" spans="1:21" x14ac:dyDescent="0.25">
      <c r="A28" s="169" t="s">
        <v>293</v>
      </c>
      <c r="B28" s="169">
        <v>940</v>
      </c>
      <c r="C28" s="182"/>
      <c r="D28" s="191"/>
      <c r="E28" s="52"/>
      <c r="F28" s="182" t="s">
        <v>330</v>
      </c>
      <c r="G28" s="191">
        <v>90</v>
      </c>
      <c r="H28" s="169"/>
      <c r="K28" s="957" t="s">
        <v>230</v>
      </c>
      <c r="L28" s="958"/>
      <c r="M28" s="131"/>
      <c r="N28" s="132">
        <v>112000</v>
      </c>
      <c r="O28" s="128"/>
      <c r="P28" s="124">
        <f>+O25</f>
        <v>24500</v>
      </c>
      <c r="Q28" s="127"/>
      <c r="R28" s="126"/>
      <c r="S28" s="127"/>
      <c r="T28" s="133"/>
      <c r="U28" s="16"/>
    </row>
    <row r="29" spans="1:21" x14ac:dyDescent="0.25">
      <c r="A29" s="182" t="s">
        <v>335</v>
      </c>
      <c r="B29" s="169">
        <v>420</v>
      </c>
      <c r="C29" s="182"/>
      <c r="D29" s="191"/>
      <c r="E29" s="52"/>
      <c r="F29" s="182"/>
      <c r="G29" s="191"/>
      <c r="H29" s="169"/>
      <c r="K29" s="120" t="s">
        <v>231</v>
      </c>
      <c r="L29" s="121"/>
      <c r="M29" s="131">
        <v>552800</v>
      </c>
      <c r="N29" s="132"/>
      <c r="O29" s="128"/>
      <c r="P29" s="124">
        <f>+M29-110000</f>
        <v>442800</v>
      </c>
      <c r="Q29" s="127"/>
      <c r="R29" s="126"/>
      <c r="S29" s="125">
        <f>+M29-P29</f>
        <v>110000</v>
      </c>
      <c r="T29" s="126"/>
      <c r="U29" s="16"/>
    </row>
    <row r="30" spans="1:21" x14ac:dyDescent="0.25">
      <c r="A30" s="52"/>
      <c r="B30" s="52"/>
      <c r="C30" s="182"/>
      <c r="D30" s="191"/>
      <c r="E30" s="52"/>
      <c r="F30" s="182"/>
      <c r="G30" s="191"/>
      <c r="H30" s="169"/>
      <c r="K30" s="42" t="s">
        <v>232</v>
      </c>
      <c r="L30" s="36"/>
      <c r="M30" s="131">
        <v>316800</v>
      </c>
      <c r="N30" s="132"/>
      <c r="O30" s="128"/>
      <c r="P30" s="124"/>
      <c r="Q30" s="127"/>
      <c r="R30" s="126"/>
      <c r="S30" s="125">
        <f>+M30</f>
        <v>316800</v>
      </c>
      <c r="T30" s="126"/>
      <c r="U30" s="16"/>
    </row>
    <row r="31" spans="1:21" x14ac:dyDescent="0.25">
      <c r="A31" s="52" t="s">
        <v>354</v>
      </c>
      <c r="B31" s="52"/>
      <c r="C31" s="182" t="s">
        <v>355</v>
      </c>
      <c r="D31" s="191"/>
      <c r="E31" s="52"/>
      <c r="F31" s="182"/>
      <c r="G31" s="191"/>
      <c r="H31" s="169"/>
      <c r="K31" s="957" t="s">
        <v>233</v>
      </c>
      <c r="L31" s="958"/>
      <c r="M31" s="131"/>
      <c r="N31" s="132"/>
      <c r="O31" s="124">
        <f>+P20</f>
        <v>11500</v>
      </c>
      <c r="P31" s="124"/>
      <c r="Q31" s="127"/>
      <c r="R31" s="126"/>
      <c r="S31" s="134">
        <f>+O31</f>
        <v>11500</v>
      </c>
      <c r="T31" s="126"/>
      <c r="U31" s="16"/>
    </row>
    <row r="32" spans="1:21" x14ac:dyDescent="0.25">
      <c r="A32" s="182" t="s">
        <v>336</v>
      </c>
      <c r="B32" s="169">
        <v>650</v>
      </c>
      <c r="C32" s="182" t="s">
        <v>338</v>
      </c>
      <c r="D32" s="191">
        <v>1545</v>
      </c>
      <c r="E32" s="52"/>
      <c r="F32" s="182"/>
      <c r="G32" s="191"/>
      <c r="H32" s="169"/>
      <c r="K32" s="962" t="s">
        <v>234</v>
      </c>
      <c r="L32" s="958"/>
      <c r="M32" s="131"/>
      <c r="N32" s="132"/>
      <c r="O32" s="128"/>
      <c r="P32" s="124"/>
      <c r="Q32" s="127"/>
      <c r="R32" s="126"/>
      <c r="S32" s="127"/>
      <c r="T32" s="126"/>
      <c r="U32" s="16"/>
    </row>
    <row r="33" spans="1:21" x14ac:dyDescent="0.25">
      <c r="A33" s="52"/>
      <c r="B33" s="52"/>
      <c r="C33" s="182"/>
      <c r="D33" s="191"/>
      <c r="E33" s="52"/>
      <c r="F33" s="182"/>
      <c r="G33" s="191"/>
      <c r="H33" s="169"/>
      <c r="K33" s="42" t="s">
        <v>235</v>
      </c>
      <c r="L33" s="36"/>
      <c r="M33" s="131">
        <v>31500</v>
      </c>
      <c r="N33" s="132"/>
      <c r="O33" s="128"/>
      <c r="P33" s="124"/>
      <c r="Q33" s="127"/>
      <c r="R33" s="126"/>
      <c r="S33" s="125">
        <f>+M33</f>
        <v>31500</v>
      </c>
      <c r="T33" s="126"/>
      <c r="U33" s="16"/>
    </row>
    <row r="34" spans="1:21" x14ac:dyDescent="0.25">
      <c r="A34" s="169" t="s">
        <v>356</v>
      </c>
      <c r="B34" s="52"/>
      <c r="C34" s="182"/>
      <c r="D34" s="191"/>
      <c r="E34" s="52"/>
      <c r="F34" s="182"/>
      <c r="G34" s="191"/>
      <c r="H34" s="169"/>
      <c r="K34" s="957" t="s">
        <v>236</v>
      </c>
      <c r="L34" s="958"/>
      <c r="M34" s="131"/>
      <c r="N34" s="132">
        <v>439800</v>
      </c>
      <c r="O34" s="135">
        <f>+M35</f>
        <v>341400</v>
      </c>
      <c r="P34" s="124"/>
      <c r="Q34" s="127"/>
      <c r="R34" s="126"/>
      <c r="S34" s="127"/>
      <c r="T34" s="136">
        <f>+N34-O34</f>
        <v>98400</v>
      </c>
      <c r="U34" s="18" t="s">
        <v>237</v>
      </c>
    </row>
    <row r="35" spans="1:21" x14ac:dyDescent="0.25">
      <c r="A35" s="182" t="s">
        <v>334</v>
      </c>
      <c r="B35" s="169">
        <v>1200</v>
      </c>
      <c r="C35" s="182"/>
      <c r="D35" s="191"/>
      <c r="E35" s="52"/>
      <c r="F35" s="182"/>
      <c r="G35" s="191"/>
      <c r="H35" s="169"/>
      <c r="K35" s="42" t="s">
        <v>238</v>
      </c>
      <c r="L35" s="36"/>
      <c r="M35" s="131">
        <v>341400</v>
      </c>
      <c r="N35" s="132"/>
      <c r="O35" s="128"/>
      <c r="P35" s="137">
        <f>+M35</f>
        <v>341400</v>
      </c>
      <c r="Q35" s="127"/>
      <c r="R35" s="126"/>
      <c r="S35" s="127"/>
      <c r="T35" s="126"/>
      <c r="U35" s="16"/>
    </row>
    <row r="36" spans="1:21" x14ac:dyDescent="0.25">
      <c r="A36" s="182" t="s">
        <v>267</v>
      </c>
      <c r="B36" s="169">
        <v>800</v>
      </c>
      <c r="C36" s="182"/>
      <c r="D36" s="191"/>
      <c r="E36" s="52"/>
      <c r="F36" s="182"/>
      <c r="G36" s="191"/>
      <c r="H36" s="169"/>
      <c r="K36" s="120" t="s">
        <v>239</v>
      </c>
      <c r="L36" s="121"/>
      <c r="M36" s="131"/>
      <c r="N36" s="132">
        <v>75800</v>
      </c>
      <c r="O36" s="128"/>
      <c r="P36" s="124"/>
      <c r="Q36" s="127"/>
      <c r="R36" s="126"/>
      <c r="S36" s="127"/>
      <c r="T36" s="133">
        <f>+N36</f>
        <v>75800</v>
      </c>
      <c r="U36" s="16"/>
    </row>
    <row r="37" spans="1:21" x14ac:dyDescent="0.25">
      <c r="A37" s="187"/>
      <c r="B37" s="187"/>
      <c r="C37" s="193"/>
      <c r="D37" s="194"/>
      <c r="E37" s="52"/>
      <c r="F37" s="193"/>
      <c r="G37" s="194"/>
      <c r="H37" s="169"/>
      <c r="K37" s="957" t="s">
        <v>240</v>
      </c>
      <c r="L37" s="958"/>
      <c r="M37" s="131"/>
      <c r="N37" s="132">
        <v>113000</v>
      </c>
      <c r="O37" s="128"/>
      <c r="P37" s="124"/>
      <c r="Q37" s="127"/>
      <c r="R37" s="126"/>
      <c r="S37" s="127"/>
      <c r="T37" s="133">
        <f>+N37</f>
        <v>113000</v>
      </c>
      <c r="U37" s="16"/>
    </row>
    <row r="38" spans="1:21" x14ac:dyDescent="0.25">
      <c r="A38" s="52" t="s">
        <v>26</v>
      </c>
      <c r="B38" s="52">
        <f>SUM(B20:B37)</f>
        <v>5185</v>
      </c>
      <c r="C38" s="52"/>
      <c r="D38" s="52">
        <f>SUM(D20:D37)</f>
        <v>5185</v>
      </c>
      <c r="E38" s="52"/>
      <c r="F38" s="52" t="s">
        <v>357</v>
      </c>
      <c r="G38" s="52">
        <f>G20-SUM(G24:G32)</f>
        <v>715</v>
      </c>
      <c r="H38" s="52"/>
      <c r="K38" s="120" t="s">
        <v>241</v>
      </c>
      <c r="L38" s="121"/>
      <c r="M38" s="131">
        <v>85800</v>
      </c>
      <c r="N38" s="132"/>
      <c r="O38" s="128"/>
      <c r="P38" s="137">
        <f>+M38</f>
        <v>85800</v>
      </c>
      <c r="Q38" s="127"/>
      <c r="R38" s="126"/>
      <c r="S38" s="127"/>
      <c r="T38" s="126"/>
      <c r="U38" s="16"/>
    </row>
    <row r="39" spans="1:21" x14ac:dyDescent="0.25">
      <c r="K39" s="42" t="s">
        <v>242</v>
      </c>
      <c r="L39" s="36"/>
      <c r="M39" s="131"/>
      <c r="N39" s="132">
        <v>154600</v>
      </c>
      <c r="O39" s="137">
        <f>+N39</f>
        <v>154600</v>
      </c>
      <c r="P39" s="124"/>
      <c r="Q39" s="127"/>
      <c r="R39" s="126"/>
      <c r="S39" s="127"/>
      <c r="T39" s="126"/>
      <c r="U39" s="16"/>
    </row>
    <row r="40" spans="1:21" x14ac:dyDescent="0.25">
      <c r="K40" s="120" t="s">
        <v>243</v>
      </c>
      <c r="L40" s="121"/>
      <c r="M40" s="131"/>
      <c r="N40" s="132"/>
      <c r="O40" s="125">
        <f>+P38</f>
        <v>85800</v>
      </c>
      <c r="P40" s="137">
        <f>+O39</f>
        <v>154600</v>
      </c>
      <c r="Q40" s="127"/>
      <c r="R40" s="126"/>
      <c r="S40" s="127"/>
      <c r="T40" s="126">
        <f>+P40-O40</f>
        <v>68800</v>
      </c>
      <c r="U40" s="16"/>
    </row>
    <row r="41" spans="1:21" ht="16.5" thickBot="1" x14ac:dyDescent="0.3">
      <c r="A41" s="1" t="s">
        <v>3118</v>
      </c>
      <c r="K41" s="49" t="s">
        <v>244</v>
      </c>
      <c r="L41" s="38"/>
      <c r="M41" s="138"/>
      <c r="N41" s="139">
        <v>15200</v>
      </c>
      <c r="O41" s="140"/>
      <c r="P41" s="141">
        <v>18000</v>
      </c>
      <c r="Q41" s="142"/>
      <c r="R41" s="143"/>
      <c r="S41" s="142"/>
      <c r="T41" s="144">
        <f>+N41+P41</f>
        <v>33200</v>
      </c>
      <c r="U41" s="16"/>
    </row>
    <row r="42" spans="1:21" x14ac:dyDescent="0.25">
      <c r="A42" s="1" t="s">
        <v>3084</v>
      </c>
      <c r="K42" s="105" t="s">
        <v>245</v>
      </c>
      <c r="L42" s="145"/>
      <c r="M42" s="146">
        <v>3710400</v>
      </c>
      <c r="N42" s="147">
        <v>3710400</v>
      </c>
      <c r="O42" s="148">
        <f>SUM(O19:O41)</f>
        <v>1078600</v>
      </c>
      <c r="P42" s="149">
        <f>SUM(P19:P41)</f>
        <v>1078600</v>
      </c>
      <c r="Q42" s="146">
        <f>SUM(Q18:Q41)</f>
        <v>2693900</v>
      </c>
      <c r="R42" s="147">
        <f>SUM(R18:R41)</f>
        <v>2800000</v>
      </c>
      <c r="S42" s="150">
        <f>SUM(S27:S41)</f>
        <v>495300</v>
      </c>
      <c r="T42" s="147">
        <f>SUM(T27:T41)</f>
        <v>389200</v>
      </c>
      <c r="U42" s="16"/>
    </row>
    <row r="43" spans="1:21" x14ac:dyDescent="0.25">
      <c r="A43" s="1" t="s">
        <v>3085</v>
      </c>
      <c r="K43" s="151" t="s">
        <v>246</v>
      </c>
      <c r="L43" s="152"/>
      <c r="M43" s="127"/>
      <c r="N43" s="126"/>
      <c r="O43" s="127"/>
      <c r="P43" s="124"/>
      <c r="Q43" s="127"/>
      <c r="R43" s="153">
        <f>+R42-Q42</f>
        <v>106100</v>
      </c>
      <c r="S43" s="127"/>
      <c r="T43" s="136">
        <f>+R43+T42</f>
        <v>495300</v>
      </c>
      <c r="U43" s="16"/>
    </row>
    <row r="44" spans="1:21" ht="16.5" thickBot="1" x14ac:dyDescent="0.3">
      <c r="A44" s="1" t="s">
        <v>3086</v>
      </c>
      <c r="K44" s="154"/>
      <c r="L44" s="155"/>
      <c r="M44" s="156"/>
      <c r="N44" s="157"/>
      <c r="O44" s="156"/>
      <c r="P44" s="158"/>
      <c r="Q44" s="156"/>
      <c r="R44" s="157"/>
      <c r="S44" s="159"/>
      <c r="T44" s="160"/>
      <c r="U44" s="16"/>
    </row>
    <row r="45" spans="1:21" x14ac:dyDescent="0.25">
      <c r="A45" s="1" t="s">
        <v>3087</v>
      </c>
    </row>
    <row r="46" spans="1:21" x14ac:dyDescent="0.25">
      <c r="A46" s="1" t="s">
        <v>3088</v>
      </c>
    </row>
    <row r="47" spans="1:21" x14ac:dyDescent="0.25">
      <c r="A47" s="1" t="s">
        <v>3089</v>
      </c>
    </row>
    <row r="48" spans="1:21" x14ac:dyDescent="0.25">
      <c r="A48" s="1" t="s">
        <v>3090</v>
      </c>
    </row>
    <row r="49" spans="1:1" x14ac:dyDescent="0.25">
      <c r="A49" s="1" t="s">
        <v>3091</v>
      </c>
    </row>
    <row r="50" spans="1:1" x14ac:dyDescent="0.25">
      <c r="A50" s="1" t="s">
        <v>3092</v>
      </c>
    </row>
    <row r="51" spans="1:1" x14ac:dyDescent="0.25">
      <c r="A51" s="1" t="s">
        <v>3093</v>
      </c>
    </row>
    <row r="52" spans="1:1" x14ac:dyDescent="0.25">
      <c r="A52" s="1" t="s">
        <v>3094</v>
      </c>
    </row>
    <row r="53" spans="1:1" x14ac:dyDescent="0.25">
      <c r="A53" s="1" t="s">
        <v>3095</v>
      </c>
    </row>
    <row r="54" spans="1:1" x14ac:dyDescent="0.25">
      <c r="A54" s="1" t="s">
        <v>3096</v>
      </c>
    </row>
    <row r="56" spans="1:1" x14ac:dyDescent="0.25">
      <c r="A56" s="1" t="s">
        <v>3097</v>
      </c>
    </row>
    <row r="57" spans="1:1" x14ac:dyDescent="0.25">
      <c r="A57" s="1" t="s">
        <v>3098</v>
      </c>
    </row>
    <row r="58" spans="1:1" x14ac:dyDescent="0.25">
      <c r="A58" s="1" t="s">
        <v>3099</v>
      </c>
    </row>
    <row r="59" spans="1:1" x14ac:dyDescent="0.25">
      <c r="A59" s="1" t="s">
        <v>3100</v>
      </c>
    </row>
    <row r="60" spans="1:1" x14ac:dyDescent="0.25">
      <c r="A60" s="1" t="s">
        <v>3101</v>
      </c>
    </row>
    <row r="61" spans="1:1" x14ac:dyDescent="0.25">
      <c r="A61" s="1" t="s">
        <v>3102</v>
      </c>
    </row>
    <row r="62" spans="1:1" x14ac:dyDescent="0.25">
      <c r="A62" s="1" t="s">
        <v>3103</v>
      </c>
    </row>
    <row r="63" spans="1:1" x14ac:dyDescent="0.25">
      <c r="A63" s="1" t="s">
        <v>3104</v>
      </c>
    </row>
    <row r="64" spans="1:1" x14ac:dyDescent="0.25">
      <c r="A64" s="1" t="s">
        <v>3105</v>
      </c>
    </row>
    <row r="65" spans="1:4" x14ac:dyDescent="0.25">
      <c r="A65" s="1" t="s">
        <v>3106</v>
      </c>
    </row>
    <row r="66" spans="1:4" x14ac:dyDescent="0.25">
      <c r="A66" s="1" t="s">
        <v>3107</v>
      </c>
    </row>
    <row r="67" spans="1:4" x14ac:dyDescent="0.25">
      <c r="A67" s="1" t="s">
        <v>3117</v>
      </c>
    </row>
    <row r="68" spans="1:4" x14ac:dyDescent="0.25">
      <c r="A68" s="1" t="s">
        <v>3108</v>
      </c>
    </row>
    <row r="70" spans="1:4" x14ac:dyDescent="0.25">
      <c r="C70" s="1" t="s">
        <v>3109</v>
      </c>
      <c r="D70" s="1" t="s">
        <v>3110</v>
      </c>
    </row>
    <row r="71" spans="1:4" x14ac:dyDescent="0.25">
      <c r="C71" s="1" t="s">
        <v>3111</v>
      </c>
      <c r="D71" s="1">
        <v>1100</v>
      </c>
    </row>
    <row r="72" spans="1:4" x14ac:dyDescent="0.25">
      <c r="C72" s="1" t="s">
        <v>3112</v>
      </c>
      <c r="D72" s="1">
        <v>-70</v>
      </c>
    </row>
    <row r="73" spans="1:4" x14ac:dyDescent="0.25">
      <c r="C73" s="1" t="s">
        <v>3113</v>
      </c>
      <c r="D73" s="1">
        <v>-260</v>
      </c>
    </row>
    <row r="74" spans="1:4" x14ac:dyDescent="0.25">
      <c r="C74" s="1" t="s">
        <v>3114</v>
      </c>
      <c r="D74" s="1">
        <v>-200</v>
      </c>
    </row>
    <row r="75" spans="1:4" x14ac:dyDescent="0.25">
      <c r="C75" s="1" t="s">
        <v>3115</v>
      </c>
      <c r="D75" s="1">
        <v>-70</v>
      </c>
    </row>
    <row r="76" spans="1:4" x14ac:dyDescent="0.25">
      <c r="C76" s="1" t="s">
        <v>3116</v>
      </c>
      <c r="D76" s="1">
        <v>-200</v>
      </c>
    </row>
    <row r="77" spans="1:4" x14ac:dyDescent="0.25">
      <c r="C77" s="1" t="s">
        <v>246</v>
      </c>
      <c r="D77" s="1">
        <f>D71+SUM(D72:D76)</f>
        <v>300</v>
      </c>
    </row>
    <row r="78" spans="1:4" x14ac:dyDescent="0.25">
      <c r="A78" s="1" t="s">
        <v>3119</v>
      </c>
    </row>
  </sheetData>
  <mergeCells count="11">
    <mergeCell ref="S16:T16"/>
    <mergeCell ref="K21:L21"/>
    <mergeCell ref="K28:L28"/>
    <mergeCell ref="K31:L31"/>
    <mergeCell ref="K32:L32"/>
    <mergeCell ref="Q16:R16"/>
    <mergeCell ref="K34:L34"/>
    <mergeCell ref="K37:L37"/>
    <mergeCell ref="K22:L22"/>
    <mergeCell ref="M16:N16"/>
    <mergeCell ref="O16:P16"/>
  </mergeCells>
  <hyperlinks>
    <hyperlink ref="H1" location="Regnskaber!A1" display="Regnskaber!A1" xr:uid="{00000000-0004-0000-0B00-000000000000}"/>
  </hyperlinks>
  <pageMargins left="0.75" right="0.75" top="1" bottom="1" header="0.5" footer="0.5"/>
  <pageSetup paperSize="9"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C3:F14"/>
  <sheetViews>
    <sheetView workbookViewId="0">
      <selection activeCell="F3" sqref="F3"/>
    </sheetView>
  </sheetViews>
  <sheetFormatPr defaultColWidth="10.875" defaultRowHeight="15.75" x14ac:dyDescent="0.25"/>
  <cols>
    <col min="1" max="16384" width="10.875" style="1"/>
  </cols>
  <sheetData>
    <row r="3" spans="3:6" x14ac:dyDescent="0.25">
      <c r="F3" s="101" t="s">
        <v>1220</v>
      </c>
    </row>
    <row r="14" spans="3:6" x14ac:dyDescent="0.25">
      <c r="C14" s="278" t="s">
        <v>1023</v>
      </c>
    </row>
  </sheetData>
  <hyperlinks>
    <hyperlink ref="F3" location="Regnskaber!A1" display="Regnskaber!A1" xr:uid="{00000000-0004-0000-0C00-000000000000}"/>
  </hyperlinks>
  <pageMargins left="0.75" right="0.75" top="1" bottom="1" header="0.5" footer="0.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2:X41"/>
  <sheetViews>
    <sheetView workbookViewId="0">
      <selection activeCell="E2" sqref="E2"/>
    </sheetView>
  </sheetViews>
  <sheetFormatPr defaultColWidth="10.875" defaultRowHeight="15.75" x14ac:dyDescent="0.25"/>
  <cols>
    <col min="1" max="1" width="12.125" style="1" customWidth="1"/>
    <col min="2" max="2" width="14.375" style="1" bestFit="1" customWidth="1"/>
    <col min="3" max="3" width="14" style="1" customWidth="1"/>
    <col min="4" max="4" width="13.625" style="1" customWidth="1"/>
    <col min="5" max="5" width="13.375" style="1" customWidth="1"/>
    <col min="6" max="13" width="10.875" style="1"/>
    <col min="14" max="14" width="10.875" style="11"/>
    <col min="15" max="16384" width="10.875" style="1"/>
  </cols>
  <sheetData>
    <row r="2" spans="1:24" x14ac:dyDescent="0.25">
      <c r="E2" s="204" t="s">
        <v>1220</v>
      </c>
    </row>
    <row r="3" spans="1:24" x14ac:dyDescent="0.25">
      <c r="P3" s="278" t="s">
        <v>2917</v>
      </c>
    </row>
    <row r="5" spans="1:24" x14ac:dyDescent="0.25">
      <c r="A5" s="17" t="s">
        <v>452</v>
      </c>
      <c r="B5" s="16"/>
      <c r="C5" s="16"/>
      <c r="D5" s="16"/>
      <c r="E5" s="16"/>
      <c r="F5" s="16"/>
      <c r="G5" s="16"/>
      <c r="H5" s="16"/>
      <c r="I5" s="16"/>
      <c r="J5" s="16"/>
      <c r="P5" s="315" t="s">
        <v>2904</v>
      </c>
      <c r="Q5" s="315"/>
      <c r="R5" s="315"/>
      <c r="S5" s="315"/>
      <c r="T5" s="464"/>
      <c r="U5" s="310"/>
      <c r="V5" s="310"/>
      <c r="W5" s="310"/>
      <c r="X5" s="310"/>
    </row>
    <row r="6" spans="1:24" x14ac:dyDescent="0.25">
      <c r="A6" s="18" t="s">
        <v>453</v>
      </c>
      <c r="B6" s="16"/>
      <c r="C6" s="16"/>
      <c r="D6" s="16"/>
      <c r="E6" s="16"/>
      <c r="F6" s="16"/>
      <c r="G6" s="16"/>
      <c r="H6" s="16"/>
      <c r="I6" s="16"/>
      <c r="J6" s="16"/>
      <c r="P6" s="310" t="s">
        <v>2905</v>
      </c>
      <c r="Q6" s="310"/>
      <c r="R6" s="310"/>
      <c r="S6" s="310"/>
      <c r="T6" s="310"/>
      <c r="U6" s="310"/>
      <c r="V6" s="310"/>
      <c r="W6" s="310"/>
      <c r="X6" s="310"/>
    </row>
    <row r="7" spans="1:24" x14ac:dyDescent="0.25">
      <c r="A7" s="16"/>
      <c r="B7" s="16"/>
      <c r="C7" s="16"/>
      <c r="D7" s="16"/>
      <c r="E7" s="16"/>
      <c r="F7" s="16"/>
      <c r="G7" s="16"/>
      <c r="H7" s="16"/>
      <c r="I7" s="16"/>
      <c r="J7" s="16"/>
      <c r="P7" s="310"/>
      <c r="Q7" s="310"/>
      <c r="R7" s="310"/>
      <c r="S7" s="310"/>
      <c r="T7" s="310"/>
      <c r="U7" s="310"/>
      <c r="V7" s="310"/>
      <c r="W7" s="310"/>
      <c r="X7" s="310"/>
    </row>
    <row r="8" spans="1:24" x14ac:dyDescent="0.25">
      <c r="A8" s="18" t="s">
        <v>454</v>
      </c>
      <c r="B8" s="16"/>
      <c r="C8" s="16"/>
      <c r="D8" s="16"/>
      <c r="E8" s="16"/>
      <c r="F8" s="18"/>
      <c r="P8" s="310" t="s">
        <v>2906</v>
      </c>
      <c r="Q8" s="310"/>
      <c r="R8" s="310"/>
      <c r="S8" s="310"/>
      <c r="T8" s="310"/>
      <c r="U8" s="310"/>
      <c r="V8" s="310"/>
      <c r="W8" s="310"/>
      <c r="X8" s="310"/>
    </row>
    <row r="9" spans="1:24" x14ac:dyDescent="0.25">
      <c r="A9" s="18" t="s">
        <v>456</v>
      </c>
      <c r="B9" s="18"/>
      <c r="C9" s="18"/>
      <c r="D9" s="16"/>
      <c r="E9" s="16"/>
      <c r="F9" s="18"/>
      <c r="P9" s="310"/>
      <c r="Q9" s="310"/>
      <c r="R9" s="310"/>
      <c r="S9" s="310"/>
      <c r="T9" s="310"/>
      <c r="U9" s="310"/>
      <c r="V9" s="310"/>
      <c r="W9" s="310"/>
      <c r="X9" s="310"/>
    </row>
    <row r="10" spans="1:24" x14ac:dyDescent="0.25">
      <c r="A10" s="16"/>
      <c r="B10" s="16"/>
      <c r="C10" s="16"/>
      <c r="D10" s="16"/>
      <c r="E10" s="16"/>
      <c r="F10" s="16"/>
      <c r="P10" s="310"/>
      <c r="Q10" s="846">
        <v>2008</v>
      </c>
      <c r="R10" s="847">
        <v>2009</v>
      </c>
      <c r="S10" s="847">
        <v>2010</v>
      </c>
      <c r="T10" s="847">
        <v>2011</v>
      </c>
      <c r="U10" s="847">
        <v>2012</v>
      </c>
      <c r="V10" s="310"/>
      <c r="W10" s="310"/>
      <c r="X10" s="310"/>
    </row>
    <row r="11" spans="1:24" x14ac:dyDescent="0.25">
      <c r="A11" s="18" t="s">
        <v>458</v>
      </c>
      <c r="B11" s="16"/>
      <c r="C11" s="16"/>
      <c r="D11" s="16"/>
      <c r="E11" s="16"/>
      <c r="F11" s="16"/>
      <c r="G11" s="216" t="s">
        <v>455</v>
      </c>
      <c r="H11" s="217"/>
      <c r="I11" s="217"/>
      <c r="J11" s="217"/>
      <c r="K11" s="218"/>
      <c r="L11" s="218"/>
      <c r="P11" s="846" t="s">
        <v>633</v>
      </c>
      <c r="Q11" s="848">
        <v>25000</v>
      </c>
      <c r="R11" s="848">
        <v>25000</v>
      </c>
      <c r="S11" s="848">
        <v>25000</v>
      </c>
      <c r="T11" s="848">
        <v>25000</v>
      </c>
      <c r="U11" s="848">
        <v>25000</v>
      </c>
      <c r="V11" s="310"/>
      <c r="W11" s="310"/>
      <c r="X11" s="310"/>
    </row>
    <row r="12" spans="1:24" x14ac:dyDescent="0.25">
      <c r="A12" s="16" t="s">
        <v>460</v>
      </c>
      <c r="B12" s="16" t="s">
        <v>461</v>
      </c>
      <c r="C12" s="16"/>
      <c r="D12" s="16"/>
      <c r="E12" s="16"/>
      <c r="F12" s="16"/>
      <c r="G12" s="217" t="s">
        <v>457</v>
      </c>
      <c r="H12" s="216"/>
      <c r="I12" s="217"/>
      <c r="J12" s="217"/>
      <c r="K12" s="218"/>
      <c r="L12" s="218"/>
      <c r="P12" s="849" t="s">
        <v>2907</v>
      </c>
      <c r="Q12" s="850">
        <v>5000</v>
      </c>
      <c r="R12" s="848">
        <v>5000</v>
      </c>
      <c r="S12" s="848">
        <v>5000</v>
      </c>
      <c r="T12" s="848">
        <v>5000</v>
      </c>
      <c r="U12" s="848">
        <v>5000</v>
      </c>
      <c r="V12" s="310"/>
      <c r="W12" s="310"/>
      <c r="X12" s="310"/>
    </row>
    <row r="13" spans="1:24" x14ac:dyDescent="0.25">
      <c r="A13" s="20">
        <v>215000</v>
      </c>
      <c r="B13" s="205" t="s">
        <v>463</v>
      </c>
      <c r="C13" s="205" t="s">
        <v>464</v>
      </c>
      <c r="D13" s="205" t="s">
        <v>465</v>
      </c>
      <c r="E13" s="206" t="s">
        <v>466</v>
      </c>
      <c r="F13" s="16"/>
      <c r="G13" s="217"/>
      <c r="H13" s="217"/>
      <c r="I13" s="217"/>
      <c r="J13" s="217"/>
      <c r="K13" s="218"/>
      <c r="L13" s="218"/>
      <c r="P13" s="849" t="s">
        <v>2908</v>
      </c>
      <c r="Q13" s="850" t="s">
        <v>2909</v>
      </c>
      <c r="R13" s="848">
        <v>5000</v>
      </c>
      <c r="S13" s="848">
        <v>10000</v>
      </c>
      <c r="T13" s="848">
        <v>15000</v>
      </c>
      <c r="U13" s="848">
        <v>20000</v>
      </c>
      <c r="V13" s="310"/>
      <c r="W13" s="310"/>
      <c r="X13" s="310"/>
    </row>
    <row r="14" spans="1:24" x14ac:dyDescent="0.25">
      <c r="A14" s="23">
        <v>0</v>
      </c>
      <c r="B14" s="16"/>
      <c r="C14" s="16"/>
      <c r="D14" s="16"/>
      <c r="E14" s="207"/>
      <c r="F14" s="16"/>
      <c r="G14" s="216" t="s">
        <v>459</v>
      </c>
      <c r="H14" s="217"/>
      <c r="I14" s="217"/>
      <c r="J14" s="217"/>
      <c r="K14" s="218"/>
      <c r="L14" s="218"/>
      <c r="P14" s="849" t="s">
        <v>2910</v>
      </c>
      <c r="Q14" s="848">
        <v>20000</v>
      </c>
      <c r="R14" s="848">
        <v>15000</v>
      </c>
      <c r="S14" s="848">
        <v>10000</v>
      </c>
      <c r="T14" s="848">
        <v>5000</v>
      </c>
      <c r="U14" s="848" t="s">
        <v>2909</v>
      </c>
      <c r="V14" s="310"/>
      <c r="W14" s="310"/>
      <c r="X14" s="310"/>
    </row>
    <row r="15" spans="1:24" x14ac:dyDescent="0.25">
      <c r="A15" s="23">
        <v>1</v>
      </c>
      <c r="B15" s="16">
        <f>+A$13/8</f>
        <v>26875</v>
      </c>
      <c r="C15" s="16">
        <f>+A$13/10</f>
        <v>21500</v>
      </c>
      <c r="D15" s="16">
        <f t="shared" ref="D15:D24" si="0">+B15+C15</f>
        <v>48375</v>
      </c>
      <c r="E15" s="207">
        <f>2*A$13/9</f>
        <v>47777.777777777781</v>
      </c>
      <c r="F15" s="16"/>
      <c r="G15" s="217" t="s">
        <v>462</v>
      </c>
      <c r="H15" s="217"/>
      <c r="I15" s="217"/>
      <c r="J15" s="217"/>
      <c r="K15" s="218"/>
      <c r="L15" s="218"/>
      <c r="P15" s="310"/>
      <c r="Q15" s="310"/>
      <c r="R15" s="310"/>
      <c r="S15" s="310"/>
      <c r="T15" s="310"/>
      <c r="U15" s="310"/>
      <c r="V15" s="310"/>
      <c r="W15" s="310"/>
      <c r="X15" s="310"/>
    </row>
    <row r="16" spans="1:24" x14ac:dyDescent="0.25">
      <c r="A16" s="23">
        <v>2</v>
      </c>
      <c r="B16" s="16">
        <f t="shared" ref="B16:B22" si="1">+A$13/8</f>
        <v>26875</v>
      </c>
      <c r="C16" s="16">
        <f t="shared" ref="C16:C24" si="2">+A$13/10</f>
        <v>21500</v>
      </c>
      <c r="D16" s="16">
        <f t="shared" si="0"/>
        <v>48375</v>
      </c>
      <c r="E16" s="207">
        <f t="shared" ref="E16:E23" si="3">2*A$13/9</f>
        <v>47777.777777777781</v>
      </c>
      <c r="F16" s="16"/>
      <c r="G16" s="217" t="s">
        <v>467</v>
      </c>
      <c r="H16" s="217"/>
      <c r="I16" s="217"/>
      <c r="J16" s="217"/>
      <c r="K16" s="218"/>
      <c r="L16" s="218"/>
      <c r="P16" s="310" t="s">
        <v>2911</v>
      </c>
      <c r="Q16" s="310"/>
      <c r="R16" s="310"/>
      <c r="S16" s="310"/>
      <c r="T16" s="310"/>
      <c r="U16" s="310"/>
      <c r="V16" s="310"/>
      <c r="W16" s="310"/>
      <c r="X16" s="310"/>
    </row>
    <row r="17" spans="1:24" x14ac:dyDescent="0.25">
      <c r="A17" s="23">
        <v>3</v>
      </c>
      <c r="B17" s="16">
        <f t="shared" si="1"/>
        <v>26875</v>
      </c>
      <c r="C17" s="16">
        <f t="shared" si="2"/>
        <v>21500</v>
      </c>
      <c r="D17" s="16">
        <f t="shared" si="0"/>
        <v>48375</v>
      </c>
      <c r="E17" s="207">
        <f t="shared" si="3"/>
        <v>47777.777777777781</v>
      </c>
      <c r="F17" s="16"/>
      <c r="G17" s="217"/>
      <c r="H17" s="217"/>
      <c r="I17" s="217"/>
      <c r="J17" s="217"/>
      <c r="K17" s="218"/>
      <c r="L17" s="218"/>
      <c r="P17" s="310" t="s">
        <v>2912</v>
      </c>
      <c r="Q17" s="310"/>
      <c r="R17" s="310"/>
      <c r="S17" s="310"/>
      <c r="T17" s="310"/>
      <c r="U17" s="310"/>
      <c r="V17" s="310"/>
      <c r="W17" s="310"/>
      <c r="X17" s="310"/>
    </row>
    <row r="18" spans="1:24" x14ac:dyDescent="0.25">
      <c r="A18" s="23">
        <v>4</v>
      </c>
      <c r="B18" s="16">
        <f t="shared" si="1"/>
        <v>26875</v>
      </c>
      <c r="C18" s="16">
        <f t="shared" si="2"/>
        <v>21500</v>
      </c>
      <c r="D18" s="16">
        <f t="shared" si="0"/>
        <v>48375</v>
      </c>
      <c r="E18" s="207">
        <f t="shared" si="3"/>
        <v>47777.777777777781</v>
      </c>
      <c r="F18" s="16"/>
      <c r="G18" s="16"/>
      <c r="H18" s="16"/>
      <c r="I18" s="16"/>
      <c r="J18" s="16"/>
      <c r="P18" s="310"/>
      <c r="Q18" s="310"/>
      <c r="R18" s="310"/>
      <c r="S18" s="310"/>
      <c r="T18" s="310"/>
      <c r="U18" s="310"/>
      <c r="V18" s="310"/>
      <c r="W18" s="310"/>
      <c r="X18" s="310"/>
    </row>
    <row r="19" spans="1:24" x14ac:dyDescent="0.25">
      <c r="A19" s="23">
        <v>5</v>
      </c>
      <c r="B19" s="16">
        <f t="shared" si="1"/>
        <v>26875</v>
      </c>
      <c r="C19" s="16">
        <f t="shared" si="2"/>
        <v>21500</v>
      </c>
      <c r="D19" s="16">
        <f t="shared" si="0"/>
        <v>48375</v>
      </c>
      <c r="E19" s="207">
        <f t="shared" si="3"/>
        <v>47777.777777777781</v>
      </c>
      <c r="F19" s="16"/>
      <c r="G19" s="16"/>
      <c r="H19" s="16"/>
      <c r="I19" s="16"/>
      <c r="J19" s="16"/>
      <c r="P19" s="315" t="s">
        <v>2913</v>
      </c>
      <c r="Q19" s="315"/>
      <c r="R19" s="315"/>
      <c r="S19" s="310"/>
      <c r="T19" s="310"/>
      <c r="U19" s="310"/>
      <c r="V19" s="310"/>
      <c r="W19" s="310"/>
      <c r="X19" s="310"/>
    </row>
    <row r="20" spans="1:24" x14ac:dyDescent="0.25">
      <c r="A20" s="23">
        <v>6</v>
      </c>
      <c r="B20" s="16">
        <f t="shared" si="1"/>
        <v>26875</v>
      </c>
      <c r="C20" s="16">
        <f t="shared" si="2"/>
        <v>21500</v>
      </c>
      <c r="D20" s="16">
        <f t="shared" si="0"/>
        <v>48375</v>
      </c>
      <c r="E20" s="207">
        <f t="shared" si="3"/>
        <v>47777.777777777781</v>
      </c>
      <c r="F20" s="16"/>
      <c r="G20" s="16"/>
      <c r="H20" s="16"/>
      <c r="I20" s="16"/>
      <c r="J20" s="16"/>
      <c r="P20" s="315" t="s">
        <v>2914</v>
      </c>
      <c r="Q20" s="315"/>
      <c r="R20" s="315"/>
      <c r="S20" s="315"/>
      <c r="T20" s="315"/>
      <c r="U20" s="315"/>
      <c r="V20" s="315"/>
      <c r="W20" s="315"/>
      <c r="X20" s="315"/>
    </row>
    <row r="21" spans="1:24" x14ac:dyDescent="0.25">
      <c r="A21" s="23">
        <v>7</v>
      </c>
      <c r="B21" s="16">
        <f t="shared" si="1"/>
        <v>26875</v>
      </c>
      <c r="C21" s="16">
        <f t="shared" si="2"/>
        <v>21500</v>
      </c>
      <c r="D21" s="16">
        <f t="shared" si="0"/>
        <v>48375</v>
      </c>
      <c r="E21" s="207">
        <f t="shared" si="3"/>
        <v>47777.777777777781</v>
      </c>
      <c r="F21" s="16"/>
      <c r="G21" s="16"/>
      <c r="H21" s="16"/>
      <c r="I21" s="16"/>
      <c r="J21" s="16"/>
      <c r="P21" s="310"/>
      <c r="Q21" s="310"/>
      <c r="R21" s="310"/>
      <c r="S21" s="310"/>
      <c r="T21" s="310"/>
      <c r="U21" s="310"/>
      <c r="V21" s="310"/>
      <c r="W21" s="310"/>
      <c r="X21" s="310"/>
    </row>
    <row r="22" spans="1:24" x14ac:dyDescent="0.25">
      <c r="A22" s="23">
        <v>8</v>
      </c>
      <c r="B22" s="16">
        <f t="shared" si="1"/>
        <v>26875</v>
      </c>
      <c r="C22" s="16">
        <f t="shared" si="2"/>
        <v>21500</v>
      </c>
      <c r="D22" s="16">
        <f t="shared" si="0"/>
        <v>48375</v>
      </c>
      <c r="E22" s="207">
        <f t="shared" si="3"/>
        <v>47777.777777777781</v>
      </c>
      <c r="F22" s="16"/>
      <c r="G22" s="16"/>
      <c r="H22" s="16"/>
      <c r="I22" s="16"/>
      <c r="J22" s="16"/>
      <c r="P22" s="310" t="s">
        <v>2915</v>
      </c>
      <c r="Q22" s="310"/>
      <c r="R22" s="310"/>
      <c r="S22" s="310"/>
      <c r="T22" s="310"/>
      <c r="U22" s="310"/>
      <c r="V22" s="310"/>
      <c r="W22" s="310"/>
      <c r="X22" s="310"/>
    </row>
    <row r="23" spans="1:24" x14ac:dyDescent="0.25">
      <c r="A23" s="23">
        <v>9</v>
      </c>
      <c r="B23" s="16"/>
      <c r="C23" s="16">
        <f t="shared" si="2"/>
        <v>21500</v>
      </c>
      <c r="D23" s="16">
        <f t="shared" si="0"/>
        <v>21500</v>
      </c>
      <c r="E23" s="207">
        <f t="shared" si="3"/>
        <v>47777.777777777781</v>
      </c>
      <c r="F23" s="16"/>
      <c r="G23" s="16"/>
      <c r="H23" s="16"/>
      <c r="I23" s="16"/>
      <c r="J23" s="16"/>
      <c r="P23" s="310"/>
      <c r="Q23" s="310"/>
      <c r="R23" s="310"/>
      <c r="S23" s="310"/>
      <c r="T23" s="310"/>
      <c r="U23" s="310"/>
      <c r="V23" s="310"/>
      <c r="W23" s="310"/>
      <c r="X23" s="310"/>
    </row>
    <row r="24" spans="1:24" x14ac:dyDescent="0.25">
      <c r="A24" s="26">
        <v>10</v>
      </c>
      <c r="B24" s="208"/>
      <c r="C24" s="208">
        <f t="shared" si="2"/>
        <v>21500</v>
      </c>
      <c r="D24" s="208">
        <f t="shared" si="0"/>
        <v>21500</v>
      </c>
      <c r="E24" s="209"/>
      <c r="F24" s="16"/>
      <c r="G24" s="16"/>
      <c r="H24" s="16"/>
      <c r="I24" s="16"/>
      <c r="J24" s="16"/>
      <c r="P24" s="315" t="s">
        <v>2916</v>
      </c>
      <c r="Q24" s="315"/>
      <c r="R24" s="310"/>
      <c r="S24" s="310"/>
      <c r="T24" s="310"/>
      <c r="U24" s="310"/>
      <c r="V24" s="310"/>
      <c r="W24" s="310"/>
      <c r="X24" s="310"/>
    </row>
    <row r="25" spans="1:24" x14ac:dyDescent="0.25">
      <c r="A25" s="16"/>
      <c r="B25" s="103">
        <f>SUM(B15:B24)</f>
        <v>215000</v>
      </c>
      <c r="C25" s="103">
        <f>SUM(C15:C24)</f>
        <v>215000</v>
      </c>
      <c r="D25" s="103">
        <f>SUM(D15:D24)</f>
        <v>430000</v>
      </c>
      <c r="E25" s="103">
        <f>SUM(E15:E24)</f>
        <v>430000</v>
      </c>
      <c r="F25" s="16"/>
      <c r="G25" s="16"/>
      <c r="H25" s="16"/>
      <c r="I25" s="16"/>
      <c r="J25" s="16"/>
    </row>
    <row r="26" spans="1:24" x14ac:dyDescent="0.25">
      <c r="A26" s="18" t="s">
        <v>468</v>
      </c>
      <c r="B26" s="16"/>
      <c r="C26" s="18"/>
      <c r="D26" s="16"/>
      <c r="E26" s="16"/>
      <c r="F26" s="16"/>
      <c r="G26" s="16"/>
      <c r="H26" s="16"/>
      <c r="I26" s="16"/>
      <c r="J26" s="16"/>
    </row>
    <row r="27" spans="1:24" x14ac:dyDescent="0.25">
      <c r="A27" s="16" t="s">
        <v>460</v>
      </c>
      <c r="B27" s="16" t="s">
        <v>461</v>
      </c>
      <c r="C27" s="16"/>
      <c r="D27" s="16"/>
      <c r="E27" s="16"/>
      <c r="F27" s="16"/>
      <c r="G27" s="16"/>
      <c r="H27" s="16"/>
      <c r="I27" s="16"/>
      <c r="J27" s="16"/>
    </row>
    <row r="28" spans="1:24" x14ac:dyDescent="0.25">
      <c r="A28" s="20">
        <v>215000</v>
      </c>
      <c r="B28" s="210">
        <v>0.2</v>
      </c>
      <c r="C28" s="210">
        <v>0.3</v>
      </c>
      <c r="D28" s="205" t="s">
        <v>469</v>
      </c>
      <c r="E28" s="211" t="s">
        <v>470</v>
      </c>
      <c r="F28" s="16"/>
      <c r="G28" s="16"/>
      <c r="H28" s="16"/>
      <c r="I28" s="16"/>
      <c r="J28" s="16"/>
    </row>
    <row r="29" spans="1:24" x14ac:dyDescent="0.25">
      <c r="A29" s="23">
        <v>0</v>
      </c>
      <c r="B29" s="16"/>
      <c r="C29" s="16"/>
      <c r="D29" s="16"/>
      <c r="E29" s="207"/>
      <c r="F29" s="16"/>
      <c r="G29" s="16"/>
      <c r="H29" s="16"/>
      <c r="I29" s="16"/>
      <c r="J29" s="16"/>
    </row>
    <row r="30" spans="1:24" x14ac:dyDescent="0.25">
      <c r="A30" s="23">
        <v>1</v>
      </c>
      <c r="B30" s="16">
        <f>0.2*A28</f>
        <v>43000</v>
      </c>
      <c r="C30" s="16">
        <f>+A28*0.3</f>
        <v>64500</v>
      </c>
      <c r="D30" s="16">
        <f t="shared" ref="D30:D39" si="4">+B30+C30</f>
        <v>107500</v>
      </c>
      <c r="E30" s="207">
        <f>+A28*2*0.25</f>
        <v>107500</v>
      </c>
      <c r="F30" s="16"/>
      <c r="G30" s="16"/>
      <c r="H30" s="16"/>
      <c r="I30" s="16"/>
      <c r="J30" s="16"/>
    </row>
    <row r="31" spans="1:24" x14ac:dyDescent="0.25">
      <c r="A31" s="23">
        <v>2</v>
      </c>
      <c r="B31" s="16">
        <f t="shared" ref="B31:B38" si="5">+B30*0.8</f>
        <v>34400</v>
      </c>
      <c r="C31" s="16">
        <f t="shared" ref="C31:C38" si="6">+C30*0.7</f>
        <v>45150</v>
      </c>
      <c r="D31" s="16">
        <f t="shared" si="4"/>
        <v>79550</v>
      </c>
      <c r="E31" s="207">
        <f t="shared" ref="E31:E38" si="7">+E30*0.75</f>
        <v>80625</v>
      </c>
      <c r="F31" s="16"/>
      <c r="G31" s="16"/>
      <c r="H31" s="16"/>
      <c r="I31" s="16"/>
      <c r="J31" s="16"/>
    </row>
    <row r="32" spans="1:24" x14ac:dyDescent="0.25">
      <c r="A32" s="23">
        <v>3</v>
      </c>
      <c r="B32" s="16">
        <f t="shared" si="5"/>
        <v>27520</v>
      </c>
      <c r="C32" s="16">
        <f t="shared" si="6"/>
        <v>31604.999999999996</v>
      </c>
      <c r="D32" s="212">
        <f t="shared" si="4"/>
        <v>59125</v>
      </c>
      <c r="E32" s="213">
        <f t="shared" si="7"/>
        <v>60468.75</v>
      </c>
      <c r="F32" s="16"/>
      <c r="G32" s="16"/>
      <c r="H32" s="16"/>
      <c r="I32" s="16"/>
      <c r="J32" s="16"/>
    </row>
    <row r="33" spans="1:10" x14ac:dyDescent="0.25">
      <c r="A33" s="23">
        <v>4</v>
      </c>
      <c r="B33" s="16">
        <f t="shared" si="5"/>
        <v>22016</v>
      </c>
      <c r="C33" s="16">
        <f t="shared" si="6"/>
        <v>22123.499999999996</v>
      </c>
      <c r="D33" s="212">
        <f t="shared" si="4"/>
        <v>44139.5</v>
      </c>
      <c r="E33" s="213">
        <f t="shared" si="7"/>
        <v>45351.5625</v>
      </c>
      <c r="F33" s="16"/>
      <c r="G33" s="16"/>
      <c r="H33" s="16"/>
      <c r="I33" s="16"/>
      <c r="J33" s="16"/>
    </row>
    <row r="34" spans="1:10" x14ac:dyDescent="0.25">
      <c r="A34" s="23">
        <v>5</v>
      </c>
      <c r="B34" s="16">
        <f t="shared" si="5"/>
        <v>17612.8</v>
      </c>
      <c r="C34" s="212">
        <f t="shared" si="6"/>
        <v>15486.449999999997</v>
      </c>
      <c r="D34" s="212">
        <f t="shared" si="4"/>
        <v>33099.25</v>
      </c>
      <c r="E34" s="213">
        <f t="shared" si="7"/>
        <v>34013.671875</v>
      </c>
      <c r="F34" s="16"/>
      <c r="G34" s="16"/>
      <c r="H34" s="16"/>
      <c r="I34" s="16"/>
      <c r="J34" s="16"/>
    </row>
    <row r="35" spans="1:10" x14ac:dyDescent="0.25">
      <c r="A35" s="23">
        <v>6</v>
      </c>
      <c r="B35" s="212">
        <f t="shared" si="5"/>
        <v>14090.24</v>
      </c>
      <c r="C35" s="212">
        <f t="shared" si="6"/>
        <v>10840.514999999998</v>
      </c>
      <c r="D35" s="212">
        <f t="shared" si="4"/>
        <v>24930.754999999997</v>
      </c>
      <c r="E35" s="213">
        <f t="shared" si="7"/>
        <v>25510.25390625</v>
      </c>
      <c r="F35" s="16"/>
      <c r="G35" s="16"/>
      <c r="H35" s="16"/>
      <c r="I35" s="16"/>
      <c r="J35" s="16"/>
    </row>
    <row r="36" spans="1:10" x14ac:dyDescent="0.25">
      <c r="A36" s="23">
        <v>7</v>
      </c>
      <c r="B36" s="212">
        <f t="shared" si="5"/>
        <v>11272.192000000001</v>
      </c>
      <c r="C36" s="212">
        <f t="shared" si="6"/>
        <v>7588.360499999998</v>
      </c>
      <c r="D36" s="212">
        <f t="shared" si="4"/>
        <v>18860.552499999998</v>
      </c>
      <c r="E36" s="213">
        <f t="shared" si="7"/>
        <v>19132.6904296875</v>
      </c>
      <c r="F36" s="16"/>
      <c r="G36" s="16"/>
      <c r="H36" s="16"/>
      <c r="I36" s="16"/>
      <c r="J36" s="16"/>
    </row>
    <row r="37" spans="1:10" x14ac:dyDescent="0.25">
      <c r="A37" s="23">
        <v>8</v>
      </c>
      <c r="B37" s="212">
        <f t="shared" si="5"/>
        <v>9017.7536000000018</v>
      </c>
      <c r="C37" s="212">
        <f t="shared" si="6"/>
        <v>5311.8523499999983</v>
      </c>
      <c r="D37" s="212">
        <f t="shared" si="4"/>
        <v>14329.605950000001</v>
      </c>
      <c r="E37" s="213">
        <f t="shared" si="7"/>
        <v>14349.517822265625</v>
      </c>
      <c r="F37" s="16"/>
      <c r="G37" s="16"/>
      <c r="H37" s="16"/>
      <c r="I37" s="16"/>
      <c r="J37" s="16"/>
    </row>
    <row r="38" spans="1:10" x14ac:dyDescent="0.25">
      <c r="A38" s="23">
        <v>9</v>
      </c>
      <c r="B38" s="212">
        <f t="shared" si="5"/>
        <v>7214.2028800000016</v>
      </c>
      <c r="C38" s="212">
        <f t="shared" si="6"/>
        <v>3718.2966449999985</v>
      </c>
      <c r="D38" s="212">
        <f t="shared" si="4"/>
        <v>10932.499524999999</v>
      </c>
      <c r="E38" s="213">
        <f t="shared" si="7"/>
        <v>10762.138366699219</v>
      </c>
      <c r="F38" s="16"/>
      <c r="G38" s="16"/>
      <c r="H38" s="16"/>
      <c r="I38" s="16"/>
      <c r="J38" s="16"/>
    </row>
    <row r="39" spans="1:10" x14ac:dyDescent="0.25">
      <c r="A39" s="26">
        <v>10</v>
      </c>
      <c r="B39" s="214">
        <f>+A28-SUM(B30:B38)</f>
        <v>28856.811520000017</v>
      </c>
      <c r="C39" s="214">
        <f>+A28-SUM(C30:C38)</f>
        <v>8676.0255049999978</v>
      </c>
      <c r="D39" s="212">
        <f t="shared" si="4"/>
        <v>37532.837025000015</v>
      </c>
      <c r="E39" s="215">
        <f>2*A28-SUM(E30:E38)</f>
        <v>32286.415100097656</v>
      </c>
      <c r="F39" s="16"/>
      <c r="G39" s="16"/>
      <c r="H39" s="16"/>
      <c r="I39" s="16"/>
      <c r="J39" s="16"/>
    </row>
    <row r="40" spans="1:10" x14ac:dyDescent="0.25">
      <c r="A40" s="16"/>
      <c r="B40" s="103">
        <f>SUM(B30:B39)</f>
        <v>215000</v>
      </c>
      <c r="C40" s="103">
        <f>SUM(C30:C39)</f>
        <v>215000</v>
      </c>
      <c r="D40" s="103">
        <f>SUM(D30:D39)</f>
        <v>430000</v>
      </c>
      <c r="E40" s="103">
        <f>SUM(E30:E39)</f>
        <v>430000</v>
      </c>
      <c r="F40" s="16"/>
      <c r="G40" s="16"/>
      <c r="H40" s="16"/>
      <c r="I40" s="16"/>
      <c r="J40" s="16"/>
    </row>
    <row r="41" spans="1:10" x14ac:dyDescent="0.25">
      <c r="A41" s="16"/>
      <c r="B41" s="16"/>
      <c r="C41" s="16"/>
      <c r="D41" s="16"/>
      <c r="E41" s="16"/>
      <c r="F41" s="16"/>
      <c r="G41" s="16"/>
      <c r="H41" s="16"/>
      <c r="I41" s="16"/>
      <c r="J41" s="16"/>
    </row>
  </sheetData>
  <hyperlinks>
    <hyperlink ref="E2" location="Regnskaber!A1" display="Regnskaber!A1" xr:uid="{00000000-0004-0000-0D00-000000000000}"/>
  </hyperlinks>
  <pageMargins left="0.75" right="0.75" top="1" bottom="1" header="0.5" footer="0.5"/>
  <pageSetup paperSize="9" orientation="portrait" horizontalDpi="4294967292" verticalDpi="429496729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B3:I21"/>
  <sheetViews>
    <sheetView workbookViewId="0">
      <selection activeCell="D3" sqref="D3"/>
    </sheetView>
  </sheetViews>
  <sheetFormatPr defaultColWidth="10.875" defaultRowHeight="15.75" x14ac:dyDescent="0.25"/>
  <cols>
    <col min="1" max="1" width="10.875" style="1"/>
    <col min="2" max="2" width="23.875" style="1" customWidth="1"/>
    <col min="3" max="3" width="19.875" style="1" customWidth="1"/>
    <col min="4" max="4" width="26.125" style="1" customWidth="1"/>
    <col min="5" max="5" width="17.875" style="1" customWidth="1"/>
    <col min="6" max="6" width="21.125" style="1" customWidth="1"/>
    <col min="7" max="7" width="20" style="1" customWidth="1"/>
    <col min="8" max="8" width="29.625" style="1" customWidth="1"/>
    <col min="9" max="16384" width="10.875" style="1"/>
  </cols>
  <sheetData>
    <row r="3" spans="2:9" x14ac:dyDescent="0.25">
      <c r="D3" s="204" t="s">
        <v>1220</v>
      </c>
    </row>
    <row r="5" spans="2:9" x14ac:dyDescent="0.25">
      <c r="B5" s="219" t="s">
        <v>500</v>
      </c>
    </row>
    <row r="6" spans="2:9" x14ac:dyDescent="0.25">
      <c r="B6" s="219" t="s">
        <v>472</v>
      </c>
      <c r="C6" s="220"/>
      <c r="D6" s="219"/>
      <c r="E6" s="219"/>
      <c r="F6" s="219"/>
      <c r="G6" s="219"/>
      <c r="H6" s="219"/>
      <c r="I6" s="219"/>
    </row>
    <row r="7" spans="2:9" x14ac:dyDescent="0.25">
      <c r="B7" s="219"/>
      <c r="C7" s="220"/>
      <c r="D7" s="219"/>
      <c r="E7" s="219"/>
      <c r="F7" s="219"/>
      <c r="G7" s="219"/>
      <c r="H7" s="219"/>
      <c r="I7" s="219"/>
    </row>
    <row r="8" spans="2:9" x14ac:dyDescent="0.25">
      <c r="B8" s="219" t="s">
        <v>473</v>
      </c>
      <c r="C8" s="220"/>
      <c r="D8" s="219"/>
      <c r="E8" s="221" t="s">
        <v>474</v>
      </c>
      <c r="F8" s="222" t="s">
        <v>475</v>
      </c>
      <c r="G8" s="219"/>
      <c r="H8" s="219"/>
      <c r="I8" s="219"/>
    </row>
    <row r="9" spans="2:9" x14ac:dyDescent="0.25">
      <c r="B9" s="219" t="s">
        <v>476</v>
      </c>
      <c r="C9" s="220"/>
      <c r="D9" s="219"/>
      <c r="E9" s="221" t="s">
        <v>477</v>
      </c>
      <c r="F9" s="219" t="s">
        <v>478</v>
      </c>
      <c r="G9" s="219"/>
      <c r="H9" s="219"/>
      <c r="I9" s="221" t="s">
        <v>479</v>
      </c>
    </row>
    <row r="10" spans="2:9" x14ac:dyDescent="0.25">
      <c r="B10" s="219" t="s">
        <v>480</v>
      </c>
      <c r="C10" s="220"/>
      <c r="D10" s="219"/>
      <c r="E10" s="221" t="s">
        <v>481</v>
      </c>
      <c r="F10" s="219" t="s">
        <v>482</v>
      </c>
      <c r="G10" s="219"/>
      <c r="H10" s="219"/>
      <c r="I10" s="221" t="s">
        <v>483</v>
      </c>
    </row>
    <row r="11" spans="2:9" x14ac:dyDescent="0.25">
      <c r="B11" s="219" t="s">
        <v>484</v>
      </c>
      <c r="C11" s="219"/>
      <c r="D11" s="219"/>
      <c r="E11" s="221" t="s">
        <v>485</v>
      </c>
      <c r="F11" s="219" t="s">
        <v>486</v>
      </c>
      <c r="G11" s="219"/>
      <c r="H11" s="219"/>
      <c r="I11" s="219"/>
    </row>
    <row r="12" spans="2:9" x14ac:dyDescent="0.25">
      <c r="B12" s="219"/>
      <c r="C12" s="219"/>
      <c r="D12" s="221" t="s">
        <v>487</v>
      </c>
      <c r="E12" s="221" t="s">
        <v>488</v>
      </c>
      <c r="F12" s="221" t="s">
        <v>180</v>
      </c>
      <c r="G12" s="221" t="s">
        <v>489</v>
      </c>
      <c r="H12" s="219"/>
      <c r="I12" s="219"/>
    </row>
    <row r="13" spans="2:9" ht="31.5" x14ac:dyDescent="0.25">
      <c r="B13" s="223"/>
      <c r="C13" s="224" t="s">
        <v>490</v>
      </c>
      <c r="D13" s="224" t="s">
        <v>491</v>
      </c>
      <c r="E13" s="224" t="s">
        <v>492</v>
      </c>
      <c r="F13" s="224" t="s">
        <v>493</v>
      </c>
      <c r="G13" s="224" t="s">
        <v>494</v>
      </c>
      <c r="H13" s="219"/>
      <c r="I13" s="219"/>
    </row>
    <row r="14" spans="2:9" x14ac:dyDescent="0.25">
      <c r="B14" s="223">
        <v>1</v>
      </c>
      <c r="C14" s="225" t="s">
        <v>495</v>
      </c>
      <c r="D14" s="225" t="s">
        <v>254</v>
      </c>
      <c r="E14" s="225" t="s">
        <v>496</v>
      </c>
      <c r="F14" s="225" t="s">
        <v>254</v>
      </c>
      <c r="G14" s="225" t="s">
        <v>496</v>
      </c>
      <c r="H14" s="219"/>
      <c r="I14" s="219"/>
    </row>
    <row r="15" spans="2:9" x14ac:dyDescent="0.25">
      <c r="B15" s="226" t="s">
        <v>497</v>
      </c>
      <c r="C15" s="225" t="s">
        <v>498</v>
      </c>
      <c r="D15" s="225" t="s">
        <v>254</v>
      </c>
      <c r="E15" s="225"/>
      <c r="F15" s="225"/>
      <c r="G15" s="225"/>
      <c r="H15" s="219"/>
      <c r="I15" s="219"/>
    </row>
    <row r="16" spans="2:9" x14ac:dyDescent="0.25">
      <c r="B16" s="223">
        <v>3</v>
      </c>
      <c r="C16" s="225" t="s">
        <v>498</v>
      </c>
      <c r="D16" s="225" t="s">
        <v>254</v>
      </c>
      <c r="E16" s="225" t="s">
        <v>254</v>
      </c>
      <c r="F16" s="225" t="s">
        <v>254</v>
      </c>
      <c r="G16" s="225" t="s">
        <v>254</v>
      </c>
      <c r="H16" s="219"/>
      <c r="I16" s="219"/>
    </row>
    <row r="17" spans="2:9" x14ac:dyDescent="0.25">
      <c r="B17" s="223">
        <v>4</v>
      </c>
      <c r="C17" s="225" t="s">
        <v>498</v>
      </c>
      <c r="D17" s="225" t="s">
        <v>254</v>
      </c>
      <c r="E17" s="225" t="s">
        <v>254</v>
      </c>
      <c r="F17" s="225"/>
      <c r="G17" s="225" t="s">
        <v>254</v>
      </c>
      <c r="H17" s="219"/>
      <c r="I17" s="219"/>
    </row>
    <row r="18" spans="2:9" x14ac:dyDescent="0.25">
      <c r="B18" s="223">
        <v>5</v>
      </c>
      <c r="C18" s="225" t="s">
        <v>499</v>
      </c>
      <c r="D18" s="225" t="s">
        <v>254</v>
      </c>
      <c r="E18" s="225"/>
      <c r="F18" s="225" t="s">
        <v>254</v>
      </c>
      <c r="G18" s="225"/>
      <c r="H18" s="219"/>
      <c r="I18" s="219"/>
    </row>
    <row r="19" spans="2:9" x14ac:dyDescent="0.25">
      <c r="B19" s="223">
        <v>6</v>
      </c>
      <c r="C19" s="225" t="s">
        <v>499</v>
      </c>
      <c r="D19" s="225" t="s">
        <v>254</v>
      </c>
      <c r="E19" s="225" t="s">
        <v>496</v>
      </c>
      <c r="F19" s="225" t="s">
        <v>254</v>
      </c>
      <c r="G19" s="225" t="s">
        <v>496</v>
      </c>
      <c r="H19" s="219"/>
      <c r="I19" s="219"/>
    </row>
    <row r="20" spans="2:9" x14ac:dyDescent="0.25">
      <c r="B20" s="223">
        <v>7</v>
      </c>
      <c r="C20" s="225" t="s">
        <v>495</v>
      </c>
      <c r="D20" s="225" t="s">
        <v>254</v>
      </c>
      <c r="E20" s="225"/>
      <c r="F20" s="225" t="s">
        <v>254</v>
      </c>
      <c r="G20" s="225"/>
      <c r="H20" s="219"/>
      <c r="I20" s="219"/>
    </row>
    <row r="21" spans="2:9" x14ac:dyDescent="0.25">
      <c r="B21" s="223">
        <v>8</v>
      </c>
      <c r="C21" s="225" t="s">
        <v>498</v>
      </c>
      <c r="D21" s="225" t="s">
        <v>254</v>
      </c>
      <c r="E21" s="225"/>
      <c r="F21" s="225" t="s">
        <v>254</v>
      </c>
      <c r="G21" s="225"/>
      <c r="H21" s="219"/>
      <c r="I21" s="219"/>
    </row>
  </sheetData>
  <hyperlinks>
    <hyperlink ref="D3" location="Regnskaber!A1" display="Regnskaber!A1" xr:uid="{00000000-0004-0000-0E00-000000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B1:M45"/>
  <sheetViews>
    <sheetView topLeftCell="A31" workbookViewId="0"/>
  </sheetViews>
  <sheetFormatPr defaultColWidth="10.875" defaultRowHeight="15.75" x14ac:dyDescent="0.25"/>
  <cols>
    <col min="1" max="1" width="10.875" style="1"/>
    <col min="2" max="2" width="38" style="1" customWidth="1"/>
    <col min="3" max="3" width="52.875" style="1" customWidth="1"/>
    <col min="4" max="4" width="68" style="1" customWidth="1"/>
    <col min="5" max="5" width="31.5" style="1" customWidth="1"/>
    <col min="6" max="6" width="10.875" style="1"/>
    <col min="7" max="7" width="14.875" style="1" customWidth="1"/>
    <col min="8" max="16384" width="10.875" style="1"/>
  </cols>
  <sheetData>
    <row r="1" spans="2:9" x14ac:dyDescent="0.25">
      <c r="B1" s="204" t="s">
        <v>1220</v>
      </c>
    </row>
    <row r="3" spans="2:9" x14ac:dyDescent="0.25">
      <c r="B3" s="219" t="s">
        <v>542</v>
      </c>
      <c r="C3" s="219"/>
      <c r="D3" s="219"/>
      <c r="E3" s="219"/>
      <c r="F3" s="219"/>
      <c r="G3" s="219"/>
      <c r="H3" s="219"/>
      <c r="I3" s="219"/>
    </row>
    <row r="4" spans="2:9" x14ac:dyDescent="0.25">
      <c r="B4" s="219" t="s">
        <v>543</v>
      </c>
      <c r="C4" s="219"/>
      <c r="D4" s="219"/>
      <c r="E4" s="219"/>
      <c r="F4" s="219"/>
      <c r="G4" s="219"/>
      <c r="H4" s="219"/>
      <c r="I4" s="219"/>
    </row>
    <row r="5" spans="2:9" x14ac:dyDescent="0.25">
      <c r="B5" s="230" t="s">
        <v>544</v>
      </c>
      <c r="C5" s="230"/>
      <c r="D5" s="230"/>
      <c r="E5" s="230"/>
      <c r="F5" s="230"/>
      <c r="G5" s="230"/>
      <c r="H5" s="230"/>
      <c r="I5" s="219"/>
    </row>
    <row r="6" spans="2:9" x14ac:dyDescent="0.25">
      <c r="B6" s="231"/>
      <c r="C6" s="232"/>
      <c r="D6" s="232"/>
      <c r="E6" s="232"/>
      <c r="F6" s="232"/>
      <c r="G6" s="232"/>
      <c r="H6" s="230"/>
      <c r="I6" s="219"/>
    </row>
    <row r="7" spans="2:9" x14ac:dyDescent="0.25">
      <c r="B7" s="233" t="s">
        <v>545</v>
      </c>
      <c r="C7" s="231"/>
      <c r="D7" s="231"/>
      <c r="E7" s="234" t="s">
        <v>546</v>
      </c>
      <c r="F7" s="231"/>
      <c r="G7" s="219"/>
      <c r="H7" s="230"/>
      <c r="I7" s="219"/>
    </row>
    <row r="8" spans="2:9" x14ac:dyDescent="0.25">
      <c r="B8" s="235" t="s">
        <v>547</v>
      </c>
      <c r="C8" s="231">
        <v>4000</v>
      </c>
      <c r="D8" s="231"/>
      <c r="E8" s="230" t="s">
        <v>548</v>
      </c>
      <c r="F8" s="231"/>
      <c r="G8" s="219"/>
      <c r="H8" s="230"/>
      <c r="I8" s="219"/>
    </row>
    <row r="9" spans="2:9" x14ac:dyDescent="0.25">
      <c r="B9" s="235" t="s">
        <v>549</v>
      </c>
      <c r="C9" s="231">
        <v>-3000</v>
      </c>
      <c r="D9" s="231"/>
      <c r="E9" s="230" t="s">
        <v>550</v>
      </c>
      <c r="F9" s="231"/>
      <c r="G9" s="219"/>
      <c r="H9" s="230"/>
      <c r="I9" s="219"/>
    </row>
    <row r="10" spans="2:9" x14ac:dyDescent="0.25">
      <c r="B10" s="236" t="s">
        <v>551</v>
      </c>
      <c r="C10" s="237">
        <f>SUM(C8:C9)</f>
        <v>1000</v>
      </c>
      <c r="D10" s="231"/>
      <c r="E10" s="230" t="s">
        <v>552</v>
      </c>
      <c r="F10" s="231"/>
      <c r="G10" s="219"/>
      <c r="H10" s="230"/>
      <c r="I10" s="219"/>
    </row>
    <row r="11" spans="2:9" x14ac:dyDescent="0.25">
      <c r="B11" s="233" t="s">
        <v>553</v>
      </c>
      <c r="C11" s="231"/>
      <c r="D11" s="231"/>
      <c r="E11" s="230" t="s">
        <v>554</v>
      </c>
      <c r="F11" s="231"/>
      <c r="G11" s="219"/>
      <c r="H11" s="230"/>
      <c r="I11" s="219"/>
    </row>
    <row r="12" spans="2:9" x14ac:dyDescent="0.25">
      <c r="B12" s="235" t="s">
        <v>555</v>
      </c>
      <c r="C12" s="231">
        <v>-3000</v>
      </c>
      <c r="D12" s="231"/>
      <c r="E12" s="231"/>
      <c r="F12" s="231"/>
      <c r="G12" s="231"/>
      <c r="H12" s="230"/>
      <c r="I12" s="219"/>
    </row>
    <row r="13" spans="2:9" x14ac:dyDescent="0.25">
      <c r="B13" s="235"/>
      <c r="C13" s="231"/>
      <c r="D13" s="231"/>
      <c r="E13" s="231"/>
      <c r="F13" s="231"/>
      <c r="G13" s="231"/>
      <c r="H13" s="230"/>
      <c r="I13" s="219"/>
    </row>
    <row r="14" spans="2:9" x14ac:dyDescent="0.25">
      <c r="B14" s="235" t="s">
        <v>556</v>
      </c>
      <c r="C14" s="231">
        <f>SUM(C12:C13)</f>
        <v>-3000</v>
      </c>
      <c r="D14" s="231"/>
      <c r="E14" s="231"/>
      <c r="F14" s="231"/>
      <c r="G14" s="231"/>
      <c r="H14" s="230"/>
      <c r="I14" s="219"/>
    </row>
    <row r="15" spans="2:9" x14ac:dyDescent="0.25">
      <c r="B15" s="238" t="s">
        <v>557</v>
      </c>
      <c r="C15" s="230"/>
      <c r="D15" s="230"/>
      <c r="E15" s="230"/>
      <c r="F15" s="230"/>
      <c r="G15" s="230"/>
      <c r="H15" s="230"/>
      <c r="I15" s="219"/>
    </row>
    <row r="16" spans="2:9" x14ac:dyDescent="0.25">
      <c r="B16" s="235" t="s">
        <v>558</v>
      </c>
      <c r="C16" s="230">
        <v>7000</v>
      </c>
      <c r="D16" s="230"/>
      <c r="E16" s="230"/>
      <c r="F16" s="230"/>
      <c r="G16" s="230"/>
      <c r="H16" s="230"/>
      <c r="I16" s="219"/>
    </row>
    <row r="17" spans="2:9" x14ac:dyDescent="0.25">
      <c r="B17" s="230" t="s">
        <v>559</v>
      </c>
      <c r="C17" s="230">
        <v>-1500</v>
      </c>
      <c r="D17" s="230"/>
      <c r="E17" s="230"/>
      <c r="F17" s="230"/>
      <c r="G17" s="230"/>
      <c r="H17" s="230"/>
      <c r="I17" s="219"/>
    </row>
    <row r="18" spans="2:9" x14ac:dyDescent="0.25">
      <c r="B18" s="235" t="s">
        <v>560</v>
      </c>
      <c r="C18" s="230">
        <f>SUM(C16:C17)</f>
        <v>5500</v>
      </c>
      <c r="D18" s="230"/>
      <c r="E18" s="219"/>
      <c r="F18" s="219"/>
      <c r="G18" s="219"/>
      <c r="H18" s="219"/>
      <c r="I18" s="219"/>
    </row>
    <row r="19" spans="2:9" x14ac:dyDescent="0.25">
      <c r="B19" s="235" t="s">
        <v>561</v>
      </c>
      <c r="C19" s="230"/>
      <c r="D19" s="230"/>
      <c r="E19" s="219"/>
      <c r="F19" s="219"/>
      <c r="G19" s="219"/>
      <c r="H19" s="219"/>
      <c r="I19" s="219"/>
    </row>
    <row r="20" spans="2:9" x14ac:dyDescent="0.25">
      <c r="B20" s="236" t="s">
        <v>562</v>
      </c>
      <c r="C20" s="234">
        <v>13000</v>
      </c>
      <c r="D20" s="230"/>
      <c r="E20" s="219"/>
      <c r="F20" s="219"/>
      <c r="G20" s="219"/>
      <c r="H20" s="219"/>
      <c r="I20" s="219"/>
    </row>
    <row r="21" spans="2:9" x14ac:dyDescent="0.25">
      <c r="B21" s="239" t="s">
        <v>563</v>
      </c>
      <c r="C21" s="239">
        <f>+C20+C10+C14+C18</f>
        <v>16500</v>
      </c>
      <c r="D21" s="230"/>
      <c r="E21" s="219"/>
      <c r="F21" s="219"/>
      <c r="G21" s="219"/>
      <c r="H21" s="219"/>
      <c r="I21" s="219"/>
    </row>
    <row r="22" spans="2:9" ht="19.5" x14ac:dyDescent="0.3">
      <c r="B22" s="219"/>
      <c r="C22" s="219"/>
      <c r="D22" s="219"/>
      <c r="E22" s="219"/>
      <c r="F22" s="219"/>
      <c r="G22" s="219"/>
      <c r="H22" s="219"/>
      <c r="I22" s="240"/>
    </row>
    <row r="23" spans="2:9" s="12" customFormat="1" x14ac:dyDescent="0.25"/>
    <row r="24" spans="2:9" x14ac:dyDescent="0.25">
      <c r="B24" s="270" t="s">
        <v>621</v>
      </c>
      <c r="C24" s="270"/>
      <c r="D24" s="270"/>
      <c r="E24" s="270"/>
      <c r="F24" s="270"/>
      <c r="G24" s="270"/>
    </row>
    <row r="25" spans="2:9" x14ac:dyDescent="0.25">
      <c r="B25" s="270"/>
      <c r="C25" s="270"/>
      <c r="D25" s="270"/>
      <c r="E25" s="270"/>
      <c r="F25" s="270"/>
      <c r="G25" s="270"/>
    </row>
    <row r="26" spans="2:9" x14ac:dyDescent="0.25">
      <c r="B26" s="270" t="s">
        <v>598</v>
      </c>
      <c r="C26" s="270"/>
      <c r="D26" s="270"/>
      <c r="E26" s="270"/>
      <c r="F26" s="270"/>
      <c r="G26" s="270"/>
    </row>
    <row r="27" spans="2:9" x14ac:dyDescent="0.25">
      <c r="B27" s="270"/>
      <c r="C27" s="270"/>
      <c r="D27" s="270"/>
      <c r="E27" s="270"/>
      <c r="F27" s="270"/>
      <c r="G27" s="270"/>
    </row>
    <row r="28" spans="2:9" x14ac:dyDescent="0.25">
      <c r="B28" s="279" t="s">
        <v>599</v>
      </c>
      <c r="C28" s="280" t="s">
        <v>600</v>
      </c>
      <c r="D28" s="280" t="s">
        <v>601</v>
      </c>
      <c r="E28" s="280" t="s">
        <v>602</v>
      </c>
      <c r="F28" s="281" t="s">
        <v>603</v>
      </c>
      <c r="G28" s="282"/>
    </row>
    <row r="29" spans="2:9" x14ac:dyDescent="0.25">
      <c r="B29" s="243" t="s">
        <v>604</v>
      </c>
      <c r="C29" s="283">
        <v>1933</v>
      </c>
      <c r="D29" s="284">
        <v>-33</v>
      </c>
      <c r="E29" s="284">
        <v>-827</v>
      </c>
      <c r="F29" s="285">
        <v>1073</v>
      </c>
      <c r="G29" s="243" t="s">
        <v>605</v>
      </c>
    </row>
    <row r="30" spans="2:9" x14ac:dyDescent="0.25">
      <c r="B30" s="243" t="s">
        <v>606</v>
      </c>
      <c r="C30" s="283">
        <v>2188</v>
      </c>
      <c r="D30" s="283">
        <v>-1146</v>
      </c>
      <c r="E30" s="284">
        <v>260</v>
      </c>
      <c r="F30" s="285">
        <v>1302</v>
      </c>
      <c r="G30" s="243" t="s">
        <v>607</v>
      </c>
    </row>
    <row r="31" spans="2:9" x14ac:dyDescent="0.25">
      <c r="B31" s="243" t="s">
        <v>608</v>
      </c>
      <c r="C31" s="283">
        <v>1551</v>
      </c>
      <c r="D31" s="284">
        <v>286</v>
      </c>
      <c r="E31" s="283">
        <v>-2040</v>
      </c>
      <c r="F31" s="285">
        <v>-203</v>
      </c>
      <c r="G31" s="243" t="s">
        <v>609</v>
      </c>
    </row>
    <row r="32" spans="2:9" x14ac:dyDescent="0.25">
      <c r="B32" s="243"/>
      <c r="C32" s="243"/>
      <c r="D32" s="243"/>
      <c r="E32" s="243"/>
      <c r="F32" s="243"/>
      <c r="G32" s="243"/>
    </row>
    <row r="33" spans="2:13" x14ac:dyDescent="0.25">
      <c r="B33" s="286" t="s">
        <v>610</v>
      </c>
      <c r="C33" s="286"/>
      <c r="D33" s="286"/>
      <c r="E33" s="243"/>
      <c r="F33" s="243"/>
      <c r="G33" s="243"/>
    </row>
    <row r="34" spans="2:13" ht="15" customHeight="1" x14ac:dyDescent="0.25">
      <c r="B34" s="243"/>
      <c r="C34" s="243"/>
      <c r="D34" s="243"/>
      <c r="E34" s="243"/>
      <c r="F34" s="243"/>
      <c r="G34" s="243"/>
    </row>
    <row r="35" spans="2:13" ht="15.75" customHeight="1" x14ac:dyDescent="0.25">
      <c r="B35" s="243" t="s">
        <v>604</v>
      </c>
      <c r="C35" s="287" t="s">
        <v>611</v>
      </c>
      <c r="D35" s="243" t="s">
        <v>623</v>
      </c>
      <c r="E35" s="963" t="s">
        <v>2903</v>
      </c>
      <c r="F35" s="963"/>
      <c r="G35" s="963"/>
      <c r="H35" s="963"/>
      <c r="I35" s="963"/>
      <c r="J35" s="963"/>
      <c r="K35" s="963"/>
      <c r="L35" s="963"/>
      <c r="M35" s="963"/>
    </row>
    <row r="36" spans="2:13" x14ac:dyDescent="0.25">
      <c r="B36" s="243"/>
      <c r="C36" s="243"/>
      <c r="D36" s="243"/>
      <c r="E36" s="243"/>
      <c r="F36" s="243"/>
      <c r="G36" s="243"/>
    </row>
    <row r="37" spans="2:13" x14ac:dyDescent="0.25">
      <c r="B37" s="270" t="s">
        <v>606</v>
      </c>
      <c r="C37" s="270" t="s">
        <v>2902</v>
      </c>
      <c r="D37" s="270"/>
      <c r="E37" s="288" t="s">
        <v>612</v>
      </c>
      <c r="F37" s="243"/>
      <c r="G37" s="243"/>
    </row>
    <row r="38" spans="2:13" x14ac:dyDescent="0.25">
      <c r="B38" s="270"/>
      <c r="C38" s="270"/>
      <c r="D38" s="270"/>
      <c r="E38" s="270"/>
      <c r="F38" s="243"/>
      <c r="G38" s="243"/>
    </row>
    <row r="39" spans="2:13" x14ac:dyDescent="0.25">
      <c r="B39" s="270" t="s">
        <v>608</v>
      </c>
      <c r="C39" s="270" t="s">
        <v>2812</v>
      </c>
      <c r="D39" s="270"/>
      <c r="E39" s="288" t="s">
        <v>613</v>
      </c>
      <c r="F39" s="270"/>
      <c r="G39" s="270"/>
    </row>
    <row r="40" spans="2:13" x14ac:dyDescent="0.25">
      <c r="B40" s="270"/>
      <c r="C40" s="270"/>
      <c r="D40" s="270"/>
      <c r="E40" s="270"/>
      <c r="F40" s="270"/>
      <c r="G40" s="270"/>
    </row>
    <row r="41" spans="2:13" ht="16.5" thickBot="1" x14ac:dyDescent="0.3">
      <c r="B41" s="270"/>
      <c r="C41" s="270"/>
      <c r="D41" s="270"/>
      <c r="E41" s="270"/>
      <c r="F41" s="270"/>
      <c r="G41" s="270"/>
    </row>
    <row r="42" spans="2:13" x14ac:dyDescent="0.25">
      <c r="B42" s="289"/>
      <c r="C42" s="290"/>
      <c r="D42" s="301" t="s">
        <v>614</v>
      </c>
      <c r="E42" s="291"/>
      <c r="F42" s="270"/>
      <c r="G42" s="270"/>
    </row>
    <row r="43" spans="2:13" x14ac:dyDescent="0.25">
      <c r="B43" s="292"/>
      <c r="C43" s="270"/>
      <c r="D43" s="300" t="s">
        <v>615</v>
      </c>
      <c r="E43" s="293" t="s">
        <v>616</v>
      </c>
      <c r="F43" s="270"/>
      <c r="G43" s="270"/>
    </row>
    <row r="44" spans="2:13" x14ac:dyDescent="0.25">
      <c r="B44" s="302"/>
      <c r="C44" s="244" t="s">
        <v>622</v>
      </c>
      <c r="D44" s="294" t="s">
        <v>617</v>
      </c>
      <c r="E44" s="295" t="s">
        <v>618</v>
      </c>
      <c r="F44" s="270"/>
      <c r="G44" s="270"/>
    </row>
    <row r="45" spans="2:13" ht="16.5" thickBot="1" x14ac:dyDescent="0.3">
      <c r="B45" s="296"/>
      <c r="C45" s="297" t="s">
        <v>616</v>
      </c>
      <c r="D45" s="298" t="s">
        <v>619</v>
      </c>
      <c r="E45" s="299" t="s">
        <v>620</v>
      </c>
      <c r="F45" s="270"/>
      <c r="G45" s="270"/>
    </row>
  </sheetData>
  <mergeCells count="1">
    <mergeCell ref="E35:M35"/>
  </mergeCells>
  <hyperlinks>
    <hyperlink ref="B1" location="Regnskaber!A1" display="Regnskaber!A1" xr:uid="{00000000-0004-0000-0F00-000000000000}"/>
  </hyperlinks>
  <pageMargins left="0.75" right="0.75" top="1" bottom="1" header="0.5" footer="0.5"/>
  <pageSetup paperSize="9"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B2:I75"/>
  <sheetViews>
    <sheetView topLeftCell="A42" workbookViewId="0">
      <selection activeCell="E2" sqref="E2"/>
    </sheetView>
  </sheetViews>
  <sheetFormatPr defaultColWidth="10.875" defaultRowHeight="15.75" x14ac:dyDescent="0.25"/>
  <cols>
    <col min="1" max="1" width="10.875" style="1"/>
    <col min="2" max="2" width="17.375" style="1" customWidth="1"/>
    <col min="3" max="3" width="10.875" style="1"/>
    <col min="4" max="4" width="19.125" style="1" customWidth="1"/>
    <col min="5" max="5" width="20.125" style="1" customWidth="1"/>
    <col min="6" max="6" width="17.5" style="1" customWidth="1"/>
    <col min="7" max="7" width="10.875" style="1"/>
    <col min="8" max="8" width="15" style="1" customWidth="1"/>
    <col min="9" max="16384" width="10.875" style="1"/>
  </cols>
  <sheetData>
    <row r="2" spans="2:9" x14ac:dyDescent="0.25">
      <c r="D2" s="204"/>
      <c r="E2" s="101" t="s">
        <v>1220</v>
      </c>
    </row>
    <row r="4" spans="2:9" ht="19.5" x14ac:dyDescent="0.3">
      <c r="B4" s="219" t="s">
        <v>565</v>
      </c>
      <c r="C4" s="219"/>
      <c r="D4" s="219"/>
      <c r="E4" s="219"/>
      <c r="F4" s="219"/>
      <c r="G4" s="219"/>
      <c r="H4" s="219"/>
      <c r="I4" s="240"/>
    </row>
    <row r="5" spans="2:9" ht="19.5" x14ac:dyDescent="0.3">
      <c r="B5" s="219"/>
      <c r="C5" s="219"/>
      <c r="D5" s="219"/>
      <c r="E5" s="219"/>
      <c r="F5" s="219"/>
      <c r="G5" s="219"/>
      <c r="H5" s="219"/>
      <c r="I5" s="240"/>
    </row>
    <row r="6" spans="2:9" x14ac:dyDescent="0.25">
      <c r="B6" s="219" t="s">
        <v>566</v>
      </c>
      <c r="C6" s="219"/>
      <c r="D6" s="219"/>
      <c r="E6" s="219"/>
      <c r="F6" s="219"/>
      <c r="G6" s="219"/>
      <c r="H6" s="219"/>
      <c r="I6" s="219"/>
    </row>
    <row r="7" spans="2:9" x14ac:dyDescent="0.25">
      <c r="B7" s="230" t="s">
        <v>567</v>
      </c>
      <c r="C7" s="230"/>
      <c r="D7" s="230"/>
      <c r="E7" s="230"/>
      <c r="F7" s="230"/>
      <c r="G7" s="230"/>
      <c r="H7" s="230"/>
      <c r="I7" s="219"/>
    </row>
    <row r="8" spans="2:9" x14ac:dyDescent="0.25">
      <c r="B8" s="241" t="s">
        <v>568</v>
      </c>
      <c r="C8" s="232"/>
      <c r="D8" s="232"/>
      <c r="E8" s="232"/>
      <c r="F8" s="232"/>
      <c r="G8" s="232"/>
      <c r="H8" s="230"/>
      <c r="I8" s="219"/>
    </row>
    <row r="9" spans="2:9" x14ac:dyDescent="0.25">
      <c r="B9" s="233"/>
      <c r="C9" s="231"/>
      <c r="D9" s="231"/>
      <c r="E9" s="231"/>
      <c r="F9" s="231"/>
      <c r="G9" s="230"/>
      <c r="H9" s="230"/>
      <c r="I9" s="219"/>
    </row>
    <row r="10" spans="2:9" x14ac:dyDescent="0.25">
      <c r="B10" s="242" t="s">
        <v>569</v>
      </c>
      <c r="C10" s="243"/>
      <c r="D10" s="242" t="s">
        <v>570</v>
      </c>
      <c r="E10" s="244"/>
      <c r="F10" s="242" t="s">
        <v>571</v>
      </c>
      <c r="G10" s="243"/>
      <c r="H10" s="243"/>
      <c r="I10" s="243"/>
    </row>
    <row r="11" spans="2:9" x14ac:dyDescent="0.25">
      <c r="B11" s="245" t="s">
        <v>572</v>
      </c>
      <c r="C11" s="246"/>
      <c r="D11" s="245" t="s">
        <v>573</v>
      </c>
      <c r="E11" s="247"/>
      <c r="F11" s="248" t="s">
        <v>574</v>
      </c>
      <c r="G11" s="249"/>
      <c r="H11" s="250" t="s">
        <v>575</v>
      </c>
      <c r="I11" s="251"/>
    </row>
    <row r="12" spans="2:9" x14ac:dyDescent="0.25">
      <c r="B12" s="252" t="s">
        <v>576</v>
      </c>
      <c r="C12" s="253">
        <v>3000</v>
      </c>
      <c r="D12" s="252" t="s">
        <v>577</v>
      </c>
      <c r="E12" s="254">
        <v>3000</v>
      </c>
      <c r="F12" s="252" t="s">
        <v>235</v>
      </c>
      <c r="G12" s="244">
        <f>+E25</f>
        <v>2700</v>
      </c>
      <c r="H12" s="255" t="s">
        <v>71</v>
      </c>
      <c r="I12" s="254">
        <f>+G25</f>
        <v>5700</v>
      </c>
    </row>
    <row r="13" spans="2:9" x14ac:dyDescent="0.25">
      <c r="B13" s="256"/>
      <c r="C13" s="253"/>
      <c r="D13" s="255" t="s">
        <v>578</v>
      </c>
      <c r="E13" s="254">
        <v>-2500</v>
      </c>
      <c r="F13" s="255" t="s">
        <v>579</v>
      </c>
      <c r="G13" s="244">
        <v>8000</v>
      </c>
      <c r="H13" s="255"/>
      <c r="I13" s="257"/>
    </row>
    <row r="14" spans="2:9" x14ac:dyDescent="0.25">
      <c r="B14" s="256"/>
      <c r="C14" s="253"/>
      <c r="D14" s="255"/>
      <c r="E14" s="254"/>
      <c r="F14" s="252"/>
      <c r="G14" s="244"/>
      <c r="H14" s="255"/>
      <c r="I14" s="254"/>
    </row>
    <row r="15" spans="2:9" x14ac:dyDescent="0.25">
      <c r="B15" s="256" t="s">
        <v>580</v>
      </c>
      <c r="C15" s="253"/>
      <c r="D15" s="258" t="s">
        <v>581</v>
      </c>
      <c r="E15" s="259"/>
      <c r="F15" s="252"/>
      <c r="G15" s="244"/>
      <c r="H15" s="250" t="s">
        <v>582</v>
      </c>
      <c r="I15" s="260"/>
    </row>
    <row r="16" spans="2:9" x14ac:dyDescent="0.25">
      <c r="B16" s="252" t="s">
        <v>583</v>
      </c>
      <c r="C16" s="253">
        <v>-2500</v>
      </c>
      <c r="D16" s="255" t="s">
        <v>579</v>
      </c>
      <c r="E16" s="259">
        <v>-8000</v>
      </c>
      <c r="F16" s="252"/>
      <c r="G16" s="244"/>
      <c r="H16" s="255" t="s">
        <v>28</v>
      </c>
      <c r="I16" s="254">
        <v>5000</v>
      </c>
    </row>
    <row r="17" spans="2:9" x14ac:dyDescent="0.25">
      <c r="B17" s="252"/>
      <c r="C17" s="253"/>
      <c r="D17" s="255"/>
      <c r="E17" s="259"/>
      <c r="F17" s="255"/>
      <c r="G17" s="244"/>
      <c r="H17" s="255"/>
      <c r="I17" s="254"/>
    </row>
    <row r="18" spans="2:9" x14ac:dyDescent="0.25">
      <c r="B18" s="256"/>
      <c r="C18" s="253"/>
      <c r="D18" s="255"/>
      <c r="E18" s="259"/>
      <c r="F18" s="261"/>
      <c r="G18" s="262"/>
      <c r="H18" s="261"/>
      <c r="I18" s="263"/>
    </row>
    <row r="19" spans="2:9" x14ac:dyDescent="0.25">
      <c r="B19" s="264"/>
      <c r="C19" s="265"/>
      <c r="D19" s="258" t="s">
        <v>584</v>
      </c>
      <c r="E19" s="259"/>
      <c r="F19" s="261" t="s">
        <v>487</v>
      </c>
      <c r="G19" s="266">
        <f>+SUM(G12:G18)</f>
        <v>10700</v>
      </c>
      <c r="H19" s="267" t="s">
        <v>487</v>
      </c>
      <c r="I19" s="266">
        <f>+SUM(I12:I18)</f>
        <v>10700</v>
      </c>
    </row>
    <row r="20" spans="2:9" x14ac:dyDescent="0.25">
      <c r="B20" s="268" t="s">
        <v>246</v>
      </c>
      <c r="C20" s="269">
        <f>+SUM(C12:C19)</f>
        <v>500</v>
      </c>
      <c r="D20" s="255" t="s">
        <v>585</v>
      </c>
      <c r="E20" s="259">
        <v>6000</v>
      </c>
      <c r="F20" s="270"/>
      <c r="G20" s="270"/>
      <c r="H20" s="270"/>
      <c r="I20" s="270"/>
    </row>
    <row r="21" spans="2:9" x14ac:dyDescent="0.25">
      <c r="B21" s="270"/>
      <c r="C21" s="244"/>
      <c r="D21" s="255" t="s">
        <v>586</v>
      </c>
      <c r="E21" s="259">
        <v>5000</v>
      </c>
      <c r="F21" s="271" t="s">
        <v>587</v>
      </c>
      <c r="G21" s="271"/>
      <c r="H21" s="271"/>
      <c r="I21" s="270"/>
    </row>
    <row r="22" spans="2:9" x14ac:dyDescent="0.25">
      <c r="B22" s="270"/>
      <c r="C22" s="270"/>
      <c r="D22" s="255" t="s">
        <v>588</v>
      </c>
      <c r="E22" s="259">
        <v>-800</v>
      </c>
      <c r="F22" s="272" t="s">
        <v>585</v>
      </c>
      <c r="G22" s="273">
        <v>6000</v>
      </c>
      <c r="H22" s="274"/>
      <c r="I22" s="270"/>
    </row>
    <row r="23" spans="2:9" x14ac:dyDescent="0.25">
      <c r="B23" s="270"/>
      <c r="C23" s="270"/>
      <c r="D23" s="255"/>
      <c r="E23" s="259"/>
      <c r="F23" s="255" t="s">
        <v>589</v>
      </c>
      <c r="G23" s="275">
        <f>+C20</f>
        <v>500</v>
      </c>
      <c r="H23" s="259"/>
      <c r="I23" s="270"/>
    </row>
    <row r="24" spans="2:9" x14ac:dyDescent="0.25">
      <c r="B24" s="270"/>
      <c r="C24" s="270"/>
      <c r="D24" s="255"/>
      <c r="E24" s="259"/>
      <c r="F24" s="255" t="s">
        <v>588</v>
      </c>
      <c r="G24" s="270">
        <v>-800</v>
      </c>
      <c r="H24" s="259"/>
      <c r="I24" s="270"/>
    </row>
    <row r="25" spans="2:9" ht="19.5" x14ac:dyDescent="0.3">
      <c r="B25" s="270"/>
      <c r="C25" s="270"/>
      <c r="D25" s="261" t="s">
        <v>563</v>
      </c>
      <c r="E25" s="266">
        <f>+SUM(E12:E24)</f>
        <v>2700</v>
      </c>
      <c r="F25" s="261" t="s">
        <v>590</v>
      </c>
      <c r="G25" s="267">
        <f>+SUM(G22:G24)</f>
        <v>5700</v>
      </c>
      <c r="H25" s="276"/>
      <c r="I25" s="277"/>
    </row>
    <row r="28" spans="2:9" s="12" customFormat="1" x14ac:dyDescent="0.25"/>
    <row r="29" spans="2:9" x14ac:dyDescent="0.25">
      <c r="B29" s="330" t="s">
        <v>755</v>
      </c>
      <c r="C29" s="330"/>
      <c r="D29" s="330"/>
      <c r="E29" s="330"/>
      <c r="F29" s="330"/>
      <c r="G29" s="330"/>
    </row>
    <row r="30" spans="2:9" x14ac:dyDescent="0.25">
      <c r="B30" s="241" t="s">
        <v>756</v>
      </c>
      <c r="C30" s="331"/>
      <c r="D30" s="331"/>
      <c r="E30" s="331"/>
      <c r="F30" s="331"/>
      <c r="G30" s="331"/>
    </row>
    <row r="31" spans="2:9" x14ac:dyDescent="0.25">
      <c r="B31" s="332" t="s">
        <v>757</v>
      </c>
      <c r="C31" s="330"/>
      <c r="D31" s="330"/>
      <c r="E31" s="330"/>
      <c r="F31" s="330"/>
      <c r="G31" s="330"/>
    </row>
    <row r="32" spans="2:9" x14ac:dyDescent="0.25">
      <c r="B32" s="330" t="s">
        <v>758</v>
      </c>
      <c r="C32" s="330"/>
      <c r="D32" s="330"/>
      <c r="E32" s="330"/>
      <c r="F32" s="330"/>
      <c r="G32" s="330"/>
    </row>
    <row r="33" spans="2:7" x14ac:dyDescent="0.25">
      <c r="B33" s="330" t="s">
        <v>759</v>
      </c>
      <c r="C33" s="330"/>
      <c r="D33" s="330"/>
      <c r="E33" s="330"/>
      <c r="F33" s="330"/>
      <c r="G33" s="330"/>
    </row>
    <row r="34" spans="2:7" x14ac:dyDescent="0.25">
      <c r="B34" s="330" t="s">
        <v>760</v>
      </c>
      <c r="C34" s="330"/>
      <c r="D34" s="330"/>
      <c r="E34" s="330"/>
      <c r="F34" s="330"/>
      <c r="G34" s="330"/>
    </row>
    <row r="35" spans="2:7" x14ac:dyDescent="0.25">
      <c r="B35" s="330" t="s">
        <v>761</v>
      </c>
      <c r="C35" s="330"/>
      <c r="D35" s="330"/>
      <c r="E35" s="330"/>
      <c r="F35" s="330"/>
      <c r="G35" s="330"/>
    </row>
    <row r="36" spans="2:7" x14ac:dyDescent="0.25">
      <c r="B36" s="330" t="s">
        <v>762</v>
      </c>
      <c r="C36" s="330"/>
      <c r="D36" s="330"/>
      <c r="E36" s="333" t="s">
        <v>763</v>
      </c>
      <c r="F36" s="330"/>
      <c r="G36" s="330"/>
    </row>
    <row r="37" spans="2:7" x14ac:dyDescent="0.25">
      <c r="B37" s="330"/>
      <c r="C37" s="330"/>
      <c r="D37" s="330"/>
      <c r="E37" s="330"/>
      <c r="F37" s="330"/>
      <c r="G37" s="330"/>
    </row>
    <row r="38" spans="2:7" x14ac:dyDescent="0.25">
      <c r="B38" s="332" t="s">
        <v>764</v>
      </c>
      <c r="C38" s="330"/>
      <c r="D38" s="330"/>
      <c r="E38" s="330"/>
      <c r="F38" s="330"/>
      <c r="G38" s="330"/>
    </row>
    <row r="39" spans="2:7" x14ac:dyDescent="0.25">
      <c r="B39" s="330" t="s">
        <v>765</v>
      </c>
      <c r="C39" s="330"/>
      <c r="D39" s="330"/>
      <c r="E39" s="330"/>
      <c r="F39" s="330"/>
      <c r="G39" s="330"/>
    </row>
    <row r="40" spans="2:7" x14ac:dyDescent="0.25">
      <c r="B40" s="330" t="s">
        <v>766</v>
      </c>
      <c r="C40" s="330"/>
      <c r="D40" s="330"/>
      <c r="E40" s="330"/>
      <c r="F40" s="330"/>
      <c r="G40" s="330"/>
    </row>
    <row r="41" spans="2:7" x14ac:dyDescent="0.25">
      <c r="B41" s="330" t="s">
        <v>767</v>
      </c>
      <c r="C41" s="330"/>
      <c r="D41" s="330"/>
      <c r="E41" s="330"/>
      <c r="F41" s="330"/>
      <c r="G41" s="330"/>
    </row>
    <row r="42" spans="2:7" x14ac:dyDescent="0.25">
      <c r="B42" s="330" t="s">
        <v>768</v>
      </c>
      <c r="C42" s="330"/>
      <c r="D42" s="330"/>
      <c r="E42" s="330"/>
      <c r="F42" s="330"/>
      <c r="G42" s="330"/>
    </row>
    <row r="43" spans="2:7" x14ac:dyDescent="0.25">
      <c r="B43" s="330" t="s">
        <v>769</v>
      </c>
      <c r="C43" s="330"/>
      <c r="D43" s="330"/>
      <c r="E43" s="330"/>
      <c r="F43" s="330"/>
      <c r="G43" s="330"/>
    </row>
    <row r="44" spans="2:7" x14ac:dyDescent="0.25">
      <c r="B44" s="330" t="s">
        <v>770</v>
      </c>
      <c r="C44" s="330"/>
      <c r="D44" s="330"/>
      <c r="E44" s="330"/>
      <c r="F44" s="330"/>
      <c r="G44" s="330"/>
    </row>
    <row r="45" spans="2:7" x14ac:dyDescent="0.25">
      <c r="B45" s="333" t="s">
        <v>771</v>
      </c>
      <c r="C45" s="330"/>
      <c r="D45" s="330"/>
      <c r="E45" s="330"/>
      <c r="F45" s="330"/>
      <c r="G45" s="330"/>
    </row>
    <row r="46" spans="2:7" x14ac:dyDescent="0.25">
      <c r="B46" s="334" t="s">
        <v>772</v>
      </c>
      <c r="C46" s="334"/>
      <c r="D46" s="334"/>
      <c r="E46" s="334"/>
      <c r="F46" s="334"/>
      <c r="G46" s="334"/>
    </row>
    <row r="47" spans="2:7" x14ac:dyDescent="0.25">
      <c r="B47" s="335" t="s">
        <v>569</v>
      </c>
      <c r="C47" s="219"/>
      <c r="D47" s="332" t="s">
        <v>773</v>
      </c>
      <c r="E47" s="336" t="s">
        <v>774</v>
      </c>
      <c r="F47" s="219"/>
      <c r="G47" s="332" t="s">
        <v>773</v>
      </c>
    </row>
    <row r="48" spans="2:7" x14ac:dyDescent="0.25">
      <c r="B48" s="337" t="s">
        <v>775</v>
      </c>
      <c r="C48" s="338"/>
      <c r="D48" s="330"/>
      <c r="E48" s="337" t="s">
        <v>776</v>
      </c>
      <c r="F48" s="338"/>
      <c r="G48" s="330"/>
    </row>
    <row r="49" spans="2:7" x14ac:dyDescent="0.25">
      <c r="B49" s="339" t="s">
        <v>572</v>
      </c>
      <c r="C49" s="340">
        <v>24000</v>
      </c>
      <c r="D49" s="330">
        <v>4</v>
      </c>
      <c r="E49" s="339" t="s">
        <v>777</v>
      </c>
      <c r="F49" s="340">
        <v>-12000</v>
      </c>
      <c r="G49" s="330">
        <v>2</v>
      </c>
    </row>
    <row r="50" spans="2:7" x14ac:dyDescent="0.25">
      <c r="B50" s="341" t="s">
        <v>778</v>
      </c>
      <c r="C50" s="340"/>
      <c r="D50" s="330"/>
      <c r="E50" s="339" t="s">
        <v>572</v>
      </c>
      <c r="F50" s="340">
        <v>20000</v>
      </c>
      <c r="G50" s="330">
        <v>4</v>
      </c>
    </row>
    <row r="51" spans="2:7" x14ac:dyDescent="0.25">
      <c r="B51" s="339" t="s">
        <v>777</v>
      </c>
      <c r="C51" s="340">
        <v>-6000</v>
      </c>
      <c r="D51" s="330">
        <v>2</v>
      </c>
      <c r="E51" s="339" t="s">
        <v>779</v>
      </c>
      <c r="F51" s="340">
        <v>-6000</v>
      </c>
      <c r="G51" s="330">
        <v>5</v>
      </c>
    </row>
    <row r="52" spans="2:7" x14ac:dyDescent="0.25">
      <c r="B52" s="330" t="s">
        <v>780</v>
      </c>
      <c r="C52" s="342">
        <v>-5000</v>
      </c>
      <c r="D52" s="330">
        <v>3</v>
      </c>
      <c r="E52" s="339"/>
      <c r="F52" s="340"/>
      <c r="G52" s="330"/>
    </row>
    <row r="53" spans="2:7" x14ac:dyDescent="0.25">
      <c r="B53" s="339" t="s">
        <v>779</v>
      </c>
      <c r="C53" s="340">
        <v>-10000</v>
      </c>
      <c r="D53" s="330">
        <v>5</v>
      </c>
      <c r="E53" s="339"/>
      <c r="F53" s="340"/>
      <c r="G53" s="330"/>
    </row>
    <row r="54" spans="2:7" x14ac:dyDescent="0.25">
      <c r="B54" s="343" t="s">
        <v>781</v>
      </c>
      <c r="C54" s="344">
        <f>SUM(C49:C53)</f>
        <v>3000</v>
      </c>
      <c r="D54" s="330"/>
      <c r="E54" s="339"/>
      <c r="F54" s="340"/>
      <c r="G54" s="330"/>
    </row>
    <row r="55" spans="2:7" x14ac:dyDescent="0.25">
      <c r="B55" s="219"/>
      <c r="C55" s="219"/>
      <c r="D55" s="330"/>
      <c r="E55" s="341" t="s">
        <v>782</v>
      </c>
      <c r="F55" s="340"/>
      <c r="G55" s="330"/>
    </row>
    <row r="56" spans="2:7" x14ac:dyDescent="0.25">
      <c r="B56" s="219"/>
      <c r="C56" s="219"/>
      <c r="D56" s="330"/>
      <c r="E56" s="339" t="s">
        <v>585</v>
      </c>
      <c r="F56" s="340">
        <v>24000</v>
      </c>
      <c r="G56" s="330">
        <v>1</v>
      </c>
    </row>
    <row r="57" spans="2:7" x14ac:dyDescent="0.25">
      <c r="B57" s="330"/>
      <c r="C57" s="330"/>
      <c r="D57" s="330"/>
      <c r="E57" s="343" t="s">
        <v>783</v>
      </c>
      <c r="F57" s="344">
        <f>+SUM(F48:F56)</f>
        <v>26000</v>
      </c>
      <c r="G57" s="330"/>
    </row>
    <row r="58" spans="2:7" x14ac:dyDescent="0.25">
      <c r="B58" s="334" t="s">
        <v>784</v>
      </c>
      <c r="C58" s="345"/>
      <c r="D58" s="345"/>
      <c r="E58" s="345"/>
      <c r="F58" s="345"/>
      <c r="G58" s="345"/>
    </row>
    <row r="59" spans="2:7" x14ac:dyDescent="0.25">
      <c r="B59" s="335" t="s">
        <v>569</v>
      </c>
      <c r="C59" s="219"/>
      <c r="D59" s="330"/>
      <c r="E59" s="336" t="s">
        <v>774</v>
      </c>
      <c r="F59" s="219"/>
      <c r="G59" s="330"/>
    </row>
    <row r="60" spans="2:7" x14ac:dyDescent="0.25">
      <c r="B60" s="337" t="s">
        <v>775</v>
      </c>
      <c r="C60" s="338"/>
      <c r="D60" s="330"/>
      <c r="E60" s="337" t="s">
        <v>785</v>
      </c>
      <c r="F60" s="338">
        <f>+F57</f>
        <v>26000</v>
      </c>
      <c r="G60" s="330"/>
    </row>
    <row r="61" spans="2:7" x14ac:dyDescent="0.25">
      <c r="B61" s="339" t="s">
        <v>572</v>
      </c>
      <c r="C61" s="340">
        <v>30000</v>
      </c>
      <c r="D61" s="330">
        <v>3</v>
      </c>
      <c r="E61" s="341" t="s">
        <v>126</v>
      </c>
      <c r="F61" s="340"/>
      <c r="G61" s="330"/>
    </row>
    <row r="62" spans="2:7" x14ac:dyDescent="0.25">
      <c r="B62" s="341" t="s">
        <v>580</v>
      </c>
      <c r="C62" s="340"/>
      <c r="D62" s="330"/>
      <c r="E62" s="339" t="s">
        <v>572</v>
      </c>
      <c r="F62" s="340">
        <v>30000</v>
      </c>
      <c r="G62" s="330">
        <v>3</v>
      </c>
    </row>
    <row r="63" spans="2:7" x14ac:dyDescent="0.25">
      <c r="B63" s="339" t="s">
        <v>786</v>
      </c>
      <c r="C63" s="340">
        <v>-5000</v>
      </c>
      <c r="D63" s="330">
        <v>3</v>
      </c>
      <c r="E63" s="339" t="s">
        <v>231</v>
      </c>
      <c r="F63" s="340">
        <v>-10000</v>
      </c>
      <c r="G63" s="330">
        <v>1</v>
      </c>
    </row>
    <row r="64" spans="2:7" x14ac:dyDescent="0.25">
      <c r="B64" s="339" t="s">
        <v>779</v>
      </c>
      <c r="C64" s="340">
        <v>-12000</v>
      </c>
      <c r="D64" s="330">
        <v>5</v>
      </c>
      <c r="E64" s="339" t="s">
        <v>787</v>
      </c>
      <c r="F64" s="340">
        <v>-4000</v>
      </c>
      <c r="G64" s="330">
        <v>2</v>
      </c>
    </row>
    <row r="65" spans="2:7" x14ac:dyDescent="0.25">
      <c r="B65" s="339" t="s">
        <v>777</v>
      </c>
      <c r="C65" s="340">
        <v>-6000</v>
      </c>
      <c r="D65" s="330">
        <v>1.2</v>
      </c>
      <c r="E65" s="339" t="s">
        <v>788</v>
      </c>
      <c r="F65" s="340">
        <v>4000</v>
      </c>
      <c r="G65" s="330">
        <v>4</v>
      </c>
    </row>
    <row r="66" spans="2:7" x14ac:dyDescent="0.25">
      <c r="B66" s="346" t="s">
        <v>781</v>
      </c>
      <c r="C66" s="347">
        <f>SUM(C61:C65)</f>
        <v>7000</v>
      </c>
      <c r="D66" s="330"/>
      <c r="E66" s="339" t="s">
        <v>789</v>
      </c>
      <c r="F66" s="340">
        <v>-12000</v>
      </c>
      <c r="G66" s="330">
        <v>5</v>
      </c>
    </row>
    <row r="67" spans="2:7" x14ac:dyDescent="0.25">
      <c r="B67" s="219"/>
      <c r="C67" s="219"/>
      <c r="D67" s="330"/>
      <c r="E67" s="341" t="s">
        <v>782</v>
      </c>
      <c r="F67" s="340"/>
      <c r="G67" s="330"/>
    </row>
    <row r="68" spans="2:7" x14ac:dyDescent="0.25">
      <c r="B68" s="219"/>
      <c r="C68" s="219"/>
      <c r="D68" s="330"/>
      <c r="E68" s="339" t="s">
        <v>64</v>
      </c>
      <c r="F68" s="340">
        <v>-34000</v>
      </c>
      <c r="G68" s="330"/>
    </row>
    <row r="69" spans="2:7" x14ac:dyDescent="0.25">
      <c r="B69" s="330"/>
      <c r="C69" s="330"/>
      <c r="D69" s="330"/>
      <c r="E69" s="346" t="s">
        <v>783</v>
      </c>
      <c r="F69" s="347">
        <f>+SUM(F60:F68)</f>
        <v>0</v>
      </c>
      <c r="G69" s="330"/>
    </row>
    <row r="70" spans="2:7" x14ac:dyDescent="0.25">
      <c r="B70" s="330"/>
      <c r="C70" s="330"/>
      <c r="D70" s="330"/>
      <c r="E70" s="330"/>
      <c r="F70" s="330"/>
      <c r="G70" s="330"/>
    </row>
    <row r="71" spans="2:7" x14ac:dyDescent="0.25">
      <c r="B71" s="333" t="s">
        <v>790</v>
      </c>
      <c r="C71" s="330"/>
      <c r="D71" s="330"/>
      <c r="E71" s="330"/>
      <c r="F71" s="330"/>
      <c r="G71" s="330"/>
    </row>
    <row r="72" spans="2:7" x14ac:dyDescent="0.25">
      <c r="B72" s="345"/>
      <c r="C72" s="345"/>
      <c r="D72" s="348" t="s">
        <v>791</v>
      </c>
      <c r="E72" s="348" t="s">
        <v>792</v>
      </c>
      <c r="F72" s="348" t="s">
        <v>603</v>
      </c>
      <c r="G72" s="330"/>
    </row>
    <row r="73" spans="2:7" x14ac:dyDescent="0.25">
      <c r="B73" s="331" t="s">
        <v>725</v>
      </c>
      <c r="C73" s="330"/>
      <c r="D73" s="331">
        <f>+C54</f>
        <v>3000</v>
      </c>
      <c r="E73" s="331">
        <f>+C66</f>
        <v>7000</v>
      </c>
      <c r="F73" s="331">
        <v>10000</v>
      </c>
      <c r="G73" s="330"/>
    </row>
    <row r="74" spans="2:7" x14ac:dyDescent="0.25">
      <c r="B74" s="331" t="s">
        <v>793</v>
      </c>
      <c r="C74" s="330"/>
      <c r="D74" s="331">
        <f>+SUM(F49:F56)-F56</f>
        <v>2000</v>
      </c>
      <c r="E74" s="331">
        <f>+SUM(F62:F66)</f>
        <v>8000</v>
      </c>
      <c r="F74" s="331">
        <v>10000</v>
      </c>
      <c r="G74" s="330"/>
    </row>
    <row r="75" spans="2:7" x14ac:dyDescent="0.25">
      <c r="B75" s="331"/>
      <c r="C75" s="331"/>
      <c r="D75" s="331"/>
      <c r="E75" s="331"/>
      <c r="F75" s="330"/>
      <c r="G75" s="330"/>
    </row>
  </sheetData>
  <hyperlinks>
    <hyperlink ref="E2" location="Regnskaber!A1" display="Regnskaber!A1" xr:uid="{00000000-0004-0000-1000-000000000000}"/>
  </hyperlinks>
  <pageMargins left="0.75" right="0.75" top="1" bottom="1" header="0.5" footer="0.5"/>
  <pageSetup paperSize="9"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B2:M69"/>
  <sheetViews>
    <sheetView workbookViewId="0">
      <selection activeCell="B32" sqref="B32"/>
    </sheetView>
  </sheetViews>
  <sheetFormatPr defaultColWidth="10.875" defaultRowHeight="15.75" x14ac:dyDescent="0.25"/>
  <cols>
    <col min="1" max="1" width="10.875" style="1"/>
    <col min="2" max="2" width="28.875" style="1" customWidth="1"/>
    <col min="3" max="3" width="10.875" style="1"/>
    <col min="4" max="4" width="14.375" style="1" bestFit="1" customWidth="1"/>
    <col min="5" max="5" width="24.5" style="1" customWidth="1"/>
    <col min="6" max="6" width="14.5" style="1" bestFit="1" customWidth="1"/>
    <col min="7" max="7" width="10.875" style="1"/>
    <col min="8" max="8" width="20.375" style="1" customWidth="1"/>
    <col min="9" max="16384" width="10.875" style="1"/>
  </cols>
  <sheetData>
    <row r="2" spans="2:13" x14ac:dyDescent="0.25">
      <c r="C2" s="204" t="s">
        <v>1220</v>
      </c>
    </row>
    <row r="5" spans="2:13" x14ac:dyDescent="0.25">
      <c r="B5" s="303" t="s">
        <v>628</v>
      </c>
      <c r="C5" s="303"/>
      <c r="D5" s="303"/>
      <c r="E5" s="303"/>
      <c r="F5" s="303"/>
      <c r="G5" s="303"/>
      <c r="H5" s="303"/>
      <c r="I5" s="303"/>
      <c r="J5" s="303"/>
      <c r="K5" s="303"/>
      <c r="L5" s="303"/>
      <c r="M5" s="303"/>
    </row>
    <row r="6" spans="2:13" x14ac:dyDescent="0.25">
      <c r="B6" s="304" t="s">
        <v>629</v>
      </c>
      <c r="C6" s="303"/>
      <c r="D6" s="303"/>
      <c r="E6" s="303"/>
      <c r="F6" s="303"/>
      <c r="G6" s="303"/>
      <c r="H6" s="303"/>
      <c r="I6" s="303"/>
      <c r="J6" s="303"/>
      <c r="K6" s="303"/>
      <c r="L6" s="303"/>
      <c r="M6" s="303"/>
    </row>
    <row r="7" spans="2:13" x14ac:dyDescent="0.25">
      <c r="B7" s="303" t="s">
        <v>630</v>
      </c>
      <c r="C7" s="303"/>
      <c r="D7" s="303"/>
      <c r="E7" s="303"/>
      <c r="F7" s="303"/>
      <c r="G7" s="303"/>
      <c r="H7" s="303"/>
      <c r="I7" s="303"/>
      <c r="J7" s="303"/>
      <c r="K7" s="303"/>
      <c r="L7" s="303"/>
      <c r="M7" s="303"/>
    </row>
    <row r="8" spans="2:13" x14ac:dyDescent="0.25">
      <c r="B8" s="303" t="s">
        <v>631</v>
      </c>
      <c r="C8" s="303"/>
      <c r="D8" s="303"/>
      <c r="E8" s="303"/>
      <c r="F8" s="303"/>
      <c r="G8" s="303"/>
      <c r="H8" s="303"/>
      <c r="I8" s="303"/>
      <c r="J8" s="303"/>
      <c r="K8" s="303"/>
      <c r="L8" s="303"/>
      <c r="M8" s="303"/>
    </row>
    <row r="9" spans="2:13" x14ac:dyDescent="0.25">
      <c r="B9" s="303"/>
      <c r="C9" s="303"/>
      <c r="D9" s="303"/>
      <c r="E9" s="303"/>
      <c r="F9" s="303"/>
      <c r="G9" s="304" t="s">
        <v>632</v>
      </c>
      <c r="H9" s="303"/>
      <c r="I9" s="303"/>
      <c r="J9" s="303"/>
      <c r="K9" s="303"/>
      <c r="L9" s="303"/>
      <c r="M9" s="303"/>
    </row>
    <row r="10" spans="2:13" x14ac:dyDescent="0.25">
      <c r="B10" s="303"/>
      <c r="C10" s="305" t="s">
        <v>633</v>
      </c>
      <c r="D10" s="305" t="s">
        <v>634</v>
      </c>
      <c r="E10" s="305" t="s">
        <v>635</v>
      </c>
      <c r="F10" s="305" t="s">
        <v>636</v>
      </c>
      <c r="G10" s="303"/>
      <c r="H10" s="303"/>
      <c r="I10" s="303"/>
      <c r="J10" s="303"/>
      <c r="K10" s="303"/>
      <c r="L10" s="303"/>
      <c r="M10" s="303"/>
    </row>
    <row r="11" spans="2:13" x14ac:dyDescent="0.25">
      <c r="B11" s="305" t="s">
        <v>637</v>
      </c>
      <c r="C11" s="306"/>
      <c r="D11" s="306" t="s">
        <v>254</v>
      </c>
      <c r="E11" s="306"/>
      <c r="F11" s="306"/>
      <c r="G11" s="303"/>
      <c r="H11" s="303"/>
      <c r="I11" s="303"/>
      <c r="J11" s="303"/>
      <c r="K11" s="303"/>
      <c r="L11" s="303"/>
      <c r="M11" s="303"/>
    </row>
    <row r="12" spans="2:13" x14ac:dyDescent="0.25">
      <c r="B12" s="305" t="s">
        <v>638</v>
      </c>
      <c r="C12" s="306"/>
      <c r="D12" s="306">
        <v>1</v>
      </c>
      <c r="E12" s="306"/>
      <c r="F12" s="306"/>
      <c r="G12" s="307" t="s">
        <v>639</v>
      </c>
      <c r="H12" s="303"/>
      <c r="I12" s="303"/>
      <c r="J12" s="303"/>
      <c r="K12" s="303"/>
      <c r="L12" s="303"/>
      <c r="M12" s="303"/>
    </row>
    <row r="13" spans="2:13" x14ac:dyDescent="0.25">
      <c r="B13" s="305" t="s">
        <v>640</v>
      </c>
      <c r="C13" s="306">
        <v>2</v>
      </c>
      <c r="D13" s="306">
        <v>2</v>
      </c>
      <c r="E13" s="306"/>
      <c r="F13" s="306">
        <v>2</v>
      </c>
      <c r="G13" s="307" t="s">
        <v>641</v>
      </c>
      <c r="H13" s="303"/>
      <c r="I13" s="303"/>
      <c r="J13" s="303"/>
      <c r="K13" s="303"/>
      <c r="L13" s="303"/>
      <c r="M13" s="303"/>
    </row>
    <row r="14" spans="2:13" x14ac:dyDescent="0.25">
      <c r="B14" s="305" t="s">
        <v>642</v>
      </c>
      <c r="C14" s="306" t="s">
        <v>254</v>
      </c>
      <c r="D14" s="306"/>
      <c r="E14" s="306"/>
      <c r="F14" s="306"/>
      <c r="G14" s="307" t="s">
        <v>643</v>
      </c>
      <c r="H14" s="303"/>
      <c r="I14" s="303"/>
      <c r="J14" s="303"/>
      <c r="K14" s="303"/>
      <c r="L14" s="303"/>
      <c r="M14" s="303"/>
    </row>
    <row r="15" spans="2:13" x14ac:dyDescent="0.25">
      <c r="B15" s="305" t="s">
        <v>644</v>
      </c>
      <c r="C15" s="306">
        <v>3</v>
      </c>
      <c r="D15" s="306">
        <v>3</v>
      </c>
      <c r="E15" s="306"/>
      <c r="F15" s="306">
        <v>3</v>
      </c>
      <c r="G15" s="307" t="s">
        <v>645</v>
      </c>
      <c r="H15" s="303"/>
      <c r="I15" s="303"/>
      <c r="J15" s="303"/>
      <c r="K15" s="303"/>
      <c r="L15" s="303"/>
      <c r="M15" s="303"/>
    </row>
    <row r="16" spans="2:13" x14ac:dyDescent="0.25">
      <c r="B16" s="305" t="s">
        <v>646</v>
      </c>
      <c r="C16" s="306"/>
      <c r="D16" s="306" t="s">
        <v>647</v>
      </c>
      <c r="E16" s="306" t="s">
        <v>647</v>
      </c>
      <c r="F16" s="306"/>
      <c r="G16" s="307" t="s">
        <v>648</v>
      </c>
      <c r="H16" s="303"/>
      <c r="I16" s="303"/>
      <c r="J16" s="303"/>
      <c r="K16" s="303"/>
      <c r="L16" s="303"/>
      <c r="M16" s="303"/>
    </row>
    <row r="17" spans="2:13" x14ac:dyDescent="0.25">
      <c r="B17" s="305" t="s">
        <v>555</v>
      </c>
      <c r="C17" s="306" t="s">
        <v>254</v>
      </c>
      <c r="D17" s="306"/>
      <c r="E17" s="306"/>
      <c r="F17" s="306"/>
      <c r="G17" s="307" t="s">
        <v>649</v>
      </c>
      <c r="H17" s="303"/>
      <c r="I17" s="303"/>
      <c r="J17" s="303"/>
      <c r="K17" s="303"/>
      <c r="L17" s="303"/>
      <c r="M17" s="303"/>
    </row>
    <row r="18" spans="2:13" x14ac:dyDescent="0.25">
      <c r="B18" s="305" t="s">
        <v>650</v>
      </c>
      <c r="C18" s="306" t="s">
        <v>254</v>
      </c>
      <c r="D18" s="306"/>
      <c r="E18" s="306"/>
      <c r="F18" s="306"/>
      <c r="G18" s="307" t="s">
        <v>649</v>
      </c>
      <c r="H18" s="303"/>
      <c r="I18" s="303"/>
      <c r="J18" s="303"/>
      <c r="K18" s="303"/>
      <c r="L18" s="303"/>
      <c r="M18" s="303"/>
    </row>
    <row r="19" spans="2:13" x14ac:dyDescent="0.25">
      <c r="B19" s="305" t="s">
        <v>579</v>
      </c>
      <c r="C19" s="306" t="s">
        <v>254</v>
      </c>
      <c r="D19" s="306"/>
      <c r="E19" s="306"/>
      <c r="F19" s="306"/>
      <c r="G19" s="307" t="s">
        <v>649</v>
      </c>
      <c r="H19" s="303"/>
      <c r="I19" s="303"/>
      <c r="J19" s="303"/>
      <c r="K19" s="303"/>
      <c r="L19" s="303"/>
      <c r="M19" s="303"/>
    </row>
    <row r="20" spans="2:13" x14ac:dyDescent="0.25">
      <c r="B20" s="305" t="s">
        <v>651</v>
      </c>
      <c r="C20" s="306" t="s">
        <v>254</v>
      </c>
      <c r="D20" s="306"/>
      <c r="E20" s="306"/>
      <c r="F20" s="306"/>
      <c r="G20" s="307" t="s">
        <v>649</v>
      </c>
      <c r="H20" s="303"/>
      <c r="I20" s="303"/>
      <c r="J20" s="303"/>
      <c r="K20" s="303"/>
      <c r="L20" s="303"/>
      <c r="M20" s="303"/>
    </row>
    <row r="21" spans="2:13" x14ac:dyDescent="0.25">
      <c r="B21" s="305" t="s">
        <v>652</v>
      </c>
      <c r="C21" s="306"/>
      <c r="D21" s="306" t="s">
        <v>254</v>
      </c>
      <c r="E21" s="306"/>
      <c r="F21" s="306"/>
      <c r="G21" s="307" t="s">
        <v>653</v>
      </c>
      <c r="H21" s="303"/>
      <c r="I21" s="303"/>
      <c r="J21" s="303"/>
      <c r="K21" s="303"/>
      <c r="L21" s="303"/>
      <c r="M21" s="303"/>
    </row>
    <row r="22" spans="2:13" x14ac:dyDescent="0.25">
      <c r="B22" s="305" t="s">
        <v>654</v>
      </c>
      <c r="C22" s="306"/>
      <c r="D22" s="306"/>
      <c r="E22" s="306" t="s">
        <v>254</v>
      </c>
      <c r="F22" s="306"/>
      <c r="G22" s="307" t="s">
        <v>655</v>
      </c>
      <c r="H22" s="303"/>
      <c r="I22" s="303"/>
      <c r="J22" s="303"/>
      <c r="K22" s="303"/>
      <c r="L22" s="303"/>
      <c r="M22" s="303"/>
    </row>
    <row r="23" spans="2:13" x14ac:dyDescent="0.25">
      <c r="B23" s="303"/>
      <c r="C23" s="303"/>
      <c r="D23" s="303"/>
      <c r="E23" s="303"/>
      <c r="F23" s="303"/>
      <c r="G23" s="303"/>
      <c r="H23" s="303"/>
      <c r="I23" s="303"/>
      <c r="J23" s="303"/>
      <c r="K23" s="303"/>
      <c r="L23" s="303"/>
      <c r="M23" s="303"/>
    </row>
    <row r="24" spans="2:13" x14ac:dyDescent="0.25">
      <c r="B24" s="303" t="s">
        <v>656</v>
      </c>
      <c r="C24" s="303"/>
      <c r="D24" s="303"/>
      <c r="E24" s="303"/>
      <c r="F24" s="303"/>
      <c r="G24" s="303"/>
      <c r="H24" s="303"/>
      <c r="I24" s="303"/>
      <c r="J24" s="303"/>
      <c r="K24" s="303"/>
      <c r="L24" s="303"/>
      <c r="M24" s="303"/>
    </row>
    <row r="25" spans="2:13" x14ac:dyDescent="0.25">
      <c r="B25" s="303" t="s">
        <v>2831</v>
      </c>
      <c r="C25" s="303"/>
      <c r="D25" s="303"/>
      <c r="E25" s="303"/>
      <c r="F25" s="303"/>
      <c r="G25" s="303"/>
      <c r="H25" s="303"/>
      <c r="I25" s="303"/>
      <c r="J25" s="303"/>
      <c r="K25" s="303"/>
      <c r="L25" s="303"/>
      <c r="M25" s="303"/>
    </row>
    <row r="26" spans="2:13" x14ac:dyDescent="0.25">
      <c r="B26" s="303" t="s">
        <v>657</v>
      </c>
      <c r="C26" s="303"/>
      <c r="D26" s="303"/>
      <c r="E26" s="303"/>
      <c r="F26" s="303"/>
      <c r="G26" s="303"/>
      <c r="H26" s="303"/>
      <c r="I26" s="303"/>
      <c r="J26" s="303"/>
      <c r="K26" s="303"/>
      <c r="L26" s="303"/>
      <c r="M26" s="303"/>
    </row>
    <row r="27" spans="2:13" x14ac:dyDescent="0.25">
      <c r="B27" s="303" t="s">
        <v>658</v>
      </c>
      <c r="C27" s="303"/>
      <c r="D27" s="303"/>
      <c r="E27" s="303"/>
      <c r="F27" s="303"/>
      <c r="G27" s="303"/>
      <c r="H27" s="303"/>
      <c r="I27" s="303"/>
      <c r="J27" s="303"/>
      <c r="K27" s="303"/>
      <c r="L27" s="303"/>
      <c r="M27" s="303"/>
    </row>
    <row r="28" spans="2:13" x14ac:dyDescent="0.25">
      <c r="B28" s="303"/>
      <c r="C28" s="303"/>
      <c r="D28" s="303"/>
      <c r="E28" s="303"/>
      <c r="F28" s="303"/>
      <c r="G28" s="303"/>
      <c r="H28" s="303"/>
      <c r="I28" s="303"/>
      <c r="J28" s="303"/>
      <c r="K28" s="303"/>
      <c r="L28" s="303"/>
      <c r="M28" s="303"/>
    </row>
    <row r="29" spans="2:13" x14ac:dyDescent="0.25">
      <c r="B29" s="303" t="s">
        <v>659</v>
      </c>
      <c r="C29" s="303"/>
      <c r="D29" s="303"/>
      <c r="E29" s="303"/>
      <c r="F29" s="303"/>
      <c r="G29" s="303"/>
      <c r="H29" s="303"/>
      <c r="I29" s="303"/>
      <c r="J29" s="303"/>
      <c r="K29" s="303"/>
      <c r="L29" s="303"/>
      <c r="M29" s="303"/>
    </row>
    <row r="30" spans="2:13" x14ac:dyDescent="0.25">
      <c r="B30" s="303" t="s">
        <v>660</v>
      </c>
      <c r="C30" s="303"/>
      <c r="D30" s="303"/>
      <c r="E30" s="303"/>
      <c r="F30" s="303"/>
      <c r="G30" s="303"/>
      <c r="H30" s="303"/>
      <c r="I30" s="303"/>
      <c r="J30" s="303"/>
      <c r="K30" s="303"/>
      <c r="L30" s="303"/>
      <c r="M30" s="303"/>
    </row>
    <row r="31" spans="2:13" x14ac:dyDescent="0.25">
      <c r="B31" s="303" t="s">
        <v>661</v>
      </c>
      <c r="C31" s="303"/>
      <c r="D31" s="303"/>
      <c r="E31" s="303"/>
      <c r="F31" s="303"/>
      <c r="G31" s="303"/>
      <c r="H31" s="303"/>
      <c r="I31" s="303"/>
      <c r="J31" s="303"/>
      <c r="K31" s="303"/>
      <c r="L31" s="303"/>
      <c r="M31" s="303"/>
    </row>
    <row r="32" spans="2:13" x14ac:dyDescent="0.25">
      <c r="B32" s="303" t="s">
        <v>662</v>
      </c>
      <c r="C32" s="303"/>
      <c r="D32" s="303"/>
      <c r="E32" s="303"/>
      <c r="F32" s="303"/>
      <c r="G32" s="303"/>
      <c r="H32" s="303"/>
      <c r="I32" s="303"/>
      <c r="J32" s="303"/>
      <c r="K32" s="303"/>
      <c r="L32" s="303"/>
      <c r="M32" s="303"/>
    </row>
    <row r="34" spans="3:11" s="12" customFormat="1" x14ac:dyDescent="0.25"/>
    <row r="37" spans="3:11" x14ac:dyDescent="0.25">
      <c r="C37" s="829" t="s">
        <v>2867</v>
      </c>
      <c r="D37" s="426"/>
      <c r="E37" s="219"/>
      <c r="F37" s="219"/>
      <c r="G37" s="219"/>
      <c r="H37" s="219"/>
      <c r="I37" s="219"/>
      <c r="J37" s="219"/>
      <c r="K37" s="219"/>
    </row>
    <row r="38" spans="3:11" x14ac:dyDescent="0.25">
      <c r="C38" s="219" t="s">
        <v>2868</v>
      </c>
      <c r="D38" s="219"/>
      <c r="E38" s="219"/>
      <c r="F38" s="219"/>
      <c r="G38" s="219"/>
      <c r="H38" s="219"/>
      <c r="I38" s="219"/>
      <c r="J38" s="219"/>
      <c r="K38" s="219"/>
    </row>
    <row r="39" spans="3:11" x14ac:dyDescent="0.25">
      <c r="C39" s="230"/>
      <c r="D39" s="230"/>
      <c r="E39" s="230"/>
      <c r="F39" s="230"/>
      <c r="G39" s="230"/>
      <c r="H39" s="230"/>
      <c r="I39" s="230"/>
      <c r="J39" s="219"/>
      <c r="K39" s="219"/>
    </row>
    <row r="40" spans="3:11" x14ac:dyDescent="0.25">
      <c r="C40" s="834" t="s">
        <v>574</v>
      </c>
      <c r="D40" s="842"/>
      <c r="E40" s="841" t="s">
        <v>582</v>
      </c>
      <c r="F40" s="840"/>
      <c r="G40" s="232"/>
      <c r="H40" s="232" t="s">
        <v>2869</v>
      </c>
      <c r="I40" s="232"/>
      <c r="J40" s="230"/>
      <c r="K40" s="219"/>
    </row>
    <row r="41" spans="3:11" x14ac:dyDescent="0.25">
      <c r="C41" s="836" t="s">
        <v>637</v>
      </c>
      <c r="D41" s="837">
        <v>25000</v>
      </c>
      <c r="E41" s="836" t="s">
        <v>2870</v>
      </c>
      <c r="F41" s="835">
        <v>42000</v>
      </c>
      <c r="G41" s="642"/>
      <c r="H41" s="642" t="s">
        <v>2871</v>
      </c>
      <c r="I41" s="642"/>
      <c r="J41" s="230"/>
      <c r="K41" s="219"/>
    </row>
    <row r="42" spans="3:11" ht="31.5" x14ac:dyDescent="0.25">
      <c r="C42" s="836" t="s">
        <v>638</v>
      </c>
      <c r="D42" s="837">
        <v>15000</v>
      </c>
      <c r="E42" s="836" t="s">
        <v>2872</v>
      </c>
      <c r="F42" s="835">
        <v>20000</v>
      </c>
      <c r="G42" s="642"/>
      <c r="H42" s="642" t="s">
        <v>2873</v>
      </c>
      <c r="I42" s="642"/>
      <c r="J42" s="230"/>
      <c r="K42" s="219"/>
    </row>
    <row r="43" spans="3:11" ht="31.5" x14ac:dyDescent="0.25">
      <c r="C43" s="836" t="s">
        <v>2874</v>
      </c>
      <c r="D43" s="837">
        <v>35000</v>
      </c>
      <c r="E43" s="839" t="s">
        <v>2875</v>
      </c>
      <c r="F43" s="835">
        <v>34000</v>
      </c>
      <c r="G43" s="642"/>
      <c r="H43" s="642" t="s">
        <v>2876</v>
      </c>
      <c r="I43" s="642"/>
      <c r="J43" s="230"/>
      <c r="K43" s="219"/>
    </row>
    <row r="44" spans="3:11" x14ac:dyDescent="0.25">
      <c r="C44" s="836" t="s">
        <v>2877</v>
      </c>
      <c r="D44" s="837">
        <v>42000</v>
      </c>
      <c r="E44" s="836" t="s">
        <v>2878</v>
      </c>
      <c r="F44" s="835">
        <v>75000</v>
      </c>
      <c r="G44" s="642"/>
      <c r="H44" s="642" t="s">
        <v>2879</v>
      </c>
      <c r="I44" s="642"/>
      <c r="J44" s="230"/>
      <c r="K44" s="219"/>
    </row>
    <row r="45" spans="3:11" ht="31.5" x14ac:dyDescent="0.25">
      <c r="C45" s="836" t="s">
        <v>2880</v>
      </c>
      <c r="D45" s="837">
        <v>10000</v>
      </c>
      <c r="E45" s="836" t="s">
        <v>2881</v>
      </c>
      <c r="F45" s="835">
        <v>25000</v>
      </c>
      <c r="G45" s="642"/>
      <c r="H45" s="642" t="s">
        <v>2882</v>
      </c>
      <c r="I45" s="642"/>
      <c r="J45" s="230"/>
      <c r="K45" s="219"/>
    </row>
    <row r="46" spans="3:11" ht="47.25" x14ac:dyDescent="0.25">
      <c r="C46" s="839" t="s">
        <v>2883</v>
      </c>
      <c r="D46" s="837">
        <v>82000</v>
      </c>
      <c r="E46" s="836" t="s">
        <v>2884</v>
      </c>
      <c r="F46" s="835">
        <v>50000</v>
      </c>
      <c r="G46" s="642"/>
      <c r="H46" s="642" t="s">
        <v>2885</v>
      </c>
      <c r="I46" s="642"/>
      <c r="J46" s="230"/>
      <c r="K46" s="219"/>
    </row>
    <row r="47" spans="3:11" ht="31.5" x14ac:dyDescent="0.25">
      <c r="C47" s="836" t="s">
        <v>2886</v>
      </c>
      <c r="D47" s="837">
        <v>50000</v>
      </c>
      <c r="E47" s="836" t="s">
        <v>911</v>
      </c>
      <c r="F47" s="835">
        <v>13000</v>
      </c>
      <c r="G47" s="642"/>
      <c r="H47" s="642" t="s">
        <v>2887</v>
      </c>
      <c r="I47" s="642"/>
      <c r="J47" s="230"/>
      <c r="K47" s="219"/>
    </row>
    <row r="48" spans="3:11" ht="31.5" x14ac:dyDescent="0.25">
      <c r="C48" s="834" t="s">
        <v>835</v>
      </c>
      <c r="D48" s="833">
        <f>SUM(D41:D47)</f>
        <v>259000</v>
      </c>
      <c r="E48" s="832" t="s">
        <v>2888</v>
      </c>
      <c r="F48" s="831">
        <f>SUM(F41:F47)</f>
        <v>259000</v>
      </c>
      <c r="G48" s="642"/>
      <c r="H48" s="642"/>
      <c r="I48" s="230"/>
      <c r="J48" s="219"/>
      <c r="K48" s="219"/>
    </row>
    <row r="49" spans="3:11" x14ac:dyDescent="0.25">
      <c r="C49" s="230" t="s">
        <v>2889</v>
      </c>
      <c r="D49" s="230"/>
      <c r="E49" s="230"/>
      <c r="F49" s="230"/>
      <c r="G49" s="230"/>
      <c r="H49" s="230"/>
      <c r="I49" s="230"/>
      <c r="J49" s="219"/>
      <c r="K49" s="219"/>
    </row>
    <row r="50" spans="3:11" x14ac:dyDescent="0.25">
      <c r="C50" s="230" t="s">
        <v>2890</v>
      </c>
      <c r="D50" s="230"/>
      <c r="E50" s="230"/>
      <c r="F50" s="230"/>
      <c r="G50" s="230"/>
      <c r="H50" s="230"/>
      <c r="I50" s="230"/>
      <c r="J50" s="219"/>
      <c r="K50" s="219"/>
    </row>
    <row r="51" spans="3:11" x14ac:dyDescent="0.25">
      <c r="C51" s="829" t="s">
        <v>2891</v>
      </c>
      <c r="D51" s="843">
        <f>F46+F47</f>
        <v>63000</v>
      </c>
      <c r="E51" s="234" t="s">
        <v>2892</v>
      </c>
      <c r="F51" s="230"/>
      <c r="G51" s="230"/>
      <c r="H51" s="230"/>
      <c r="I51" s="230"/>
      <c r="J51" s="219"/>
      <c r="K51" s="219"/>
    </row>
    <row r="52" spans="3:11" ht="19.5" x14ac:dyDescent="0.3">
      <c r="C52" s="219"/>
      <c r="D52" s="219"/>
      <c r="E52" s="219"/>
      <c r="F52" s="219"/>
      <c r="G52" s="219"/>
      <c r="H52" s="219"/>
      <c r="I52" s="219"/>
      <c r="J52" s="240"/>
      <c r="K52" s="240"/>
    </row>
    <row r="53" spans="3:11" ht="19.5" x14ac:dyDescent="0.3">
      <c r="C53" s="230" t="s">
        <v>2893</v>
      </c>
      <c r="D53" s="219"/>
      <c r="E53" s="219"/>
      <c r="F53" s="219"/>
      <c r="G53" s="219"/>
      <c r="H53" s="219"/>
      <c r="I53" s="219"/>
      <c r="J53" s="240"/>
      <c r="K53" s="240"/>
    </row>
    <row r="54" spans="3:11" ht="19.5" x14ac:dyDescent="0.3">
      <c r="C54" s="834" t="s">
        <v>574</v>
      </c>
      <c r="D54" s="842"/>
      <c r="E54" s="841" t="s">
        <v>582</v>
      </c>
      <c r="F54" s="840"/>
      <c r="G54" s="219"/>
      <c r="H54" s="219"/>
      <c r="I54" s="219"/>
      <c r="J54" s="240"/>
      <c r="K54" s="240"/>
    </row>
    <row r="55" spans="3:11" ht="19.5" x14ac:dyDescent="0.3">
      <c r="C55" s="836" t="s">
        <v>637</v>
      </c>
      <c r="D55" s="838">
        <v>25000</v>
      </c>
      <c r="E55" s="836" t="s">
        <v>2870</v>
      </c>
      <c r="F55" s="835">
        <v>42000</v>
      </c>
      <c r="G55" s="219"/>
      <c r="H55" s="219"/>
      <c r="I55" s="219"/>
      <c r="J55" s="240"/>
      <c r="K55" s="240"/>
    </row>
    <row r="56" spans="3:11" ht="31.5" x14ac:dyDescent="0.3">
      <c r="C56" s="836" t="s">
        <v>638</v>
      </c>
      <c r="D56" s="838">
        <v>19000</v>
      </c>
      <c r="E56" s="836" t="s">
        <v>2872</v>
      </c>
      <c r="F56" s="835">
        <v>20000</v>
      </c>
      <c r="G56" s="219"/>
      <c r="H56" s="219"/>
      <c r="I56" s="219"/>
      <c r="J56" s="240"/>
      <c r="K56" s="240"/>
    </row>
    <row r="57" spans="3:11" ht="31.5" x14ac:dyDescent="0.3">
      <c r="C57" s="836" t="s">
        <v>2874</v>
      </c>
      <c r="D57" s="838">
        <v>25000</v>
      </c>
      <c r="E57" s="839" t="s">
        <v>2875</v>
      </c>
      <c r="F57" s="835">
        <v>34000</v>
      </c>
      <c r="G57" s="219"/>
      <c r="H57" s="219"/>
      <c r="I57" s="219"/>
      <c r="J57" s="240"/>
      <c r="K57" s="240"/>
    </row>
    <row r="58" spans="3:11" ht="19.5" x14ac:dyDescent="0.3">
      <c r="C58" s="836" t="s">
        <v>2877</v>
      </c>
      <c r="D58" s="838">
        <v>33000</v>
      </c>
      <c r="E58" s="836" t="s">
        <v>2878</v>
      </c>
      <c r="F58" s="835">
        <v>75000</v>
      </c>
      <c r="G58" s="219"/>
      <c r="H58" s="219"/>
      <c r="I58" s="219"/>
      <c r="J58" s="240"/>
      <c r="K58" s="240"/>
    </row>
    <row r="59" spans="3:11" ht="31.5" x14ac:dyDescent="0.3">
      <c r="C59" s="836" t="s">
        <v>2880</v>
      </c>
      <c r="D59" s="837"/>
      <c r="E59" s="836" t="s">
        <v>2881</v>
      </c>
      <c r="F59" s="835">
        <v>25000</v>
      </c>
      <c r="G59" s="219"/>
      <c r="H59" s="219"/>
      <c r="I59" s="219"/>
      <c r="J59" s="240"/>
      <c r="K59" s="240"/>
    </row>
    <row r="60" spans="3:11" ht="47.25" x14ac:dyDescent="0.3">
      <c r="C60" s="839" t="s">
        <v>2883</v>
      </c>
      <c r="D60" s="838">
        <v>100000</v>
      </c>
      <c r="E60" s="836" t="s">
        <v>2884</v>
      </c>
      <c r="F60" s="835">
        <v>50000</v>
      </c>
      <c r="G60" s="219"/>
      <c r="H60" s="219"/>
      <c r="I60" s="219"/>
      <c r="J60" s="240"/>
      <c r="K60" s="240"/>
    </row>
    <row r="61" spans="3:11" ht="31.5" x14ac:dyDescent="0.3">
      <c r="C61" s="836" t="s">
        <v>2886</v>
      </c>
      <c r="D61" s="837"/>
      <c r="E61" s="836" t="s">
        <v>911</v>
      </c>
      <c r="F61" s="835">
        <v>13000</v>
      </c>
      <c r="G61" s="219"/>
      <c r="H61" s="219"/>
      <c r="I61" s="219"/>
      <c r="J61" s="240"/>
      <c r="K61" s="240"/>
    </row>
    <row r="62" spans="3:11" ht="31.5" x14ac:dyDescent="0.3">
      <c r="C62" s="834" t="s">
        <v>835</v>
      </c>
      <c r="D62" s="833">
        <f>SUM(D55:D61)</f>
        <v>202000</v>
      </c>
      <c r="E62" s="832" t="s">
        <v>2888</v>
      </c>
      <c r="F62" s="831">
        <f>SUM(F55:F61)</f>
        <v>259000</v>
      </c>
      <c r="G62" s="219"/>
      <c r="H62" s="219"/>
      <c r="I62" s="219"/>
      <c r="J62" s="240"/>
      <c r="K62" s="240"/>
    </row>
    <row r="63" spans="3:11" ht="19.5" x14ac:dyDescent="0.3">
      <c r="C63" s="219"/>
      <c r="D63" s="219"/>
      <c r="E63" s="219"/>
      <c r="F63" s="219"/>
      <c r="G63" s="219"/>
      <c r="H63" s="219"/>
      <c r="I63" s="219"/>
      <c r="J63" s="240"/>
      <c r="K63" s="240"/>
    </row>
    <row r="64" spans="3:11" ht="19.5" x14ac:dyDescent="0.3">
      <c r="C64" s="829" t="s">
        <v>2894</v>
      </c>
      <c r="D64" s="219"/>
      <c r="E64" s="219"/>
      <c r="F64" s="830">
        <f>D62-SUM(F55:F59)</f>
        <v>6000</v>
      </c>
      <c r="G64" s="219"/>
      <c r="H64" s="219"/>
      <c r="I64" s="219"/>
      <c r="J64" s="240"/>
      <c r="K64" s="240"/>
    </row>
    <row r="65" spans="3:11" ht="19.5" x14ac:dyDescent="0.3">
      <c r="C65" s="219"/>
      <c r="D65" s="219"/>
      <c r="E65" s="219"/>
      <c r="F65" s="219"/>
      <c r="G65" s="219"/>
      <c r="H65" s="219"/>
      <c r="I65" s="219"/>
      <c r="J65" s="240"/>
      <c r="K65" s="240"/>
    </row>
    <row r="66" spans="3:11" ht="19.5" x14ac:dyDescent="0.3">
      <c r="C66" s="219" t="s">
        <v>2895</v>
      </c>
      <c r="D66" s="219"/>
      <c r="E66" s="219"/>
      <c r="F66" s="219"/>
      <c r="G66" s="219"/>
      <c r="H66" s="219"/>
      <c r="I66" s="219"/>
      <c r="J66" s="240"/>
      <c r="K66" s="240"/>
    </row>
    <row r="67" spans="3:11" ht="19.5" x14ac:dyDescent="0.3">
      <c r="C67" s="219" t="s">
        <v>2896</v>
      </c>
      <c r="D67" s="219"/>
      <c r="E67" s="219"/>
      <c r="F67" s="219"/>
      <c r="G67" s="219"/>
      <c r="H67" s="219"/>
      <c r="I67" s="219"/>
      <c r="J67" s="240"/>
      <c r="K67" s="240"/>
    </row>
    <row r="68" spans="3:11" ht="19.5" x14ac:dyDescent="0.3">
      <c r="C68" s="219"/>
      <c r="D68" s="829" t="s">
        <v>2897</v>
      </c>
      <c r="E68" s="219"/>
      <c r="F68" s="219"/>
      <c r="G68" s="219"/>
      <c r="H68" s="219"/>
      <c r="I68" s="219"/>
      <c r="J68" s="240"/>
      <c r="K68" s="240"/>
    </row>
    <row r="69" spans="3:11" ht="19.5" x14ac:dyDescent="0.3">
      <c r="C69" s="219"/>
      <c r="D69" s="219"/>
      <c r="E69" s="219"/>
      <c r="F69" s="219"/>
      <c r="G69" s="219"/>
      <c r="H69" s="219"/>
      <c r="I69" s="219"/>
      <c r="J69" s="240"/>
      <c r="K69" s="240"/>
    </row>
  </sheetData>
  <hyperlinks>
    <hyperlink ref="C2" location="Regnskaber!A1" display="Regnskaber!A1" xr:uid="{00000000-0004-0000-1100-000000000000}"/>
  </hyperlinks>
  <pageMargins left="0.75" right="0.75" top="1" bottom="1" header="0.5" footer="0.5"/>
  <pageSetup paperSize="9"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C3:S67"/>
  <sheetViews>
    <sheetView workbookViewId="0">
      <selection activeCell="F3" sqref="F3"/>
    </sheetView>
  </sheetViews>
  <sheetFormatPr defaultColWidth="10.875" defaultRowHeight="15.75" x14ac:dyDescent="0.25"/>
  <cols>
    <col min="1" max="2" width="10.875" style="1"/>
    <col min="3" max="3" width="3.625" style="1" customWidth="1"/>
    <col min="4" max="4" width="12.875" style="1" customWidth="1"/>
    <col min="5" max="16384" width="10.875" style="1"/>
  </cols>
  <sheetData>
    <row r="3" spans="3:19" x14ac:dyDescent="0.25">
      <c r="C3" s="278" t="s">
        <v>701</v>
      </c>
      <c r="F3" s="204" t="s">
        <v>1220</v>
      </c>
    </row>
    <row r="5" spans="3:19" x14ac:dyDescent="0.25">
      <c r="C5" s="304" t="s">
        <v>699</v>
      </c>
      <c r="E5" s="1" t="s">
        <v>700</v>
      </c>
    </row>
    <row r="7" spans="3:19" x14ac:dyDescent="0.25">
      <c r="C7" s="303" t="s">
        <v>664</v>
      </c>
      <c r="D7" s="303"/>
      <c r="E7" s="303"/>
      <c r="F7" s="303"/>
      <c r="G7" s="303"/>
      <c r="H7" s="303"/>
      <c r="I7" s="303"/>
      <c r="J7" s="303"/>
      <c r="K7" s="303"/>
      <c r="L7" s="303"/>
      <c r="M7" s="303"/>
      <c r="N7" s="303"/>
      <c r="O7" s="303"/>
      <c r="P7" s="303"/>
      <c r="Q7" s="303"/>
      <c r="R7" s="303"/>
      <c r="S7" s="303"/>
    </row>
    <row r="8" spans="3:19" x14ac:dyDescent="0.25">
      <c r="C8" s="303" t="s">
        <v>665</v>
      </c>
      <c r="D8" s="303"/>
      <c r="E8" s="303"/>
      <c r="F8" s="303"/>
      <c r="G8" s="303"/>
      <c r="H8" s="303"/>
      <c r="I8" s="303"/>
      <c r="J8" s="303"/>
      <c r="K8" s="303"/>
      <c r="L8" s="303"/>
      <c r="M8" s="303"/>
      <c r="N8" s="303"/>
      <c r="O8" s="303"/>
      <c r="P8" s="303"/>
      <c r="Q8" s="303"/>
      <c r="R8" s="303"/>
      <c r="S8" s="303"/>
    </row>
    <row r="9" spans="3:19" x14ac:dyDescent="0.25">
      <c r="C9" s="303" t="s">
        <v>666</v>
      </c>
      <c r="D9" s="303"/>
      <c r="E9" s="303"/>
      <c r="F9" s="303"/>
      <c r="G9" s="303"/>
      <c r="H9" s="303"/>
      <c r="I9" s="303"/>
      <c r="J9" s="303"/>
      <c r="K9" s="303"/>
      <c r="L9" s="303"/>
      <c r="M9" s="303"/>
      <c r="N9" s="303"/>
      <c r="O9" s="303"/>
      <c r="P9" s="303"/>
      <c r="Q9" s="303"/>
      <c r="R9" s="303"/>
      <c r="S9" s="303"/>
    </row>
    <row r="10" spans="3:19" x14ac:dyDescent="0.25">
      <c r="C10" s="303"/>
      <c r="D10" s="303"/>
      <c r="E10" s="303"/>
      <c r="F10" s="303"/>
      <c r="G10" s="303"/>
      <c r="H10" s="303"/>
      <c r="I10" s="303"/>
      <c r="J10" s="303"/>
      <c r="K10" s="303"/>
      <c r="L10" s="303"/>
      <c r="M10" s="303"/>
      <c r="N10" s="303"/>
      <c r="O10" s="303"/>
      <c r="P10" s="303"/>
      <c r="Q10" s="303"/>
      <c r="R10" s="303"/>
      <c r="S10" s="303"/>
    </row>
    <row r="11" spans="3:19" x14ac:dyDescent="0.25">
      <c r="C11" s="303" t="s">
        <v>667</v>
      </c>
      <c r="D11" s="303"/>
      <c r="E11" s="303"/>
      <c r="F11" s="303"/>
      <c r="G11" s="303"/>
      <c r="H11" s="303"/>
      <c r="I11" s="303"/>
      <c r="J11" s="303"/>
      <c r="K11" s="303"/>
      <c r="L11" s="303"/>
      <c r="M11" s="303"/>
      <c r="N11" s="303"/>
      <c r="O11" s="303"/>
      <c r="P11" s="303"/>
      <c r="Q11" s="303"/>
      <c r="R11" s="303"/>
      <c r="S11" s="303"/>
    </row>
    <row r="12" spans="3:19" x14ac:dyDescent="0.25">
      <c r="C12" s="303" t="s">
        <v>668</v>
      </c>
      <c r="D12" s="303"/>
      <c r="E12" s="303"/>
      <c r="F12" s="303"/>
      <c r="G12" s="303"/>
      <c r="H12" s="303"/>
      <c r="I12" s="303"/>
      <c r="J12" s="303"/>
      <c r="K12" s="303"/>
      <c r="L12" s="303"/>
      <c r="M12" s="303"/>
      <c r="N12" s="303"/>
      <c r="O12" s="303"/>
      <c r="P12" s="303"/>
      <c r="Q12" s="303"/>
      <c r="R12" s="303"/>
      <c r="S12" s="303"/>
    </row>
    <row r="13" spans="3:19" x14ac:dyDescent="0.25">
      <c r="C13" s="303" t="s">
        <v>669</v>
      </c>
      <c r="D13" s="303"/>
      <c r="E13" s="303"/>
      <c r="F13" s="303"/>
      <c r="G13" s="303"/>
      <c r="H13" s="303"/>
      <c r="I13" s="303"/>
      <c r="J13" s="303"/>
      <c r="K13" s="303"/>
      <c r="L13" s="303"/>
      <c r="M13" s="303"/>
      <c r="N13" s="303"/>
      <c r="O13" s="303"/>
      <c r="P13" s="303"/>
      <c r="Q13" s="303"/>
      <c r="R13" s="303"/>
      <c r="S13" s="303"/>
    </row>
    <row r="14" spans="3:19" x14ac:dyDescent="0.25">
      <c r="C14" s="303" t="s">
        <v>670</v>
      </c>
      <c r="D14" s="303"/>
      <c r="E14" s="303"/>
      <c r="F14" s="303"/>
      <c r="G14" s="303"/>
      <c r="H14" s="303"/>
      <c r="I14" s="303"/>
      <c r="J14" s="303"/>
      <c r="K14" s="303"/>
      <c r="L14" s="303"/>
      <c r="M14" s="303"/>
      <c r="N14" s="303"/>
      <c r="O14" s="303"/>
      <c r="P14" s="303"/>
      <c r="Q14" s="303"/>
      <c r="R14" s="303"/>
      <c r="S14" s="303"/>
    </row>
    <row r="15" spans="3:19" x14ac:dyDescent="0.25">
      <c r="C15" s="303"/>
      <c r="D15" s="303"/>
      <c r="E15" s="303"/>
      <c r="F15" s="303"/>
      <c r="G15" s="303"/>
      <c r="H15" s="303"/>
      <c r="I15" s="303"/>
      <c r="J15" s="303"/>
      <c r="K15" s="303"/>
      <c r="L15" s="303"/>
      <c r="M15" s="303"/>
      <c r="N15" s="303"/>
      <c r="O15" s="303"/>
      <c r="P15" s="303"/>
      <c r="Q15" s="303"/>
      <c r="R15" s="303"/>
      <c r="S15" s="303"/>
    </row>
    <row r="16" spans="3:19" x14ac:dyDescent="0.25">
      <c r="C16" s="303" t="s">
        <v>671</v>
      </c>
      <c r="D16" s="303"/>
      <c r="E16" s="303"/>
      <c r="F16" s="303"/>
      <c r="G16" s="303"/>
      <c r="H16" s="303"/>
      <c r="I16" s="303"/>
      <c r="J16" s="303"/>
      <c r="K16" s="303"/>
      <c r="L16" s="303"/>
      <c r="M16" s="303"/>
      <c r="N16" s="303"/>
      <c r="O16" s="303"/>
      <c r="P16" s="303"/>
      <c r="Q16" s="303"/>
      <c r="R16" s="303"/>
      <c r="S16" s="303"/>
    </row>
    <row r="17" spans="3:19" x14ac:dyDescent="0.25">
      <c r="C17" s="303"/>
      <c r="D17" s="303"/>
      <c r="E17" s="303"/>
      <c r="F17" s="303"/>
      <c r="G17" s="303"/>
      <c r="H17" s="303"/>
      <c r="I17" s="303"/>
      <c r="J17" s="303"/>
      <c r="K17" s="303"/>
      <c r="L17" s="303"/>
      <c r="M17" s="303"/>
      <c r="N17" s="303"/>
      <c r="O17" s="303"/>
      <c r="P17" s="303"/>
      <c r="Q17" s="303"/>
      <c r="R17" s="303"/>
      <c r="S17" s="303"/>
    </row>
    <row r="18" spans="3:19" x14ac:dyDescent="0.25">
      <c r="C18" s="303" t="s">
        <v>672</v>
      </c>
      <c r="D18" s="303" t="s">
        <v>673</v>
      </c>
      <c r="E18" s="303" t="s">
        <v>674</v>
      </c>
      <c r="F18" s="303"/>
      <c r="G18" s="303"/>
      <c r="H18" s="303"/>
      <c r="I18" s="303"/>
      <c r="J18" s="303"/>
      <c r="K18" s="307" t="s">
        <v>675</v>
      </c>
      <c r="L18" s="303"/>
      <c r="M18" s="303"/>
      <c r="N18" s="303"/>
      <c r="O18" s="303"/>
      <c r="P18" s="303"/>
      <c r="Q18" s="303"/>
      <c r="R18" s="303"/>
      <c r="S18" s="303"/>
    </row>
    <row r="19" spans="3:19" x14ac:dyDescent="0.25">
      <c r="C19" s="303"/>
      <c r="D19" s="303" t="s">
        <v>676</v>
      </c>
      <c r="E19" s="303" t="s">
        <v>677</v>
      </c>
      <c r="F19" s="303"/>
      <c r="G19" s="303"/>
      <c r="H19" s="303"/>
      <c r="I19" s="303"/>
      <c r="J19" s="303"/>
      <c r="K19" s="307" t="s">
        <v>678</v>
      </c>
      <c r="L19" s="303"/>
      <c r="M19" s="303"/>
      <c r="N19" s="303"/>
      <c r="O19" s="303"/>
      <c r="P19" s="303"/>
      <c r="Q19" s="303"/>
      <c r="R19" s="303"/>
      <c r="S19" s="303"/>
    </row>
    <row r="20" spans="3:19" x14ac:dyDescent="0.25">
      <c r="C20" s="303"/>
      <c r="D20" s="303" t="s">
        <v>679</v>
      </c>
      <c r="E20" s="303" t="s">
        <v>680</v>
      </c>
      <c r="F20" s="303"/>
      <c r="G20" s="303"/>
      <c r="H20" s="303"/>
      <c r="I20" s="303"/>
      <c r="J20" s="303"/>
      <c r="K20" s="303"/>
      <c r="L20" s="303"/>
      <c r="M20" s="307" t="s">
        <v>678</v>
      </c>
      <c r="N20" s="303"/>
      <c r="P20" s="303"/>
      <c r="Q20" s="303"/>
      <c r="R20" s="303"/>
      <c r="S20" s="303"/>
    </row>
    <row r="21" spans="3:19" x14ac:dyDescent="0.25">
      <c r="C21" s="303"/>
      <c r="D21" s="303" t="s">
        <v>681</v>
      </c>
      <c r="E21" s="303" t="s">
        <v>682</v>
      </c>
      <c r="F21" s="303"/>
      <c r="G21" s="303"/>
      <c r="H21" s="303"/>
      <c r="I21" s="303"/>
      <c r="J21" s="303"/>
      <c r="K21" s="303"/>
      <c r="L21" s="303"/>
      <c r="M21" s="304" t="s">
        <v>683</v>
      </c>
      <c r="N21" s="303"/>
      <c r="P21" s="303"/>
      <c r="Q21" s="303"/>
      <c r="R21" s="303"/>
      <c r="S21" s="303"/>
    </row>
    <row r="22" spans="3:19" x14ac:dyDescent="0.25">
      <c r="C22" s="303"/>
      <c r="D22" s="303"/>
      <c r="E22" s="303"/>
      <c r="F22" s="303"/>
      <c r="G22" s="303"/>
      <c r="H22" s="303"/>
      <c r="I22" s="303"/>
      <c r="J22" s="303"/>
      <c r="K22" s="303"/>
      <c r="L22" s="303"/>
      <c r="M22" s="303"/>
      <c r="N22" s="303"/>
      <c r="O22" s="303"/>
      <c r="P22" s="303"/>
      <c r="Q22" s="303"/>
      <c r="R22" s="303"/>
      <c r="S22" s="303"/>
    </row>
    <row r="23" spans="3:19" x14ac:dyDescent="0.25">
      <c r="C23" s="303" t="s">
        <v>684</v>
      </c>
      <c r="D23" s="303" t="s">
        <v>685</v>
      </c>
      <c r="E23" s="303"/>
      <c r="F23" s="303"/>
      <c r="G23" s="303"/>
      <c r="H23" s="303"/>
      <c r="I23" s="303"/>
      <c r="J23" s="303"/>
      <c r="K23" s="303"/>
      <c r="L23" s="303"/>
      <c r="M23" s="303"/>
      <c r="N23" s="303"/>
      <c r="O23" s="303"/>
      <c r="P23" s="303"/>
      <c r="Q23" s="303"/>
      <c r="R23" s="303"/>
      <c r="S23" s="303"/>
    </row>
    <row r="24" spans="3:19" x14ac:dyDescent="0.25">
      <c r="C24" s="303"/>
      <c r="D24" s="303" t="s">
        <v>686</v>
      </c>
      <c r="E24" s="303"/>
      <c r="F24" s="303"/>
      <c r="G24" s="303"/>
      <c r="H24" s="303"/>
      <c r="I24" s="303"/>
      <c r="J24" s="303"/>
      <c r="K24" s="303"/>
      <c r="L24" s="303"/>
      <c r="M24" s="303"/>
      <c r="N24" s="303"/>
      <c r="O24" s="303"/>
      <c r="P24" s="303"/>
      <c r="Q24" s="303"/>
      <c r="R24" s="303"/>
      <c r="S24" s="303"/>
    </row>
    <row r="25" spans="3:19" x14ac:dyDescent="0.25">
      <c r="C25" s="303"/>
      <c r="D25" s="303" t="s">
        <v>687</v>
      </c>
      <c r="E25" s="303" t="s">
        <v>688</v>
      </c>
      <c r="F25" s="303"/>
      <c r="G25" s="303"/>
      <c r="H25" s="303"/>
      <c r="I25" s="303"/>
      <c r="J25" s="303"/>
      <c r="K25" s="303"/>
      <c r="L25" s="303"/>
      <c r="M25" s="303"/>
      <c r="N25" s="303"/>
      <c r="O25" s="303"/>
      <c r="P25" s="303"/>
      <c r="Q25" s="303"/>
      <c r="R25" s="303"/>
      <c r="S25" s="303"/>
    </row>
    <row r="26" spans="3:19" x14ac:dyDescent="0.25">
      <c r="C26" s="303"/>
      <c r="D26" s="303" t="s">
        <v>689</v>
      </c>
      <c r="E26" s="303" t="s">
        <v>690</v>
      </c>
      <c r="F26" s="303"/>
      <c r="G26" s="303"/>
      <c r="H26" s="303"/>
      <c r="I26" s="303"/>
      <c r="J26" s="303"/>
      <c r="K26" s="303"/>
      <c r="L26" s="303"/>
      <c r="M26" s="303"/>
      <c r="N26" s="303"/>
      <c r="O26" s="303"/>
      <c r="P26" s="303"/>
      <c r="Q26" s="303"/>
      <c r="R26" s="303"/>
      <c r="S26" s="303"/>
    </row>
    <row r="27" spans="3:19" x14ac:dyDescent="0.25">
      <c r="C27" s="303"/>
      <c r="D27" s="303" t="s">
        <v>691</v>
      </c>
      <c r="E27" s="303" t="s">
        <v>692</v>
      </c>
      <c r="F27" s="303"/>
      <c r="G27" s="303"/>
      <c r="H27" s="303"/>
      <c r="I27" s="303"/>
      <c r="J27" s="303"/>
      <c r="K27" s="303"/>
      <c r="L27" s="303"/>
      <c r="M27" s="303"/>
      <c r="N27" s="303"/>
      <c r="O27" s="303"/>
      <c r="P27" s="303"/>
      <c r="Q27" s="303"/>
      <c r="R27" s="303"/>
      <c r="S27" s="303"/>
    </row>
    <row r="28" spans="3:19" x14ac:dyDescent="0.25">
      <c r="C28" s="303"/>
      <c r="D28" s="303" t="s">
        <v>693</v>
      </c>
      <c r="E28" s="303" t="s">
        <v>694</v>
      </c>
      <c r="F28" s="303"/>
      <c r="G28" s="303"/>
      <c r="H28" s="303"/>
      <c r="I28" s="303"/>
      <c r="J28" s="303"/>
      <c r="K28" s="303"/>
      <c r="L28" s="303"/>
      <c r="M28" s="303"/>
      <c r="N28" s="303"/>
      <c r="O28" s="303"/>
      <c r="P28" s="303"/>
      <c r="Q28" s="303"/>
      <c r="R28" s="303"/>
      <c r="S28" s="303"/>
    </row>
    <row r="29" spans="3:19" x14ac:dyDescent="0.25">
      <c r="C29" s="303"/>
      <c r="D29" s="303"/>
      <c r="E29" s="303"/>
      <c r="F29" s="303"/>
      <c r="G29" s="303"/>
      <c r="H29" s="303"/>
      <c r="I29" s="303"/>
      <c r="J29" s="303"/>
      <c r="K29" s="303"/>
      <c r="L29" s="303"/>
      <c r="M29" s="303"/>
      <c r="N29" s="303"/>
      <c r="O29" s="303"/>
      <c r="P29" s="303"/>
      <c r="Q29" s="303"/>
      <c r="R29" s="303"/>
      <c r="S29" s="303"/>
    </row>
    <row r="30" spans="3:19" x14ac:dyDescent="0.25">
      <c r="C30" s="303" t="s">
        <v>695</v>
      </c>
      <c r="D30" s="303" t="s">
        <v>696</v>
      </c>
      <c r="E30" s="303"/>
      <c r="F30" s="303"/>
      <c r="G30" s="303"/>
      <c r="H30" s="303"/>
      <c r="I30" s="303"/>
      <c r="J30" s="303"/>
      <c r="K30" s="303"/>
      <c r="L30" s="303"/>
      <c r="M30" s="303"/>
      <c r="N30" s="303"/>
      <c r="O30" s="303"/>
      <c r="P30" s="303"/>
      <c r="Q30" s="303"/>
      <c r="R30" s="303"/>
      <c r="S30" s="303"/>
    </row>
    <row r="31" spans="3:19" x14ac:dyDescent="0.25">
      <c r="C31" s="303"/>
      <c r="D31" s="303" t="s">
        <v>697</v>
      </c>
      <c r="E31" s="303"/>
      <c r="F31" s="303"/>
      <c r="G31" s="303"/>
      <c r="H31" s="303"/>
      <c r="I31" s="303"/>
      <c r="J31" s="303"/>
      <c r="K31" s="303"/>
      <c r="L31" s="303"/>
      <c r="M31" s="303"/>
      <c r="N31" s="303"/>
      <c r="O31" s="303"/>
      <c r="P31" s="303"/>
      <c r="Q31" s="303"/>
      <c r="R31" s="303"/>
      <c r="S31" s="303"/>
    </row>
    <row r="32" spans="3:19" x14ac:dyDescent="0.25">
      <c r="C32" s="303"/>
      <c r="D32" s="303" t="s">
        <v>698</v>
      </c>
      <c r="E32" s="303"/>
      <c r="F32" s="303"/>
      <c r="G32" s="303"/>
      <c r="H32" s="303"/>
      <c r="I32" s="303"/>
      <c r="J32" s="303"/>
      <c r="K32" s="303"/>
      <c r="L32" s="303"/>
      <c r="M32" s="303"/>
      <c r="N32" s="303"/>
      <c r="O32" s="303"/>
      <c r="P32" s="303"/>
      <c r="Q32" s="303"/>
      <c r="R32" s="303"/>
      <c r="S32" s="303"/>
    </row>
    <row r="33" spans="3:19" x14ac:dyDescent="0.25">
      <c r="C33" s="303"/>
      <c r="D33" s="303"/>
      <c r="E33" s="303"/>
      <c r="F33" s="303"/>
      <c r="G33" s="303"/>
      <c r="H33" s="303"/>
      <c r="I33" s="303"/>
      <c r="J33" s="303"/>
      <c r="K33" s="303"/>
      <c r="L33" s="303"/>
      <c r="M33" s="303"/>
      <c r="N33" s="303"/>
      <c r="O33" s="303"/>
      <c r="P33" s="303"/>
      <c r="Q33" s="303"/>
      <c r="R33" s="303"/>
      <c r="S33" s="303"/>
    </row>
    <row r="34" spans="3:19" s="12" customFormat="1" x14ac:dyDescent="0.25">
      <c r="C34" s="309"/>
      <c r="D34" s="309"/>
      <c r="E34" s="309"/>
      <c r="F34" s="309"/>
      <c r="G34" s="309"/>
      <c r="H34" s="309"/>
      <c r="I34" s="309"/>
      <c r="J34" s="309"/>
      <c r="K34" s="309"/>
      <c r="L34" s="309"/>
      <c r="M34" s="309"/>
      <c r="N34" s="309"/>
      <c r="O34" s="309"/>
      <c r="P34" s="309"/>
      <c r="Q34" s="309"/>
      <c r="R34" s="309"/>
      <c r="S34" s="309"/>
    </row>
    <row r="36" spans="3:19" x14ac:dyDescent="0.25">
      <c r="D36" s="278" t="s">
        <v>729</v>
      </c>
    </row>
    <row r="38" spans="3:19" x14ac:dyDescent="0.25">
      <c r="D38" s="304" t="s">
        <v>728</v>
      </c>
    </row>
    <row r="39" spans="3:19" x14ac:dyDescent="0.25">
      <c r="D39" s="310" t="s">
        <v>703</v>
      </c>
      <c r="E39" s="310"/>
      <c r="F39" s="310"/>
      <c r="G39" s="310"/>
      <c r="H39" s="310"/>
      <c r="I39" s="310"/>
      <c r="J39" s="310"/>
      <c r="K39" s="310"/>
      <c r="L39" s="310"/>
      <c r="M39" s="310"/>
      <c r="N39" s="310"/>
      <c r="O39" s="310"/>
      <c r="P39" s="310"/>
      <c r="Q39" s="310"/>
    </row>
    <row r="40" spans="3:19" x14ac:dyDescent="0.25">
      <c r="D40" s="310" t="s">
        <v>704</v>
      </c>
      <c r="E40" s="310"/>
      <c r="F40" s="310"/>
      <c r="G40" s="310"/>
      <c r="H40" s="310"/>
      <c r="I40" s="310"/>
      <c r="J40" s="310"/>
      <c r="K40" s="310"/>
      <c r="L40" s="310"/>
      <c r="M40" s="310"/>
      <c r="N40" s="310"/>
      <c r="O40" s="310"/>
      <c r="P40" s="310"/>
      <c r="Q40" s="310"/>
    </row>
    <row r="41" spans="3:19" x14ac:dyDescent="0.25">
      <c r="D41" s="310"/>
      <c r="E41" s="310"/>
      <c r="F41" s="310"/>
      <c r="G41" s="310"/>
      <c r="H41" s="310"/>
      <c r="I41" s="310"/>
      <c r="J41" s="310"/>
      <c r="K41" s="310"/>
      <c r="L41" s="310"/>
      <c r="M41" s="310"/>
      <c r="N41" s="310"/>
      <c r="O41" s="310"/>
      <c r="P41" s="310"/>
      <c r="Q41" s="310"/>
    </row>
    <row r="42" spans="3:19" x14ac:dyDescent="0.25">
      <c r="D42" s="311" t="s">
        <v>705</v>
      </c>
      <c r="E42" s="312">
        <v>1</v>
      </c>
      <c r="F42" s="312">
        <v>2</v>
      </c>
      <c r="G42" s="313">
        <v>3</v>
      </c>
      <c r="H42" s="314" t="s">
        <v>706</v>
      </c>
      <c r="I42" s="310"/>
      <c r="J42" s="310"/>
      <c r="K42" s="310"/>
      <c r="L42" s="310"/>
      <c r="M42" s="310"/>
      <c r="N42" s="310"/>
      <c r="O42" s="310"/>
      <c r="P42" s="310"/>
      <c r="Q42" s="310"/>
    </row>
    <row r="43" spans="3:19" x14ac:dyDescent="0.25">
      <c r="D43" s="315" t="s">
        <v>707</v>
      </c>
      <c r="E43" s="310">
        <v>200</v>
      </c>
      <c r="F43" s="310">
        <v>200</v>
      </c>
      <c r="G43" s="316">
        <v>100</v>
      </c>
      <c r="H43" s="310">
        <v>500</v>
      </c>
      <c r="I43" s="310"/>
      <c r="J43" s="310"/>
      <c r="K43" s="310"/>
      <c r="L43" s="310"/>
      <c r="M43" s="310"/>
      <c r="N43" s="310"/>
      <c r="O43" s="310"/>
      <c r="P43" s="310"/>
      <c r="Q43" s="310"/>
    </row>
    <row r="44" spans="3:19" x14ac:dyDescent="0.25">
      <c r="D44" s="315" t="s">
        <v>708</v>
      </c>
      <c r="E44" s="275">
        <v>8000</v>
      </c>
      <c r="F44" s="275">
        <v>8000</v>
      </c>
      <c r="G44" s="317">
        <v>4000</v>
      </c>
      <c r="H44" s="275">
        <v>20000</v>
      </c>
      <c r="I44" s="310"/>
      <c r="J44" s="310"/>
      <c r="K44" s="310"/>
      <c r="L44" s="310"/>
      <c r="M44" s="310"/>
      <c r="N44" s="310"/>
      <c r="O44" s="310"/>
      <c r="P44" s="310"/>
      <c r="Q44" s="310"/>
    </row>
    <row r="45" spans="3:19" x14ac:dyDescent="0.25">
      <c r="D45" s="315" t="s">
        <v>709</v>
      </c>
      <c r="E45" s="275">
        <v>150</v>
      </c>
      <c r="F45" s="275">
        <v>200</v>
      </c>
      <c r="G45" s="317">
        <v>150</v>
      </c>
      <c r="H45" s="318">
        <v>500</v>
      </c>
      <c r="I45" s="310"/>
      <c r="J45" s="310"/>
      <c r="K45" s="310"/>
      <c r="L45" s="310"/>
      <c r="M45" s="310"/>
      <c r="N45" s="310"/>
      <c r="O45" s="310"/>
      <c r="P45" s="310"/>
      <c r="Q45" s="310"/>
    </row>
    <row r="46" spans="3:19" x14ac:dyDescent="0.25">
      <c r="D46" s="315" t="s">
        <v>710</v>
      </c>
      <c r="E46" s="275">
        <v>15000</v>
      </c>
      <c r="F46" s="275">
        <v>15000</v>
      </c>
      <c r="G46" s="317">
        <v>20000</v>
      </c>
      <c r="H46" s="275">
        <v>50000</v>
      </c>
      <c r="I46" s="310"/>
      <c r="J46" s="310"/>
      <c r="K46" s="310"/>
      <c r="L46" s="310"/>
      <c r="M46" s="310"/>
      <c r="N46" s="310"/>
      <c r="O46" s="310"/>
      <c r="P46" s="310"/>
      <c r="Q46" s="310"/>
    </row>
    <row r="47" spans="3:19" x14ac:dyDescent="0.25">
      <c r="D47" s="310"/>
      <c r="E47" s="310"/>
      <c r="F47" s="310"/>
      <c r="G47" s="310"/>
      <c r="H47" s="310"/>
      <c r="I47" s="310"/>
      <c r="J47" s="310"/>
      <c r="K47" s="310"/>
      <c r="L47" s="310"/>
      <c r="M47" s="310"/>
      <c r="N47" s="310"/>
      <c r="O47" s="310"/>
      <c r="P47" s="310"/>
      <c r="Q47" s="310"/>
    </row>
    <row r="48" spans="3:19" x14ac:dyDescent="0.25">
      <c r="D48" s="310" t="s">
        <v>711</v>
      </c>
      <c r="E48" s="310"/>
      <c r="F48" s="310"/>
      <c r="G48" s="310"/>
      <c r="H48" s="310"/>
      <c r="I48" s="310"/>
      <c r="J48" s="310"/>
      <c r="K48" s="310"/>
      <c r="L48" s="310"/>
      <c r="M48" s="310"/>
      <c r="N48" s="310"/>
      <c r="O48" s="310"/>
      <c r="P48" s="310"/>
      <c r="Q48" s="310"/>
    </row>
    <row r="49" spans="4:17" x14ac:dyDescent="0.25">
      <c r="D49" s="310" t="s">
        <v>712</v>
      </c>
      <c r="E49" s="310"/>
      <c r="F49" s="310"/>
      <c r="G49" s="310"/>
      <c r="H49" s="310"/>
      <c r="I49" s="310"/>
      <c r="J49" s="310"/>
      <c r="K49" s="310"/>
      <c r="L49" s="310"/>
      <c r="M49" s="310"/>
      <c r="N49" s="310"/>
      <c r="O49" s="310"/>
      <c r="P49" s="310"/>
      <c r="Q49" s="310"/>
    </row>
    <row r="50" spans="4:17" x14ac:dyDescent="0.25">
      <c r="D50" s="310" t="s">
        <v>713</v>
      </c>
      <c r="E50" s="310"/>
      <c r="F50" s="310"/>
      <c r="G50" s="310"/>
      <c r="H50" s="310"/>
      <c r="I50" s="310"/>
      <c r="J50" s="310"/>
      <c r="K50" s="310"/>
      <c r="L50" s="310"/>
      <c r="M50" s="310"/>
      <c r="N50" s="310"/>
      <c r="O50" s="310"/>
      <c r="P50" s="310"/>
      <c r="Q50" s="310"/>
    </row>
    <row r="51" spans="4:17" x14ac:dyDescent="0.25">
      <c r="D51" s="310" t="s">
        <v>714</v>
      </c>
      <c r="E51" s="310"/>
      <c r="F51" s="310"/>
      <c r="G51" s="310"/>
      <c r="H51" s="310"/>
      <c r="I51" s="310"/>
      <c r="J51" s="310"/>
      <c r="K51" s="310"/>
      <c r="L51" s="310"/>
      <c r="M51" s="310"/>
      <c r="N51" s="310"/>
      <c r="O51" s="310"/>
      <c r="P51" s="310"/>
      <c r="Q51" s="310"/>
    </row>
    <row r="52" spans="4:17" x14ac:dyDescent="0.25">
      <c r="D52" s="310"/>
      <c r="E52" s="310"/>
      <c r="F52" s="310"/>
      <c r="G52" s="310"/>
      <c r="H52" s="310"/>
      <c r="I52" s="310"/>
      <c r="J52" s="310"/>
      <c r="K52" s="310"/>
      <c r="L52" s="310"/>
      <c r="M52" s="310"/>
      <c r="N52" s="310"/>
      <c r="O52" s="310"/>
      <c r="P52" s="310"/>
      <c r="Q52" s="310"/>
    </row>
    <row r="53" spans="4:17" x14ac:dyDescent="0.25">
      <c r="D53" s="310"/>
      <c r="E53" s="310" t="s">
        <v>715</v>
      </c>
      <c r="F53" s="310" t="s">
        <v>716</v>
      </c>
      <c r="G53" s="310" t="s">
        <v>717</v>
      </c>
      <c r="H53" s="315" t="s">
        <v>603</v>
      </c>
      <c r="I53" s="310"/>
      <c r="J53" s="310"/>
      <c r="K53" s="310"/>
      <c r="L53" s="310"/>
      <c r="M53" s="310"/>
      <c r="N53" s="310"/>
      <c r="O53" s="310"/>
      <c r="P53" s="310"/>
      <c r="Q53" s="310"/>
    </row>
    <row r="54" spans="4:17" x14ac:dyDescent="0.25">
      <c r="D54" s="315" t="s">
        <v>718</v>
      </c>
      <c r="E54" s="319">
        <v>20000</v>
      </c>
      <c r="F54" s="319">
        <v>20000</v>
      </c>
      <c r="G54" s="319">
        <v>10000</v>
      </c>
      <c r="H54" s="320">
        <v>50000</v>
      </c>
      <c r="I54" s="310"/>
      <c r="J54" s="310"/>
      <c r="K54" s="310"/>
      <c r="L54" s="310"/>
      <c r="M54" s="310"/>
      <c r="N54" s="310"/>
      <c r="O54" s="310"/>
      <c r="P54" s="310"/>
      <c r="Q54" s="310"/>
    </row>
    <row r="55" spans="4:17" x14ac:dyDescent="0.25">
      <c r="D55" s="315" t="s">
        <v>719</v>
      </c>
      <c r="E55" s="318">
        <v>15000</v>
      </c>
      <c r="F55" s="318">
        <v>20000</v>
      </c>
      <c r="G55" s="318">
        <v>15000</v>
      </c>
      <c r="H55" s="321">
        <v>50000</v>
      </c>
      <c r="I55" s="310"/>
      <c r="J55" s="310"/>
      <c r="K55" s="310"/>
      <c r="L55" s="310"/>
      <c r="M55" s="310"/>
      <c r="N55" s="310"/>
      <c r="O55" s="310"/>
      <c r="P55" s="310"/>
      <c r="Q55" s="310"/>
    </row>
    <row r="56" spans="4:17" x14ac:dyDescent="0.25">
      <c r="D56" s="310"/>
      <c r="E56" s="310"/>
      <c r="F56" s="310"/>
      <c r="G56" s="310"/>
      <c r="H56" s="310"/>
      <c r="I56" s="310"/>
      <c r="J56" s="310"/>
      <c r="K56" s="310"/>
      <c r="L56" s="310"/>
      <c r="M56" s="310"/>
      <c r="N56" s="310"/>
      <c r="O56" s="310"/>
      <c r="P56" s="310"/>
      <c r="Q56" s="310"/>
    </row>
    <row r="57" spans="4:17" x14ac:dyDescent="0.25">
      <c r="D57" s="964" t="s">
        <v>720</v>
      </c>
      <c r="E57" s="964"/>
      <c r="F57" s="964"/>
      <c r="G57" s="964"/>
      <c r="H57" s="964"/>
      <c r="I57" s="310"/>
      <c r="J57" s="310"/>
      <c r="K57" s="310"/>
      <c r="L57" s="310"/>
      <c r="M57" s="310"/>
      <c r="N57" s="310"/>
      <c r="O57" s="310"/>
      <c r="P57" s="310"/>
      <c r="Q57" s="310"/>
    </row>
    <row r="58" spans="4:17" x14ac:dyDescent="0.25">
      <c r="D58" s="311" t="s">
        <v>721</v>
      </c>
      <c r="E58" s="322" t="s">
        <v>715</v>
      </c>
      <c r="F58" s="322" t="s">
        <v>716</v>
      </c>
      <c r="G58" s="322" t="s">
        <v>717</v>
      </c>
      <c r="H58" s="311" t="s">
        <v>706</v>
      </c>
      <c r="I58" s="310"/>
      <c r="J58" s="310"/>
      <c r="K58" s="310"/>
      <c r="L58" s="310"/>
      <c r="M58" s="310"/>
      <c r="N58" s="310"/>
      <c r="O58" s="310"/>
      <c r="P58" s="310"/>
      <c r="Q58" s="310"/>
    </row>
    <row r="59" spans="4:17" x14ac:dyDescent="0.25">
      <c r="D59" s="310" t="s">
        <v>722</v>
      </c>
      <c r="E59" s="310">
        <v>20000</v>
      </c>
      <c r="F59" s="310">
        <v>20000</v>
      </c>
      <c r="G59" s="310">
        <v>10000</v>
      </c>
      <c r="H59" s="315">
        <v>50000</v>
      </c>
      <c r="I59" s="310"/>
      <c r="J59" s="310"/>
      <c r="K59" s="310"/>
      <c r="L59" s="310"/>
      <c r="M59" s="310"/>
      <c r="N59" s="310"/>
      <c r="O59" s="310"/>
      <c r="P59" s="310"/>
      <c r="Q59" s="310"/>
    </row>
    <row r="60" spans="4:17" x14ac:dyDescent="0.25">
      <c r="D60" s="322" t="s">
        <v>723</v>
      </c>
      <c r="E60" s="322">
        <v>-8000</v>
      </c>
      <c r="F60" s="322">
        <v>-8000</v>
      </c>
      <c r="G60" s="322">
        <v>-4000</v>
      </c>
      <c r="H60" s="311">
        <v>-20000</v>
      </c>
      <c r="I60" s="323" t="s">
        <v>724</v>
      </c>
      <c r="J60" s="323"/>
      <c r="K60" s="323"/>
      <c r="L60" s="310"/>
      <c r="M60" s="310"/>
      <c r="N60" s="310"/>
      <c r="O60" s="310"/>
      <c r="P60" s="310"/>
      <c r="Q60" s="310"/>
    </row>
    <row r="61" spans="4:17" x14ac:dyDescent="0.25">
      <c r="D61" s="310" t="s">
        <v>725</v>
      </c>
      <c r="E61" s="310">
        <v>12000</v>
      </c>
      <c r="F61" s="310">
        <v>12000</v>
      </c>
      <c r="G61" s="310">
        <v>6000</v>
      </c>
      <c r="H61" s="315">
        <v>30000</v>
      </c>
      <c r="I61" s="310"/>
      <c r="J61" s="310"/>
      <c r="K61" s="310"/>
      <c r="L61" s="310"/>
      <c r="M61" s="310"/>
      <c r="N61" s="310"/>
      <c r="O61" s="310"/>
      <c r="P61" s="310"/>
      <c r="Q61" s="310"/>
    </row>
    <row r="62" spans="4:17" x14ac:dyDescent="0.25">
      <c r="D62" s="310"/>
      <c r="E62" s="310"/>
      <c r="F62" s="310"/>
      <c r="G62" s="310"/>
      <c r="H62" s="315"/>
      <c r="I62" s="310"/>
      <c r="J62" s="310"/>
      <c r="K62" s="310"/>
      <c r="L62" s="310"/>
      <c r="M62" s="310"/>
      <c r="N62" s="310"/>
      <c r="O62" s="310"/>
      <c r="P62" s="310"/>
      <c r="Q62" s="310"/>
    </row>
    <row r="63" spans="4:17" x14ac:dyDescent="0.25">
      <c r="D63" s="310"/>
      <c r="E63" s="310"/>
      <c r="F63" s="310"/>
      <c r="G63" s="310"/>
      <c r="H63" s="315"/>
      <c r="I63" s="310"/>
      <c r="J63" s="310"/>
      <c r="K63" s="310"/>
      <c r="L63" s="310"/>
      <c r="M63" s="310"/>
      <c r="N63" s="310"/>
      <c r="O63" s="310"/>
      <c r="P63" s="310"/>
      <c r="Q63" s="310"/>
    </row>
    <row r="64" spans="4:17" x14ac:dyDescent="0.25">
      <c r="D64" s="311" t="s">
        <v>726</v>
      </c>
      <c r="E64" s="322" t="s">
        <v>715</v>
      </c>
      <c r="F64" s="322" t="s">
        <v>716</v>
      </c>
      <c r="G64" s="322" t="s">
        <v>717</v>
      </c>
      <c r="H64" s="311" t="s">
        <v>706</v>
      </c>
      <c r="I64" s="310"/>
      <c r="J64" s="310"/>
      <c r="K64" s="310"/>
      <c r="L64" s="310"/>
      <c r="M64" s="310"/>
      <c r="N64" s="310"/>
      <c r="O64" s="310"/>
      <c r="P64" s="310"/>
      <c r="Q64" s="310"/>
    </row>
    <row r="65" spans="4:17" x14ac:dyDescent="0.25">
      <c r="D65" s="310" t="s">
        <v>727</v>
      </c>
      <c r="E65" s="310">
        <v>15000</v>
      </c>
      <c r="F65" s="310">
        <v>20000</v>
      </c>
      <c r="G65" s="310">
        <v>15000</v>
      </c>
      <c r="H65" s="315">
        <v>50000</v>
      </c>
      <c r="I65" s="310"/>
      <c r="J65" s="310"/>
      <c r="K65" s="310"/>
      <c r="L65" s="310"/>
      <c r="M65" s="310"/>
      <c r="N65" s="310"/>
      <c r="O65" s="310"/>
      <c r="P65" s="310"/>
      <c r="Q65" s="310"/>
    </row>
    <row r="66" spans="4:17" x14ac:dyDescent="0.25">
      <c r="D66" s="322" t="s">
        <v>723</v>
      </c>
      <c r="E66" s="324">
        <v>-6000</v>
      </c>
      <c r="F66" s="324">
        <v>-8000</v>
      </c>
      <c r="G66" s="324">
        <v>-6000</v>
      </c>
      <c r="H66" s="325">
        <v>-20000</v>
      </c>
      <c r="I66" s="310"/>
      <c r="J66" s="310"/>
      <c r="K66" s="310"/>
      <c r="L66" s="310"/>
      <c r="M66" s="310"/>
      <c r="N66" s="310"/>
      <c r="O66" s="310"/>
      <c r="P66" s="310"/>
      <c r="Q66" s="310"/>
    </row>
    <row r="67" spans="4:17" x14ac:dyDescent="0.25">
      <c r="D67" s="310" t="s">
        <v>725</v>
      </c>
      <c r="E67" s="310">
        <v>9000</v>
      </c>
      <c r="F67" s="310">
        <v>12000</v>
      </c>
      <c r="G67" s="310">
        <v>9000</v>
      </c>
      <c r="H67" s="315">
        <v>30000</v>
      </c>
      <c r="I67" s="310"/>
      <c r="J67" s="310"/>
      <c r="K67" s="310"/>
      <c r="L67" s="310"/>
      <c r="M67" s="310"/>
      <c r="N67" s="310"/>
      <c r="O67" s="310"/>
      <c r="P67" s="310"/>
      <c r="Q67" s="310"/>
    </row>
  </sheetData>
  <mergeCells count="1">
    <mergeCell ref="D57:H57"/>
  </mergeCells>
  <hyperlinks>
    <hyperlink ref="F3" location="Regnskaber!A1" display="Regnskaber!A1" xr:uid="{00000000-0004-0000-1200-000000000000}"/>
  </hyperlinks>
  <pageMargins left="0.75" right="0.75" top="1" bottom="1" header="0.5" footer="0.5"/>
  <pageSetup paperSize="9" orientation="portrait" horizontalDpi="4294967292" verticalDpi="429496729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2:Q48"/>
  <sheetViews>
    <sheetView workbookViewId="0">
      <selection activeCell="E2" sqref="E2"/>
    </sheetView>
  </sheetViews>
  <sheetFormatPr defaultColWidth="10.875" defaultRowHeight="15.75" x14ac:dyDescent="0.25"/>
  <cols>
    <col min="1" max="1" width="10.875" style="1"/>
    <col min="2" max="2" width="23.125" style="1" customWidth="1"/>
    <col min="3" max="16384" width="10.875" style="1"/>
  </cols>
  <sheetData>
    <row r="2" spans="1:17" x14ac:dyDescent="0.25">
      <c r="E2" s="204" t="s">
        <v>1220</v>
      </c>
    </row>
    <row r="5" spans="1:17" x14ac:dyDescent="0.25">
      <c r="B5" s="303" t="s">
        <v>730</v>
      </c>
      <c r="C5" s="303"/>
      <c r="D5" s="303"/>
      <c r="E5" s="303"/>
      <c r="F5" s="303"/>
      <c r="G5" s="303"/>
      <c r="H5" s="303"/>
      <c r="I5" s="303"/>
      <c r="J5" s="303"/>
      <c r="K5" s="303"/>
      <c r="L5" s="303"/>
      <c r="M5" s="303"/>
      <c r="N5" s="303"/>
      <c r="O5" s="303"/>
      <c r="P5" s="303"/>
      <c r="Q5" s="303"/>
    </row>
    <row r="6" spans="1:17" x14ac:dyDescent="0.25">
      <c r="B6" s="304" t="s">
        <v>731</v>
      </c>
      <c r="C6" s="303"/>
      <c r="D6" s="303"/>
      <c r="E6" s="303"/>
      <c r="F6" s="303"/>
      <c r="G6" s="303"/>
      <c r="H6" s="303"/>
      <c r="I6" s="303"/>
      <c r="J6" s="303"/>
      <c r="K6" s="303"/>
      <c r="L6" s="303"/>
      <c r="M6" s="303"/>
      <c r="N6" s="303"/>
      <c r="O6" s="303"/>
      <c r="P6" s="303"/>
      <c r="Q6" s="303"/>
    </row>
    <row r="7" spans="1:17" x14ac:dyDescent="0.25">
      <c r="B7" s="303" t="s">
        <v>732</v>
      </c>
      <c r="C7" s="303"/>
      <c r="D7" s="303"/>
      <c r="E7" s="303"/>
      <c r="F7" s="303"/>
      <c r="G7" s="303"/>
      <c r="H7" s="303"/>
      <c r="I7" s="303"/>
      <c r="J7" s="303"/>
      <c r="K7" s="303"/>
      <c r="L7" s="303"/>
      <c r="M7" s="303"/>
      <c r="N7" s="303"/>
      <c r="O7" s="303"/>
      <c r="P7" s="303"/>
      <c r="Q7" s="303"/>
    </row>
    <row r="8" spans="1:17" x14ac:dyDescent="0.25">
      <c r="B8" s="303"/>
      <c r="C8" s="303"/>
      <c r="D8" s="303"/>
      <c r="E8" s="303"/>
      <c r="F8" s="303"/>
      <c r="G8" s="303"/>
      <c r="H8" s="303"/>
      <c r="I8" s="303"/>
      <c r="J8" s="303"/>
      <c r="K8" s="303"/>
      <c r="L8" s="303"/>
      <c r="M8" s="303"/>
      <c r="N8" s="303"/>
      <c r="O8" s="303"/>
      <c r="P8" s="303"/>
      <c r="Q8" s="303"/>
    </row>
    <row r="9" spans="1:17" x14ac:dyDescent="0.25">
      <c r="B9" s="304">
        <v>2006</v>
      </c>
      <c r="C9" s="304">
        <v>2007</v>
      </c>
      <c r="D9" s="304">
        <v>2008</v>
      </c>
      <c r="E9" s="304">
        <v>2009</v>
      </c>
      <c r="F9" s="303"/>
      <c r="G9" s="303"/>
      <c r="H9" s="303"/>
      <c r="I9" s="303"/>
      <c r="J9" s="303"/>
      <c r="K9" s="303"/>
      <c r="L9" s="303"/>
      <c r="M9" s="303"/>
      <c r="N9" s="303"/>
      <c r="O9" s="303"/>
      <c r="P9" s="303"/>
      <c r="Q9" s="303"/>
    </row>
    <row r="10" spans="1:17" x14ac:dyDescent="0.25">
      <c r="B10" s="326">
        <v>21000</v>
      </c>
      <c r="C10" s="326">
        <v>19000</v>
      </c>
      <c r="D10" s="326">
        <v>18000</v>
      </c>
      <c r="E10" s="326">
        <v>15000</v>
      </c>
      <c r="F10" s="303" t="s">
        <v>733</v>
      </c>
      <c r="G10" s="303"/>
      <c r="H10" s="303"/>
      <c r="I10" s="303"/>
      <c r="J10" s="303"/>
      <c r="K10" s="303"/>
      <c r="L10" s="303"/>
      <c r="M10" s="303"/>
      <c r="N10" s="303"/>
      <c r="O10" s="303"/>
      <c r="P10" s="303"/>
      <c r="Q10" s="303"/>
    </row>
    <row r="11" spans="1:17" x14ac:dyDescent="0.25">
      <c r="B11" s="303"/>
      <c r="C11" s="303">
        <v>5000</v>
      </c>
      <c r="D11" s="303">
        <v>5000</v>
      </c>
      <c r="E11" s="303">
        <v>5000</v>
      </c>
      <c r="F11" s="303"/>
      <c r="G11" s="303"/>
      <c r="H11" s="303"/>
      <c r="I11" s="303"/>
      <c r="J11" s="303"/>
      <c r="K11" s="303"/>
      <c r="L11" s="303"/>
      <c r="M11" s="303"/>
      <c r="N11" s="303"/>
      <c r="O11" s="303"/>
      <c r="P11" s="303"/>
      <c r="Q11" s="303"/>
    </row>
    <row r="12" spans="1:17" x14ac:dyDescent="0.25">
      <c r="C12" s="303"/>
      <c r="D12" s="303"/>
      <c r="E12" s="303">
        <v>9000</v>
      </c>
      <c r="F12" s="303"/>
      <c r="G12" s="303"/>
      <c r="H12" s="303"/>
      <c r="I12" s="303"/>
      <c r="J12" s="303"/>
      <c r="K12" s="303"/>
      <c r="L12" s="303"/>
      <c r="M12" s="303"/>
      <c r="N12" s="303"/>
      <c r="O12" s="303"/>
      <c r="P12" s="303"/>
      <c r="Q12" s="303"/>
    </row>
    <row r="13" spans="1:17" x14ac:dyDescent="0.25">
      <c r="A13" s="307"/>
      <c r="B13" s="303"/>
      <c r="C13" s="303"/>
      <c r="D13" s="303"/>
      <c r="E13" s="303"/>
      <c r="F13" s="303"/>
      <c r="G13" s="303"/>
      <c r="H13" s="303"/>
      <c r="I13" s="303"/>
      <c r="J13" s="303"/>
      <c r="K13" s="303"/>
      <c r="L13" s="303"/>
      <c r="M13" s="303"/>
      <c r="N13" s="303"/>
      <c r="O13" s="303"/>
      <c r="P13" s="303"/>
      <c r="Q13" s="303"/>
    </row>
    <row r="14" spans="1:17" x14ac:dyDescent="0.25">
      <c r="B14" s="303" t="s">
        <v>735</v>
      </c>
      <c r="C14" s="303"/>
      <c r="D14" s="303"/>
      <c r="E14" s="303"/>
      <c r="F14" s="303"/>
      <c r="G14" s="303"/>
      <c r="H14" s="303"/>
      <c r="I14" s="303"/>
      <c r="J14" s="303"/>
      <c r="K14" s="303"/>
      <c r="L14" s="303"/>
      <c r="M14" s="303"/>
      <c r="N14" s="303"/>
      <c r="O14" s="303"/>
      <c r="P14" s="303"/>
      <c r="Q14" s="303"/>
    </row>
    <row r="15" spans="1:17" x14ac:dyDescent="0.25">
      <c r="B15" s="303" t="s">
        <v>2920</v>
      </c>
      <c r="C15" s="303"/>
      <c r="D15" s="303"/>
      <c r="E15" s="303"/>
      <c r="F15" s="303"/>
      <c r="G15" s="303"/>
      <c r="H15" s="303"/>
      <c r="I15" s="303"/>
      <c r="J15" s="303"/>
      <c r="K15" s="303"/>
      <c r="L15" s="303"/>
      <c r="M15" s="303"/>
      <c r="N15" s="303"/>
      <c r="O15" s="303"/>
      <c r="P15" s="303"/>
      <c r="Q15" s="303"/>
    </row>
    <row r="16" spans="1:17" x14ac:dyDescent="0.25">
      <c r="B16" s="303" t="s">
        <v>736</v>
      </c>
      <c r="C16" s="303"/>
      <c r="D16" s="303"/>
      <c r="E16" s="303"/>
      <c r="F16" s="303"/>
      <c r="G16" s="303"/>
      <c r="H16" s="303"/>
      <c r="I16" s="303"/>
      <c r="J16" s="303"/>
      <c r="K16" s="303"/>
      <c r="L16" s="303"/>
      <c r="M16" s="303"/>
      <c r="N16" s="303"/>
      <c r="O16" s="303"/>
      <c r="P16" s="303"/>
      <c r="Q16" s="303"/>
    </row>
    <row r="17" spans="2:17" x14ac:dyDescent="0.25">
      <c r="B17" s="303"/>
      <c r="C17" s="303"/>
      <c r="D17" s="303"/>
      <c r="E17" s="303"/>
      <c r="F17" s="303"/>
      <c r="G17" s="303"/>
      <c r="H17" s="303"/>
      <c r="I17" s="303"/>
      <c r="J17" s="303"/>
      <c r="K17" s="303"/>
      <c r="L17" s="303"/>
      <c r="M17" s="303"/>
      <c r="N17" s="303"/>
      <c r="O17" s="303"/>
      <c r="P17" s="303"/>
      <c r="Q17" s="303"/>
    </row>
    <row r="18" spans="2:17" x14ac:dyDescent="0.25">
      <c r="B18" s="303" t="s">
        <v>737</v>
      </c>
      <c r="C18" s="303"/>
      <c r="D18" s="303"/>
      <c r="E18" s="303"/>
      <c r="F18" s="303"/>
      <c r="G18" s="303"/>
      <c r="H18" s="303"/>
      <c r="I18" s="303"/>
      <c r="J18" s="303"/>
      <c r="K18" s="303"/>
      <c r="L18" s="303"/>
      <c r="M18" s="303"/>
      <c r="N18" s="303"/>
      <c r="O18" s="303"/>
      <c r="P18" s="303"/>
      <c r="Q18" s="303"/>
    </row>
    <row r="19" spans="2:17" x14ac:dyDescent="0.25">
      <c r="B19" s="303" t="s">
        <v>738</v>
      </c>
      <c r="C19" s="303"/>
      <c r="D19" s="303"/>
      <c r="E19" s="303"/>
      <c r="F19" s="303"/>
      <c r="G19" s="303"/>
      <c r="H19" s="303"/>
      <c r="I19" s="303"/>
      <c r="J19" s="303"/>
      <c r="K19" s="303"/>
      <c r="L19" s="303"/>
      <c r="M19" s="303"/>
      <c r="N19" s="303"/>
      <c r="O19" s="303"/>
      <c r="P19" s="303"/>
      <c r="Q19" s="303"/>
    </row>
    <row r="20" spans="2:17" x14ac:dyDescent="0.25">
      <c r="B20" s="303" t="s">
        <v>739</v>
      </c>
      <c r="C20" s="303"/>
      <c r="D20" s="303"/>
      <c r="E20" s="303"/>
      <c r="F20" s="303"/>
      <c r="G20" s="303"/>
      <c r="H20" s="303"/>
      <c r="I20" s="303"/>
      <c r="J20" s="303"/>
      <c r="K20" s="303"/>
      <c r="L20" s="303"/>
      <c r="M20" s="303"/>
      <c r="N20" s="303"/>
      <c r="O20" s="303"/>
      <c r="P20" s="303"/>
      <c r="Q20" s="303"/>
    </row>
    <row r="21" spans="2:17" x14ac:dyDescent="0.25">
      <c r="B21" s="303" t="s">
        <v>740</v>
      </c>
      <c r="C21" s="303"/>
      <c r="D21" s="303"/>
      <c r="E21" s="303"/>
      <c r="F21" s="303"/>
      <c r="G21" s="303"/>
      <c r="H21" s="303"/>
      <c r="I21" s="303"/>
      <c r="J21" s="303"/>
      <c r="K21" s="303"/>
      <c r="L21" s="303"/>
      <c r="M21" s="303"/>
      <c r="N21" s="303"/>
      <c r="O21" s="303"/>
      <c r="P21" s="303"/>
      <c r="Q21" s="303"/>
    </row>
    <row r="22" spans="2:17" x14ac:dyDescent="0.25">
      <c r="B22" s="303"/>
      <c r="C22" s="303"/>
      <c r="D22" s="303"/>
      <c r="E22" s="303"/>
      <c r="F22" s="303"/>
      <c r="G22" s="303"/>
      <c r="H22" s="303"/>
      <c r="I22" s="303"/>
      <c r="J22" s="303"/>
      <c r="K22" s="303"/>
      <c r="L22" s="303"/>
      <c r="M22" s="303"/>
      <c r="N22" s="303"/>
      <c r="O22" s="303"/>
      <c r="P22" s="303"/>
      <c r="Q22" s="303"/>
    </row>
    <row r="23" spans="2:17" x14ac:dyDescent="0.25">
      <c r="B23" s="303"/>
      <c r="C23" s="303"/>
      <c r="D23" s="303"/>
      <c r="E23" s="303"/>
      <c r="F23" s="303"/>
      <c r="G23" s="303"/>
      <c r="H23" s="303"/>
      <c r="I23" s="303"/>
      <c r="J23" s="303"/>
      <c r="K23" s="303"/>
      <c r="L23" s="303"/>
      <c r="M23" s="303"/>
      <c r="N23" s="303"/>
      <c r="O23" s="303"/>
      <c r="P23" s="303"/>
      <c r="Q23" s="303"/>
    </row>
    <row r="24" spans="2:17" x14ac:dyDescent="0.25">
      <c r="B24" s="327" t="s">
        <v>2922</v>
      </c>
      <c r="C24" s="327"/>
      <c r="D24" s="327"/>
      <c r="E24" s="327"/>
      <c r="F24" s="327"/>
      <c r="G24" s="303"/>
      <c r="H24" s="303"/>
      <c r="I24" s="303"/>
      <c r="J24" s="303"/>
      <c r="K24" s="303"/>
      <c r="L24" s="303"/>
      <c r="M24" s="303"/>
      <c r="N24" s="303"/>
      <c r="O24" s="303"/>
      <c r="P24" s="303"/>
      <c r="Q24" s="303"/>
    </row>
    <row r="25" spans="2:17" x14ac:dyDescent="0.25">
      <c r="B25" s="328"/>
      <c r="C25" s="328">
        <v>2006</v>
      </c>
      <c r="D25" s="328">
        <v>2007</v>
      </c>
      <c r="E25" s="328">
        <v>2008</v>
      </c>
      <c r="F25" s="328">
        <v>2009</v>
      </c>
      <c r="G25" s="303"/>
      <c r="H25" s="303"/>
      <c r="I25" s="303"/>
      <c r="J25" s="303"/>
      <c r="K25" s="303"/>
      <c r="L25" s="303"/>
      <c r="M25" s="303"/>
      <c r="N25" s="303"/>
      <c r="O25" s="303"/>
      <c r="P25" s="303"/>
      <c r="Q25" s="303"/>
    </row>
    <row r="26" spans="2:17" x14ac:dyDescent="0.25">
      <c r="B26" s="303" t="s">
        <v>741</v>
      </c>
      <c r="C26" s="329">
        <f>+B10</f>
        <v>21000</v>
      </c>
      <c r="D26" s="329">
        <f>+C10</f>
        <v>19000</v>
      </c>
      <c r="E26" s="329">
        <f>+D10</f>
        <v>18000</v>
      </c>
      <c r="F26" s="329">
        <f>+E10</f>
        <v>15000</v>
      </c>
      <c r="G26" s="303"/>
      <c r="H26" s="303"/>
      <c r="I26" s="303"/>
      <c r="J26" s="303"/>
      <c r="K26" s="303"/>
      <c r="L26" s="303"/>
      <c r="M26" s="303"/>
      <c r="N26" s="303"/>
      <c r="O26" s="303"/>
      <c r="P26" s="303"/>
      <c r="Q26" s="303"/>
    </row>
    <row r="27" spans="2:17" x14ac:dyDescent="0.25">
      <c r="B27" s="303" t="s">
        <v>742</v>
      </c>
      <c r="C27" s="303"/>
      <c r="D27" s="303">
        <v>5000</v>
      </c>
      <c r="E27" s="303">
        <v>5000</v>
      </c>
      <c r="F27" s="303">
        <v>5000</v>
      </c>
      <c r="G27" s="303"/>
      <c r="H27" s="303"/>
      <c r="I27" s="303"/>
      <c r="J27" s="303"/>
      <c r="K27" s="303"/>
      <c r="L27" s="303"/>
      <c r="M27" s="303"/>
      <c r="N27" s="303"/>
      <c r="O27" s="303"/>
      <c r="P27" s="303"/>
      <c r="Q27" s="303"/>
    </row>
    <row r="28" spans="2:17" x14ac:dyDescent="0.25">
      <c r="B28" s="328" t="s">
        <v>743</v>
      </c>
      <c r="C28" s="328"/>
      <c r="D28" s="328"/>
      <c r="E28" s="328"/>
      <c r="F28" s="328">
        <v>9000</v>
      </c>
      <c r="G28" s="303"/>
      <c r="H28" s="303"/>
      <c r="I28" s="303"/>
      <c r="J28" s="303"/>
      <c r="K28" s="303"/>
      <c r="L28" s="303"/>
      <c r="M28" s="303"/>
      <c r="N28" s="303"/>
      <c r="O28" s="303"/>
      <c r="P28" s="303"/>
      <c r="Q28" s="303"/>
    </row>
    <row r="29" spans="2:17" x14ac:dyDescent="0.25">
      <c r="B29" s="303" t="s">
        <v>744</v>
      </c>
      <c r="C29" s="329">
        <f>SUM(C26:C28)</f>
        <v>21000</v>
      </c>
      <c r="D29" s="329">
        <f>SUM(D26:D28)</f>
        <v>24000</v>
      </c>
      <c r="E29" s="329">
        <f>SUM(E26:E28)</f>
        <v>23000</v>
      </c>
      <c r="F29" s="329">
        <f>SUM(F26:F28)</f>
        <v>29000</v>
      </c>
      <c r="G29" s="303"/>
      <c r="H29" s="303"/>
      <c r="I29" s="303"/>
      <c r="J29" s="303"/>
      <c r="K29" s="303"/>
      <c r="L29" s="303"/>
      <c r="M29" s="303"/>
      <c r="N29" s="303"/>
      <c r="O29" s="303"/>
      <c r="P29" s="303"/>
      <c r="Q29" s="303"/>
    </row>
    <row r="30" spans="2:17" x14ac:dyDescent="0.25">
      <c r="B30" s="303"/>
      <c r="C30" s="303"/>
      <c r="D30" s="303"/>
      <c r="E30" s="303"/>
      <c r="F30" s="303"/>
      <c r="G30" s="303"/>
      <c r="H30" s="303"/>
      <c r="I30" s="303"/>
      <c r="J30" s="303"/>
      <c r="K30" s="303"/>
      <c r="L30" s="303"/>
      <c r="M30" s="303"/>
      <c r="N30" s="303"/>
      <c r="O30" s="303"/>
      <c r="P30" s="303"/>
      <c r="Q30" s="303"/>
    </row>
    <row r="31" spans="2:17" x14ac:dyDescent="0.25">
      <c r="B31" s="303"/>
      <c r="C31" s="303"/>
      <c r="D31" s="303"/>
      <c r="E31" s="303"/>
      <c r="F31" s="303"/>
      <c r="G31" s="303"/>
      <c r="H31" s="303"/>
      <c r="I31" s="303"/>
      <c r="J31" s="303"/>
      <c r="K31" s="303"/>
      <c r="L31" s="303"/>
      <c r="M31" s="303"/>
      <c r="N31" s="303"/>
      <c r="O31" s="303"/>
      <c r="P31" s="303"/>
      <c r="Q31" s="303"/>
    </row>
    <row r="32" spans="2:17" x14ac:dyDescent="0.25">
      <c r="B32" s="303"/>
      <c r="C32" s="303"/>
      <c r="D32" s="303"/>
      <c r="E32" s="303"/>
      <c r="F32" s="303"/>
      <c r="G32" s="303"/>
      <c r="H32" s="303"/>
      <c r="I32" s="303"/>
      <c r="J32" s="303"/>
      <c r="K32" s="303"/>
      <c r="L32" s="303"/>
      <c r="M32" s="303"/>
      <c r="N32" s="303"/>
      <c r="O32" s="303"/>
      <c r="P32" s="303"/>
      <c r="Q32" s="303"/>
    </row>
    <row r="33" spans="2:17" x14ac:dyDescent="0.25">
      <c r="B33" s="303" t="s">
        <v>734</v>
      </c>
      <c r="C33" s="303"/>
      <c r="D33" s="303"/>
      <c r="E33" s="303"/>
      <c r="F33" s="303"/>
      <c r="G33" s="303"/>
      <c r="H33" s="303"/>
      <c r="I33" s="303"/>
      <c r="J33" s="303"/>
      <c r="K33" s="303"/>
      <c r="L33" s="303"/>
      <c r="M33" s="303"/>
      <c r="N33" s="303"/>
      <c r="O33" s="303"/>
      <c r="P33" s="303"/>
      <c r="Q33" s="303"/>
    </row>
    <row r="34" spans="2:17" x14ac:dyDescent="0.25">
      <c r="B34" s="851" t="s">
        <v>2921</v>
      </c>
      <c r="C34" s="275"/>
      <c r="D34" s="275"/>
      <c r="E34" s="275"/>
      <c r="F34" s="275"/>
      <c r="G34" s="275"/>
      <c r="H34" s="275"/>
      <c r="I34" s="275"/>
      <c r="J34" s="303"/>
      <c r="K34" s="303"/>
      <c r="L34" s="303"/>
      <c r="M34" s="303"/>
      <c r="N34" s="303"/>
      <c r="O34" s="303"/>
      <c r="P34" s="303"/>
      <c r="Q34" s="303"/>
    </row>
    <row r="35" spans="2:17" x14ac:dyDescent="0.25">
      <c r="B35" s="310" t="s">
        <v>745</v>
      </c>
      <c r="C35" s="310"/>
      <c r="D35" s="310"/>
      <c r="E35" s="310"/>
      <c r="F35" s="310"/>
      <c r="G35" s="310"/>
      <c r="H35" s="310"/>
      <c r="I35" s="310"/>
      <c r="J35" s="303"/>
      <c r="K35" s="303"/>
      <c r="L35" s="303"/>
      <c r="M35" s="303"/>
      <c r="N35" s="303"/>
      <c r="O35" s="303"/>
      <c r="P35" s="303"/>
      <c r="Q35" s="303"/>
    </row>
    <row r="36" spans="2:17" x14ac:dyDescent="0.25">
      <c r="B36" s="310" t="s">
        <v>746</v>
      </c>
      <c r="C36" s="310"/>
      <c r="D36" s="310"/>
      <c r="E36" s="310"/>
      <c r="F36" s="310"/>
      <c r="G36" s="310"/>
      <c r="H36" s="310"/>
      <c r="I36" s="310"/>
      <c r="J36" s="303"/>
      <c r="K36" s="303"/>
      <c r="L36" s="303"/>
      <c r="M36" s="303"/>
      <c r="N36" s="303"/>
      <c r="O36" s="303"/>
      <c r="P36" s="303"/>
      <c r="Q36" s="303"/>
    </row>
    <row r="37" spans="2:17" x14ac:dyDescent="0.25">
      <c r="B37" s="303"/>
      <c r="C37" s="303"/>
      <c r="D37" s="303"/>
      <c r="E37" s="303"/>
      <c r="F37" s="303"/>
      <c r="G37" s="303"/>
      <c r="H37" s="303"/>
      <c r="I37" s="303"/>
      <c r="J37" s="303"/>
      <c r="K37" s="303"/>
      <c r="L37" s="303"/>
      <c r="M37" s="303"/>
      <c r="N37" s="303"/>
      <c r="O37" s="303"/>
      <c r="P37" s="303"/>
      <c r="Q37" s="303"/>
    </row>
    <row r="38" spans="2:17" x14ac:dyDescent="0.25">
      <c r="B38" s="303" t="s">
        <v>747</v>
      </c>
      <c r="C38" s="303"/>
      <c r="D38" s="303"/>
      <c r="E38" s="303"/>
      <c r="F38" s="303"/>
      <c r="G38" s="303"/>
      <c r="H38" s="303"/>
      <c r="I38" s="303"/>
      <c r="J38" s="303"/>
      <c r="K38" s="303"/>
      <c r="L38" s="303"/>
      <c r="M38" s="303"/>
      <c r="N38" s="303"/>
      <c r="O38" s="303"/>
      <c r="P38" s="303"/>
      <c r="Q38" s="303"/>
    </row>
    <row r="39" spans="2:17" x14ac:dyDescent="0.25">
      <c r="B39" s="303" t="s">
        <v>748</v>
      </c>
      <c r="C39" s="303"/>
      <c r="D39" s="303"/>
      <c r="E39" s="303"/>
      <c r="F39" s="303"/>
      <c r="G39" s="303"/>
      <c r="H39" s="303"/>
      <c r="I39" s="303"/>
      <c r="J39" s="303"/>
      <c r="K39" s="303"/>
      <c r="L39" s="303"/>
      <c r="M39" s="303"/>
      <c r="N39" s="303"/>
      <c r="O39" s="303"/>
      <c r="P39" s="303"/>
      <c r="Q39" s="303"/>
    </row>
    <row r="40" spans="2:17" x14ac:dyDescent="0.25">
      <c r="B40" s="303"/>
      <c r="C40" s="303"/>
      <c r="D40" s="303"/>
      <c r="E40" s="303"/>
      <c r="F40" s="303"/>
      <c r="G40" s="303"/>
      <c r="H40" s="303"/>
      <c r="I40" s="303"/>
      <c r="J40" s="303"/>
      <c r="K40" s="303"/>
      <c r="L40" s="303"/>
      <c r="M40" s="303"/>
      <c r="N40" s="303"/>
      <c r="O40" s="303"/>
      <c r="P40" s="303"/>
      <c r="Q40" s="303"/>
    </row>
    <row r="41" spans="2:17" x14ac:dyDescent="0.25">
      <c r="B41" s="303"/>
      <c r="C41" s="303"/>
      <c r="D41" s="303"/>
      <c r="E41" s="303"/>
      <c r="F41" s="303"/>
      <c r="G41" s="303"/>
      <c r="H41" s="303"/>
      <c r="I41" s="303"/>
      <c r="J41" s="303"/>
      <c r="K41" s="303"/>
      <c r="L41" s="303"/>
      <c r="M41" s="303"/>
      <c r="N41" s="303"/>
      <c r="O41" s="303"/>
      <c r="P41" s="303"/>
      <c r="Q41" s="303"/>
    </row>
    <row r="42" spans="2:17" x14ac:dyDescent="0.25">
      <c r="B42" s="304" t="s">
        <v>749</v>
      </c>
      <c r="C42" s="303"/>
      <c r="D42" s="303"/>
      <c r="E42" s="303"/>
      <c r="F42" s="303"/>
      <c r="G42" s="303"/>
      <c r="H42" s="303"/>
      <c r="I42" s="303"/>
      <c r="J42" s="303"/>
      <c r="K42" s="303"/>
      <c r="L42" s="303"/>
      <c r="M42" s="303"/>
      <c r="N42" s="303"/>
      <c r="O42" s="303"/>
      <c r="P42" s="303"/>
      <c r="Q42" s="303"/>
    </row>
    <row r="43" spans="2:17" x14ac:dyDescent="0.25">
      <c r="B43" s="303" t="s">
        <v>750</v>
      </c>
      <c r="C43" s="303"/>
      <c r="D43" s="303"/>
      <c r="E43" s="303"/>
      <c r="F43" s="303"/>
      <c r="G43" s="303"/>
      <c r="H43" s="303"/>
      <c r="I43" s="303"/>
      <c r="J43" s="303"/>
      <c r="K43" s="303"/>
      <c r="L43" s="303"/>
      <c r="M43" s="303"/>
      <c r="N43" s="303"/>
      <c r="O43" s="303"/>
      <c r="P43" s="303"/>
      <c r="Q43" s="303"/>
    </row>
    <row r="44" spans="2:17" x14ac:dyDescent="0.25">
      <c r="B44" s="303" t="s">
        <v>751</v>
      </c>
      <c r="C44" s="303"/>
      <c r="D44" s="303"/>
      <c r="E44" s="303"/>
      <c r="F44" s="303"/>
      <c r="G44" s="303"/>
      <c r="H44" s="303"/>
      <c r="I44" s="303"/>
      <c r="J44" s="303"/>
      <c r="K44" s="303"/>
      <c r="L44" s="303"/>
      <c r="M44" s="303"/>
      <c r="N44" s="303"/>
      <c r="O44" s="303"/>
      <c r="P44" s="303"/>
      <c r="Q44" s="303"/>
    </row>
    <row r="45" spans="2:17" x14ac:dyDescent="0.25">
      <c r="B45" s="303"/>
      <c r="C45" s="303"/>
      <c r="D45" s="303"/>
      <c r="E45" s="303"/>
      <c r="F45" s="303"/>
      <c r="G45" s="303"/>
      <c r="H45" s="303"/>
      <c r="I45" s="303"/>
      <c r="J45" s="303"/>
      <c r="K45" s="303"/>
      <c r="L45" s="303"/>
      <c r="M45" s="303"/>
      <c r="N45" s="303"/>
      <c r="O45" s="303"/>
      <c r="P45" s="303"/>
      <c r="Q45" s="303"/>
    </row>
    <row r="46" spans="2:17" x14ac:dyDescent="0.25">
      <c r="B46" s="303" t="s">
        <v>752</v>
      </c>
      <c r="C46" s="303"/>
      <c r="D46" s="303"/>
      <c r="E46" s="303"/>
      <c r="F46" s="303"/>
      <c r="G46" s="303"/>
      <c r="H46" s="303"/>
      <c r="I46" s="303"/>
      <c r="J46" s="303"/>
      <c r="K46" s="303"/>
      <c r="L46" s="303"/>
      <c r="M46" s="303"/>
      <c r="N46" s="303"/>
      <c r="O46" s="303"/>
      <c r="P46" s="303"/>
      <c r="Q46" s="303"/>
    </row>
    <row r="47" spans="2:17" x14ac:dyDescent="0.25">
      <c r="B47" s="303" t="s">
        <v>753</v>
      </c>
      <c r="C47" s="303"/>
      <c r="D47" s="303"/>
      <c r="E47" s="303"/>
      <c r="F47" s="303"/>
      <c r="G47" s="303"/>
      <c r="H47" s="303"/>
      <c r="I47" s="303"/>
      <c r="J47" s="303"/>
      <c r="K47" s="303"/>
      <c r="L47" s="303"/>
      <c r="M47" s="303"/>
      <c r="N47" s="303"/>
      <c r="O47" s="303"/>
      <c r="P47" s="303"/>
      <c r="Q47" s="303"/>
    </row>
    <row r="48" spans="2:17" x14ac:dyDescent="0.25">
      <c r="B48" s="303"/>
      <c r="C48" s="303"/>
      <c r="D48" s="303"/>
      <c r="E48" s="303"/>
      <c r="F48" s="303"/>
      <c r="G48" s="303"/>
      <c r="H48" s="303"/>
      <c r="I48" s="303"/>
      <c r="J48" s="303"/>
      <c r="K48" s="303"/>
      <c r="L48" s="303"/>
      <c r="M48" s="303"/>
      <c r="N48" s="303"/>
      <c r="O48" s="303"/>
      <c r="P48" s="303"/>
      <c r="Q48" s="303"/>
    </row>
  </sheetData>
  <hyperlinks>
    <hyperlink ref="E2" location="Regnskaber!A1" display="Regnskaber!A1" xr:uid="{00000000-0004-0000-1300-000000000000}"/>
  </hyperlinks>
  <pageMargins left="0.75" right="0.75" top="1" bottom="1" header="0.5" footer="0.5"/>
  <pageSetup paperSize="9" orientation="portrait" horizontalDpi="4294967292" verticalDpi="429496729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M58"/>
  <sheetViews>
    <sheetView workbookViewId="0">
      <selection activeCell="B32" sqref="B32"/>
    </sheetView>
  </sheetViews>
  <sheetFormatPr defaultColWidth="10.875" defaultRowHeight="15.75" x14ac:dyDescent="0.25"/>
  <cols>
    <col min="1" max="16384" width="10.875" style="1"/>
  </cols>
  <sheetData>
    <row r="1" spans="1:13" x14ac:dyDescent="0.25">
      <c r="A1" s="278"/>
    </row>
    <row r="2" spans="1:13" x14ac:dyDescent="0.25">
      <c r="F2" s="204" t="s">
        <v>1220</v>
      </c>
    </row>
    <row r="3" spans="1:13" x14ac:dyDescent="0.25">
      <c r="B3" s="303" t="s">
        <v>830</v>
      </c>
      <c r="C3" s="303"/>
      <c r="D3" s="303"/>
      <c r="E3" s="303"/>
      <c r="F3" s="303"/>
      <c r="G3" s="303"/>
      <c r="H3" s="303"/>
      <c r="I3" s="303"/>
      <c r="J3" s="303"/>
      <c r="K3" s="303"/>
      <c r="L3" s="303"/>
      <c r="M3" s="303"/>
    </row>
    <row r="4" spans="1:13" x14ac:dyDescent="0.25">
      <c r="B4" s="349" t="s">
        <v>831</v>
      </c>
      <c r="C4" s="303"/>
      <c r="D4" s="303"/>
      <c r="E4" s="303"/>
      <c r="F4" s="303"/>
      <c r="G4" s="303"/>
      <c r="H4" s="303"/>
      <c r="I4" s="303"/>
      <c r="J4" s="303"/>
      <c r="K4" s="303"/>
      <c r="L4" s="303"/>
      <c r="M4" s="303"/>
    </row>
    <row r="5" spans="1:13" x14ac:dyDescent="0.25">
      <c r="B5" s="303" t="s">
        <v>832</v>
      </c>
      <c r="C5" s="303"/>
      <c r="D5" s="303"/>
      <c r="E5" s="303"/>
      <c r="F5" s="303"/>
      <c r="G5" s="303"/>
      <c r="H5" s="303"/>
      <c r="I5" s="303"/>
      <c r="J5" s="303"/>
      <c r="K5" s="303"/>
      <c r="L5" s="303"/>
      <c r="M5" s="303"/>
    </row>
    <row r="6" spans="1:13" x14ac:dyDescent="0.25">
      <c r="B6" s="303"/>
      <c r="C6" s="303"/>
      <c r="D6" s="303"/>
      <c r="E6" s="303"/>
      <c r="F6" s="303"/>
      <c r="G6" s="303"/>
      <c r="H6" s="303"/>
      <c r="I6" s="303"/>
      <c r="J6" s="303"/>
      <c r="K6" s="303"/>
      <c r="L6" s="303"/>
      <c r="M6" s="303"/>
    </row>
    <row r="7" spans="1:13" x14ac:dyDescent="0.25">
      <c r="B7" s="328" t="s">
        <v>574</v>
      </c>
      <c r="C7" s="328">
        <v>2009</v>
      </c>
      <c r="D7" s="328">
        <v>2008</v>
      </c>
      <c r="E7" s="328">
        <v>2007</v>
      </c>
      <c r="F7" s="303"/>
      <c r="G7" s="303"/>
      <c r="H7" s="303"/>
      <c r="I7" s="303"/>
      <c r="J7" s="303"/>
      <c r="K7" s="303"/>
      <c r="L7" s="303"/>
      <c r="M7" s="303"/>
    </row>
    <row r="8" spans="1:13" x14ac:dyDescent="0.25">
      <c r="B8" s="303" t="s">
        <v>833</v>
      </c>
      <c r="C8" s="326">
        <v>30000</v>
      </c>
      <c r="D8" s="326">
        <v>10000</v>
      </c>
      <c r="E8" s="326">
        <v>8000</v>
      </c>
      <c r="F8" s="303"/>
      <c r="G8" s="303"/>
      <c r="H8" s="303"/>
      <c r="I8" s="303"/>
      <c r="J8" s="303"/>
      <c r="K8" s="303"/>
      <c r="L8" s="303"/>
      <c r="M8" s="303"/>
    </row>
    <row r="9" spans="1:13" x14ac:dyDescent="0.25">
      <c r="B9" s="328" t="s">
        <v>834</v>
      </c>
      <c r="C9" s="350">
        <v>83000</v>
      </c>
      <c r="D9" s="350">
        <v>45000</v>
      </c>
      <c r="E9" s="350">
        <v>41000</v>
      </c>
      <c r="F9" s="303"/>
      <c r="G9" s="303"/>
      <c r="H9" s="303"/>
      <c r="I9" s="303"/>
      <c r="J9" s="303"/>
      <c r="K9" s="303"/>
      <c r="L9" s="303"/>
      <c r="M9" s="303"/>
    </row>
    <row r="10" spans="1:13" x14ac:dyDescent="0.25">
      <c r="B10" s="303" t="s">
        <v>835</v>
      </c>
      <c r="C10" s="351">
        <v>113000</v>
      </c>
      <c r="D10" s="351">
        <v>55000</v>
      </c>
      <c r="E10" s="351">
        <v>49000</v>
      </c>
      <c r="F10" s="303"/>
      <c r="G10" s="303"/>
      <c r="H10" s="303"/>
      <c r="I10" s="303"/>
      <c r="J10" s="303"/>
      <c r="K10" s="303"/>
      <c r="L10" s="303"/>
      <c r="M10" s="303"/>
    </row>
    <row r="11" spans="1:13" x14ac:dyDescent="0.25">
      <c r="B11" s="303"/>
      <c r="C11" s="326"/>
      <c r="D11" s="326"/>
      <c r="E11" s="326"/>
      <c r="F11" s="303"/>
      <c r="G11" s="303"/>
      <c r="H11" s="303"/>
      <c r="I11" s="303"/>
      <c r="J11" s="303"/>
      <c r="K11" s="303"/>
      <c r="L11" s="303"/>
      <c r="M11" s="303"/>
    </row>
    <row r="12" spans="1:13" x14ac:dyDescent="0.25">
      <c r="B12" s="328" t="s">
        <v>836</v>
      </c>
      <c r="C12" s="350"/>
      <c r="D12" s="350"/>
      <c r="E12" s="350"/>
      <c r="F12" s="352"/>
      <c r="G12" s="303"/>
      <c r="H12" s="303"/>
      <c r="I12" s="303"/>
      <c r="J12" s="303"/>
      <c r="K12" s="303"/>
      <c r="L12" s="303"/>
      <c r="M12" s="303"/>
    </row>
    <row r="13" spans="1:13" x14ac:dyDescent="0.25">
      <c r="B13" s="352" t="s">
        <v>837</v>
      </c>
      <c r="C13" s="351">
        <v>12000</v>
      </c>
      <c r="D13" s="351">
        <v>7000</v>
      </c>
      <c r="E13" s="351">
        <v>5000</v>
      </c>
      <c r="F13" s="352"/>
      <c r="G13" s="303"/>
      <c r="H13" s="303"/>
      <c r="I13" s="303"/>
      <c r="J13" s="303"/>
      <c r="K13" s="303"/>
      <c r="L13" s="303"/>
      <c r="M13" s="303"/>
    </row>
    <row r="14" spans="1:13" x14ac:dyDescent="0.25">
      <c r="B14" s="352" t="s">
        <v>838</v>
      </c>
      <c r="C14" s="351">
        <v>50000</v>
      </c>
      <c r="D14" s="351">
        <v>10000</v>
      </c>
      <c r="E14" s="351">
        <v>10000</v>
      </c>
      <c r="F14" s="303"/>
      <c r="G14" s="303"/>
      <c r="H14" s="303"/>
      <c r="I14" s="303"/>
      <c r="J14" s="303"/>
      <c r="K14" s="303"/>
      <c r="L14" s="303"/>
      <c r="M14" s="303"/>
    </row>
    <row r="15" spans="1:13" x14ac:dyDescent="0.25">
      <c r="B15" s="328" t="s">
        <v>839</v>
      </c>
      <c r="C15" s="350">
        <v>51000</v>
      </c>
      <c r="D15" s="350">
        <v>38000</v>
      </c>
      <c r="E15" s="350">
        <v>34000</v>
      </c>
      <c r="F15" s="303"/>
      <c r="G15" s="303"/>
      <c r="H15" s="303"/>
      <c r="I15" s="303"/>
      <c r="J15" s="303"/>
      <c r="K15" s="303"/>
      <c r="L15" s="303"/>
      <c r="M15" s="303"/>
    </row>
    <row r="16" spans="1:13" x14ac:dyDescent="0.25">
      <c r="B16" s="352" t="s">
        <v>840</v>
      </c>
      <c r="C16" s="351">
        <v>113000</v>
      </c>
      <c r="D16" s="351">
        <v>55000</v>
      </c>
      <c r="E16" s="351">
        <v>49000</v>
      </c>
      <c r="F16" s="303"/>
      <c r="G16" s="303"/>
      <c r="H16" s="303"/>
      <c r="I16" s="303"/>
      <c r="J16" s="303"/>
      <c r="K16" s="303"/>
      <c r="L16" s="303"/>
      <c r="M16" s="303"/>
    </row>
    <row r="17" spans="2:13" x14ac:dyDescent="0.25">
      <c r="B17" s="303"/>
      <c r="C17" s="326"/>
      <c r="D17" s="351"/>
      <c r="E17" s="326"/>
      <c r="F17" s="303"/>
      <c r="G17" s="303"/>
      <c r="H17" s="303"/>
      <c r="I17" s="303"/>
      <c r="J17" s="303"/>
      <c r="K17" s="303"/>
      <c r="L17" s="303"/>
      <c r="M17" s="303"/>
    </row>
    <row r="18" spans="2:13" x14ac:dyDescent="0.25">
      <c r="B18" s="303" t="s">
        <v>841</v>
      </c>
      <c r="C18" s="326">
        <v>70000</v>
      </c>
      <c r="D18" s="351">
        <v>45000</v>
      </c>
      <c r="E18" s="326">
        <v>37000</v>
      </c>
      <c r="F18" s="303"/>
      <c r="G18" s="303"/>
      <c r="H18" s="303"/>
      <c r="I18" s="303"/>
      <c r="J18" s="303"/>
      <c r="K18" s="303"/>
      <c r="L18" s="303"/>
      <c r="M18" s="303"/>
    </row>
    <row r="19" spans="2:13" x14ac:dyDescent="0.25">
      <c r="B19" s="303" t="s">
        <v>842</v>
      </c>
      <c r="C19" s="326">
        <v>27000</v>
      </c>
      <c r="D19" s="351">
        <v>24000</v>
      </c>
      <c r="E19" s="326">
        <v>24000</v>
      </c>
      <c r="F19" s="303"/>
      <c r="G19" s="303"/>
      <c r="H19" s="303"/>
      <c r="I19" s="303"/>
      <c r="J19" s="303"/>
      <c r="K19" s="303"/>
      <c r="L19" s="303"/>
      <c r="M19" s="303"/>
    </row>
    <row r="20" spans="2:13" x14ac:dyDescent="0.25">
      <c r="B20" s="303" t="s">
        <v>843</v>
      </c>
      <c r="C20" s="326">
        <v>5000</v>
      </c>
      <c r="D20" s="351">
        <v>1000</v>
      </c>
      <c r="E20" s="326">
        <v>1000</v>
      </c>
      <c r="F20" s="303"/>
      <c r="G20" s="303"/>
      <c r="H20" s="303"/>
      <c r="I20" s="303"/>
      <c r="J20" s="303"/>
      <c r="K20" s="303"/>
      <c r="L20" s="303"/>
      <c r="M20" s="303"/>
    </row>
    <row r="21" spans="2:13" x14ac:dyDescent="0.25">
      <c r="B21" s="328" t="s">
        <v>844</v>
      </c>
      <c r="C21" s="350">
        <v>13000</v>
      </c>
      <c r="D21" s="350">
        <v>6000</v>
      </c>
      <c r="E21" s="350">
        <v>6000</v>
      </c>
      <c r="F21" s="303"/>
      <c r="G21" s="303"/>
      <c r="H21" s="303"/>
      <c r="I21" s="303"/>
      <c r="J21" s="303"/>
      <c r="K21" s="303"/>
      <c r="L21" s="303"/>
      <c r="M21" s="303"/>
    </row>
    <row r="22" spans="2:13" x14ac:dyDescent="0.25">
      <c r="B22" s="303" t="s">
        <v>725</v>
      </c>
      <c r="C22" s="326">
        <v>25000</v>
      </c>
      <c r="D22" s="351">
        <v>14000</v>
      </c>
      <c r="E22" s="326">
        <v>6000</v>
      </c>
      <c r="F22" s="303"/>
      <c r="G22" s="303"/>
      <c r="H22" s="303"/>
      <c r="I22" s="303"/>
      <c r="J22" s="303"/>
      <c r="K22" s="303"/>
      <c r="L22" s="303"/>
      <c r="M22" s="303"/>
    </row>
    <row r="23" spans="2:13" x14ac:dyDescent="0.25">
      <c r="B23" s="303"/>
      <c r="C23" s="326"/>
      <c r="D23" s="326"/>
      <c r="E23" s="326"/>
      <c r="F23" s="303"/>
      <c r="G23" s="303"/>
      <c r="H23" s="303"/>
      <c r="I23" s="303"/>
      <c r="J23" s="303"/>
      <c r="K23" s="303"/>
      <c r="L23" s="303"/>
      <c r="M23" s="303"/>
    </row>
    <row r="24" spans="2:13" x14ac:dyDescent="0.25">
      <c r="B24" s="303" t="s">
        <v>845</v>
      </c>
      <c r="C24" s="326">
        <v>12000</v>
      </c>
      <c r="D24" s="326">
        <v>10000</v>
      </c>
      <c r="E24" s="326">
        <v>2000</v>
      </c>
      <c r="F24" s="303"/>
      <c r="G24" s="303"/>
      <c r="H24" s="303"/>
      <c r="I24" s="303"/>
      <c r="J24" s="303"/>
      <c r="K24" s="303"/>
      <c r="L24" s="303"/>
      <c r="M24" s="303"/>
    </row>
    <row r="25" spans="2:13" x14ac:dyDescent="0.25">
      <c r="B25" s="303" t="s">
        <v>846</v>
      </c>
      <c r="C25" s="326">
        <v>10000</v>
      </c>
      <c r="D25" s="326">
        <v>10000</v>
      </c>
      <c r="E25" s="326">
        <v>10000</v>
      </c>
      <c r="F25" s="303"/>
      <c r="G25" s="303"/>
      <c r="H25" s="303"/>
      <c r="I25" s="303"/>
      <c r="J25" s="303"/>
      <c r="K25" s="303"/>
      <c r="L25" s="303"/>
      <c r="M25" s="303"/>
    </row>
    <row r="26" spans="2:13" x14ac:dyDescent="0.25">
      <c r="B26" s="303"/>
      <c r="C26" s="303"/>
      <c r="D26" s="303"/>
      <c r="E26" s="303"/>
      <c r="F26" s="303"/>
      <c r="G26" s="303"/>
      <c r="H26" s="303"/>
      <c r="I26" s="303"/>
      <c r="J26" s="303"/>
      <c r="K26" s="303"/>
      <c r="L26" s="303"/>
      <c r="M26" s="303"/>
    </row>
    <row r="27" spans="2:13" x14ac:dyDescent="0.25">
      <c r="B27" s="303"/>
      <c r="C27" s="303"/>
      <c r="D27" s="303"/>
      <c r="E27" s="303"/>
      <c r="F27" s="303"/>
      <c r="G27" s="303"/>
      <c r="H27" s="303"/>
      <c r="I27" s="303"/>
      <c r="J27" s="303"/>
      <c r="K27" s="303"/>
      <c r="L27" s="303"/>
      <c r="M27" s="303"/>
    </row>
    <row r="28" spans="2:13" x14ac:dyDescent="0.25">
      <c r="B28" s="303" t="s">
        <v>847</v>
      </c>
      <c r="C28" s="303"/>
      <c r="D28" s="303"/>
      <c r="E28" s="303"/>
      <c r="F28" s="303"/>
      <c r="G28" s="303"/>
      <c r="H28" s="303"/>
      <c r="I28" s="303"/>
      <c r="J28" s="303"/>
      <c r="K28" s="303"/>
      <c r="L28" s="303"/>
      <c r="M28" s="303"/>
    </row>
    <row r="29" spans="2:13" x14ac:dyDescent="0.25">
      <c r="B29" s="303"/>
      <c r="C29" s="303"/>
      <c r="D29" s="303"/>
      <c r="E29" s="303"/>
      <c r="F29" s="303"/>
      <c r="G29" s="303"/>
      <c r="H29" s="303"/>
      <c r="I29" s="303"/>
      <c r="J29" s="303"/>
      <c r="K29" s="303"/>
      <c r="L29" s="303"/>
      <c r="M29" s="303"/>
    </row>
    <row r="30" spans="2:13" x14ac:dyDescent="0.25">
      <c r="B30" s="303" t="s">
        <v>848</v>
      </c>
      <c r="C30" s="303"/>
      <c r="D30" s="303"/>
      <c r="E30" s="303"/>
      <c r="F30" s="303"/>
      <c r="G30" s="303"/>
      <c r="H30" s="303"/>
      <c r="I30" s="303"/>
      <c r="J30" s="303"/>
      <c r="K30" s="303"/>
      <c r="L30" s="303"/>
      <c r="M30" s="303"/>
    </row>
    <row r="31" spans="2:13" x14ac:dyDescent="0.25">
      <c r="B31" s="303" t="s">
        <v>849</v>
      </c>
      <c r="C31" s="303"/>
      <c r="D31" s="303"/>
      <c r="E31" s="303"/>
      <c r="F31" s="303"/>
      <c r="G31" s="303"/>
      <c r="H31" s="303"/>
      <c r="I31" s="303"/>
      <c r="J31" s="303"/>
      <c r="K31" s="303"/>
      <c r="L31" s="303"/>
      <c r="M31" s="303"/>
    </row>
    <row r="32" spans="2:13" x14ac:dyDescent="0.25">
      <c r="B32" s="303" t="s">
        <v>850</v>
      </c>
      <c r="C32" s="303"/>
      <c r="D32" s="303"/>
      <c r="E32" s="303"/>
      <c r="F32" s="303"/>
      <c r="G32" s="303"/>
      <c r="H32" s="303"/>
      <c r="I32" s="303"/>
      <c r="J32" s="303"/>
      <c r="K32" s="303"/>
      <c r="L32" s="303"/>
      <c r="M32" s="303"/>
    </row>
    <row r="33" spans="2:13" x14ac:dyDescent="0.25">
      <c r="B33" s="303"/>
      <c r="C33" s="304">
        <v>2009</v>
      </c>
      <c r="D33" s="304">
        <v>2008</v>
      </c>
      <c r="E33" s="303"/>
      <c r="F33" s="303"/>
      <c r="G33" s="303"/>
      <c r="H33" s="303"/>
      <c r="I33" s="303"/>
      <c r="J33" s="303"/>
      <c r="K33" s="303"/>
      <c r="L33" s="303"/>
      <c r="M33" s="303"/>
    </row>
    <row r="34" spans="2:13" x14ac:dyDescent="0.25">
      <c r="B34" s="303" t="s">
        <v>851</v>
      </c>
      <c r="C34" s="353">
        <f>+C22/((C15+D15)/2)</f>
        <v>0.5617977528089888</v>
      </c>
      <c r="D34" s="354">
        <f>+D22/((D15+E15)/2)</f>
        <v>0.3888888888888889</v>
      </c>
      <c r="E34" s="355" t="s">
        <v>852</v>
      </c>
      <c r="F34" s="303"/>
      <c r="G34" s="303"/>
      <c r="H34" s="303" t="s">
        <v>853</v>
      </c>
      <c r="I34" s="303"/>
      <c r="J34" s="303"/>
      <c r="K34" s="303"/>
      <c r="L34" s="303"/>
      <c r="M34" s="303"/>
    </row>
    <row r="35" spans="2:13" x14ac:dyDescent="0.25">
      <c r="B35" s="303" t="s">
        <v>854</v>
      </c>
      <c r="C35" s="353">
        <f>+(C22+C20)/((C10+D10)/2)</f>
        <v>0.35714285714285715</v>
      </c>
      <c r="D35" s="354">
        <f>+(D22+D20)/((D10+E10)/2)</f>
        <v>0.28846153846153844</v>
      </c>
      <c r="E35" s="355" t="s">
        <v>855</v>
      </c>
      <c r="F35" s="303"/>
      <c r="G35" s="303"/>
      <c r="H35" s="303" t="s">
        <v>856</v>
      </c>
      <c r="I35" s="303"/>
      <c r="J35" s="303"/>
      <c r="K35" s="303"/>
      <c r="L35" s="303"/>
      <c r="M35" s="303"/>
    </row>
    <row r="36" spans="2:13" x14ac:dyDescent="0.25">
      <c r="B36" s="303" t="s">
        <v>857</v>
      </c>
      <c r="C36" s="353">
        <f>+C22/(C22+C20)</f>
        <v>0.83333333333333337</v>
      </c>
      <c r="D36" s="354">
        <f>+D22/(D22+D20)</f>
        <v>0.93333333333333335</v>
      </c>
      <c r="E36" s="355" t="s">
        <v>858</v>
      </c>
      <c r="F36" s="303"/>
      <c r="G36" s="303"/>
      <c r="H36" s="303" t="s">
        <v>859</v>
      </c>
      <c r="I36" s="303"/>
      <c r="J36" s="303"/>
      <c r="K36" s="303"/>
      <c r="L36" s="303"/>
      <c r="M36" s="303"/>
    </row>
    <row r="37" spans="2:13" x14ac:dyDescent="0.25">
      <c r="B37" s="303" t="s">
        <v>860</v>
      </c>
      <c r="C37" s="353">
        <f>+((C16+D16)/2)/((C15+D15)/2)</f>
        <v>1.8876404494382022</v>
      </c>
      <c r="D37" s="354">
        <f>+((D16+E16)/2)/((D15+E15)/2)</f>
        <v>1.4444444444444444</v>
      </c>
      <c r="E37" s="355" t="s">
        <v>861</v>
      </c>
      <c r="F37" s="303"/>
      <c r="G37" s="303"/>
      <c r="H37" s="303" t="s">
        <v>862</v>
      </c>
      <c r="I37" s="303"/>
      <c r="J37" s="303"/>
      <c r="K37" s="303"/>
      <c r="L37" s="303"/>
      <c r="M37" s="303"/>
    </row>
    <row r="38" spans="2:13" x14ac:dyDescent="0.25">
      <c r="B38" s="303" t="s">
        <v>863</v>
      </c>
      <c r="C38" s="353">
        <f>+(C22+C20)/C18</f>
        <v>0.42857142857142855</v>
      </c>
      <c r="D38" s="354">
        <f>+(D22+D20)/D18</f>
        <v>0.33333333333333331</v>
      </c>
      <c r="E38" s="355" t="s">
        <v>864</v>
      </c>
      <c r="F38" s="303"/>
      <c r="G38" s="303"/>
      <c r="H38" s="303" t="s">
        <v>865</v>
      </c>
      <c r="I38" s="303"/>
      <c r="J38" s="303"/>
      <c r="K38" s="303"/>
      <c r="L38" s="303"/>
      <c r="M38" s="303"/>
    </row>
    <row r="39" spans="2:13" x14ac:dyDescent="0.25">
      <c r="B39" s="303" t="s">
        <v>866</v>
      </c>
      <c r="C39" s="353">
        <f>+C18/((C10+D10)/2)</f>
        <v>0.83333333333333337</v>
      </c>
      <c r="D39" s="354">
        <f>+D18/((D10+E10)/2)</f>
        <v>0.86538461538461542</v>
      </c>
      <c r="E39" s="355" t="s">
        <v>867</v>
      </c>
      <c r="F39" s="303"/>
      <c r="G39" s="303"/>
      <c r="H39" s="303" t="s">
        <v>868</v>
      </c>
      <c r="I39" s="303"/>
      <c r="J39" s="303"/>
      <c r="K39" s="303"/>
      <c r="L39" s="303"/>
      <c r="M39" s="303"/>
    </row>
    <row r="40" spans="2:13" x14ac:dyDescent="0.25">
      <c r="B40" s="303"/>
      <c r="C40" s="303"/>
      <c r="D40" s="303"/>
      <c r="E40" s="303"/>
      <c r="F40" s="303"/>
      <c r="G40" s="303"/>
      <c r="H40" s="303"/>
      <c r="I40" s="303"/>
      <c r="J40" s="303"/>
      <c r="K40" s="303"/>
      <c r="L40" s="303"/>
      <c r="M40" s="303"/>
    </row>
    <row r="41" spans="2:13" x14ac:dyDescent="0.25">
      <c r="B41" s="303"/>
      <c r="C41" s="303"/>
      <c r="D41" s="303"/>
      <c r="E41" s="303"/>
      <c r="F41" s="303"/>
      <c r="G41" s="303"/>
      <c r="H41" s="303"/>
      <c r="I41" s="303"/>
      <c r="J41" s="303"/>
      <c r="K41" s="303"/>
      <c r="L41" s="303"/>
      <c r="M41" s="303"/>
    </row>
    <row r="42" spans="2:13" x14ac:dyDescent="0.25">
      <c r="B42" s="303" t="s">
        <v>869</v>
      </c>
      <c r="C42" s="303"/>
      <c r="D42" s="303"/>
      <c r="E42" s="303"/>
      <c r="F42" s="303"/>
      <c r="G42" s="303"/>
      <c r="H42" s="303"/>
      <c r="I42" s="303"/>
      <c r="J42" s="303"/>
      <c r="K42" s="303"/>
      <c r="L42" s="303"/>
      <c r="M42" s="303"/>
    </row>
    <row r="43" spans="2:13" x14ac:dyDescent="0.25">
      <c r="B43" s="303" t="s">
        <v>870</v>
      </c>
      <c r="C43" s="303"/>
      <c r="D43" s="303"/>
      <c r="E43" s="303"/>
      <c r="F43" s="303"/>
      <c r="G43" s="303"/>
      <c r="H43" s="303"/>
      <c r="I43" s="303"/>
      <c r="J43" s="303"/>
      <c r="K43" s="303"/>
      <c r="L43" s="303"/>
      <c r="M43" s="303"/>
    </row>
    <row r="44" spans="2:13" x14ac:dyDescent="0.25">
      <c r="B44" s="303" t="s">
        <v>871</v>
      </c>
      <c r="C44" s="303"/>
      <c r="D44" s="303"/>
      <c r="E44" s="303"/>
      <c r="F44" s="303"/>
      <c r="G44" s="303"/>
      <c r="H44" s="303"/>
      <c r="I44" s="303"/>
      <c r="J44" s="303"/>
      <c r="K44" s="303"/>
      <c r="L44" s="303"/>
      <c r="M44" s="303"/>
    </row>
    <row r="45" spans="2:13" x14ac:dyDescent="0.25">
      <c r="B45" s="303" t="s">
        <v>872</v>
      </c>
      <c r="C45" s="303"/>
      <c r="D45" s="303"/>
      <c r="E45" s="303"/>
      <c r="F45" s="303"/>
      <c r="G45" s="303"/>
      <c r="H45" s="303"/>
      <c r="I45" s="303"/>
      <c r="J45" s="303"/>
      <c r="K45" s="303"/>
      <c r="L45" s="303"/>
      <c r="M45" s="303"/>
    </row>
    <row r="46" spans="2:13" x14ac:dyDescent="0.25">
      <c r="B46" s="303"/>
      <c r="C46" s="304">
        <v>2009</v>
      </c>
      <c r="D46" s="303"/>
      <c r="E46" s="303"/>
      <c r="F46" s="303"/>
      <c r="G46" s="303"/>
      <c r="H46" s="303"/>
      <c r="I46" s="303"/>
      <c r="J46" s="303"/>
      <c r="K46" s="303"/>
      <c r="L46" s="303"/>
      <c r="M46" s="303"/>
    </row>
    <row r="47" spans="2:13" x14ac:dyDescent="0.25">
      <c r="B47" s="303" t="s">
        <v>851</v>
      </c>
      <c r="C47" s="353">
        <f>(C22+4000)/((C15+D15+40000+4000)/2)</f>
        <v>0.43609022556390975</v>
      </c>
      <c r="D47" s="303"/>
      <c r="E47" s="303"/>
      <c r="F47" s="303"/>
      <c r="G47" s="303"/>
      <c r="H47" s="303"/>
      <c r="I47" s="303"/>
      <c r="J47" s="303"/>
      <c r="K47" s="303"/>
      <c r="L47" s="303"/>
      <c r="M47" s="303"/>
    </row>
    <row r="48" spans="2:13" x14ac:dyDescent="0.25">
      <c r="B48" s="303" t="s">
        <v>854</v>
      </c>
      <c r="C48" s="353">
        <f>(C22+1000+4000)/((C10+D10)/2)</f>
        <v>0.35714285714285715</v>
      </c>
      <c r="D48" s="303"/>
      <c r="E48" s="303"/>
      <c r="F48" s="303"/>
      <c r="G48" s="303"/>
      <c r="H48" s="303"/>
      <c r="I48" s="303"/>
      <c r="J48" s="303"/>
      <c r="K48" s="303"/>
      <c r="L48" s="303"/>
      <c r="M48" s="303"/>
    </row>
    <row r="49" spans="2:13" x14ac:dyDescent="0.25">
      <c r="B49" s="303" t="s">
        <v>857</v>
      </c>
      <c r="C49" s="353">
        <f>(C22+4000)/((C22+4000+1000))</f>
        <v>0.96666666666666667</v>
      </c>
      <c r="D49" s="303"/>
      <c r="E49" s="303"/>
      <c r="F49" s="303"/>
      <c r="G49" s="303"/>
      <c r="H49" s="303"/>
      <c r="I49" s="303"/>
      <c r="J49" s="303"/>
      <c r="K49" s="303"/>
      <c r="L49" s="303"/>
      <c r="M49" s="303"/>
    </row>
    <row r="50" spans="2:13" x14ac:dyDescent="0.25">
      <c r="B50" s="303" t="s">
        <v>860</v>
      </c>
      <c r="C50" s="353">
        <f>((C16+D16+40000+4000)/2)/((C15+D15+40000+4000)/2)</f>
        <v>1.5939849624060149</v>
      </c>
      <c r="D50" s="303"/>
      <c r="E50" s="303"/>
      <c r="F50" s="303"/>
      <c r="G50" s="303"/>
      <c r="H50" s="303"/>
      <c r="I50" s="303"/>
      <c r="J50" s="303"/>
      <c r="K50" s="303"/>
      <c r="L50" s="303"/>
      <c r="M50" s="303"/>
    </row>
    <row r="51" spans="2:13" x14ac:dyDescent="0.25">
      <c r="B51" s="303" t="s">
        <v>863</v>
      </c>
      <c r="C51" s="353">
        <f>(C22+4000)/C18</f>
        <v>0.41428571428571431</v>
      </c>
      <c r="D51" s="303"/>
      <c r="E51" s="303"/>
      <c r="F51" s="303"/>
      <c r="G51" s="303"/>
      <c r="H51" s="303"/>
      <c r="I51" s="303"/>
      <c r="J51" s="303"/>
      <c r="K51" s="303"/>
      <c r="L51" s="303"/>
      <c r="M51" s="303"/>
    </row>
    <row r="52" spans="2:13" x14ac:dyDescent="0.25">
      <c r="B52" s="303" t="s">
        <v>866</v>
      </c>
      <c r="C52" s="353">
        <f>C18/((C10+D10+4000+40000)/2)</f>
        <v>0.660377358490566</v>
      </c>
      <c r="D52" s="303"/>
      <c r="E52" s="303"/>
      <c r="F52" s="303"/>
      <c r="G52" s="303"/>
      <c r="H52" s="303"/>
      <c r="I52" s="303"/>
      <c r="J52" s="303"/>
      <c r="K52" s="303"/>
      <c r="L52" s="303"/>
      <c r="M52" s="303"/>
    </row>
    <row r="53" spans="2:13" x14ac:dyDescent="0.25">
      <c r="B53" s="303"/>
      <c r="C53" s="303"/>
      <c r="D53" s="303"/>
      <c r="E53" s="303"/>
      <c r="F53" s="303"/>
      <c r="G53" s="303"/>
      <c r="H53" s="303"/>
      <c r="I53" s="303"/>
      <c r="J53" s="303"/>
      <c r="K53" s="303"/>
      <c r="L53" s="303"/>
      <c r="M53" s="303"/>
    </row>
    <row r="54" spans="2:13" x14ac:dyDescent="0.25">
      <c r="B54" s="303"/>
      <c r="C54" s="303"/>
      <c r="D54" s="303"/>
      <c r="E54" s="303"/>
      <c r="F54" s="303"/>
      <c r="G54" s="303"/>
      <c r="H54" s="303"/>
      <c r="I54" s="303"/>
      <c r="J54" s="303"/>
      <c r="K54" s="303"/>
      <c r="L54" s="303"/>
      <c r="M54" s="303"/>
    </row>
    <row r="55" spans="2:13" x14ac:dyDescent="0.25">
      <c r="B55" s="303" t="s">
        <v>873</v>
      </c>
      <c r="C55" s="303"/>
      <c r="D55" s="303"/>
      <c r="E55" s="303"/>
      <c r="F55" s="303"/>
      <c r="G55" s="303"/>
      <c r="H55" s="303"/>
      <c r="I55" s="303"/>
      <c r="J55" s="303"/>
      <c r="K55" s="303"/>
      <c r="L55" s="303"/>
      <c r="M55" s="303"/>
    </row>
    <row r="56" spans="2:13" x14ac:dyDescent="0.25">
      <c r="B56" s="303" t="s">
        <v>874</v>
      </c>
      <c r="C56" s="303"/>
      <c r="D56" s="303"/>
      <c r="E56" s="303"/>
      <c r="F56" s="303"/>
      <c r="G56" s="303"/>
      <c r="H56" s="303"/>
      <c r="I56" s="303"/>
      <c r="J56" s="303"/>
      <c r="K56" s="303"/>
      <c r="L56" s="303"/>
      <c r="M56" s="303"/>
    </row>
    <row r="57" spans="2:13" x14ac:dyDescent="0.25">
      <c r="B57" s="303"/>
      <c r="C57" s="303"/>
      <c r="D57" s="303"/>
      <c r="E57" s="303"/>
      <c r="F57" s="303"/>
      <c r="G57" s="303"/>
      <c r="H57" s="303"/>
      <c r="I57" s="303"/>
      <c r="J57" s="303"/>
      <c r="K57" s="303"/>
      <c r="L57" s="303"/>
      <c r="M57" s="303"/>
    </row>
    <row r="58" spans="2:13" x14ac:dyDescent="0.25">
      <c r="B58" s="303"/>
      <c r="C58" s="303"/>
      <c r="D58" s="303"/>
      <c r="E58" s="303"/>
      <c r="F58" s="303"/>
      <c r="G58" s="303"/>
      <c r="H58" s="303"/>
      <c r="I58" s="303"/>
      <c r="J58" s="303"/>
      <c r="K58" s="303"/>
      <c r="L58" s="303"/>
      <c r="M58" s="303"/>
    </row>
  </sheetData>
  <hyperlinks>
    <hyperlink ref="F2" location="Regnskaber!A1" display="Regnskaber!A1" xr:uid="{00000000-0004-0000-1400-000000000000}"/>
  </hyperlinks>
  <pageMargins left="0.75" right="0.75" top="1" bottom="1" header="0.5" footer="0.5"/>
  <pageSetup paperSize="9" orientation="portrait" horizontalDpi="4294967292" verticalDpi="429496729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B3:I111"/>
  <sheetViews>
    <sheetView workbookViewId="0">
      <selection activeCell="F3" sqref="F3"/>
    </sheetView>
  </sheetViews>
  <sheetFormatPr defaultColWidth="10.875" defaultRowHeight="15.75" x14ac:dyDescent="0.25"/>
  <cols>
    <col min="1" max="1" width="10.875" style="1"/>
    <col min="2" max="2" width="29.5" style="1" customWidth="1"/>
    <col min="3" max="16384" width="10.875" style="1"/>
  </cols>
  <sheetData>
    <row r="3" spans="2:9" x14ac:dyDescent="0.25">
      <c r="F3" s="204" t="s">
        <v>1220</v>
      </c>
    </row>
    <row r="5" spans="2:9" x14ac:dyDescent="0.25">
      <c r="B5" s="303" t="s">
        <v>887</v>
      </c>
      <c r="C5" s="303"/>
      <c r="D5" s="303"/>
      <c r="E5" s="303"/>
      <c r="F5" s="303"/>
      <c r="G5" s="303"/>
      <c r="H5" s="303"/>
      <c r="I5" s="303"/>
    </row>
    <row r="6" spans="2:9" x14ac:dyDescent="0.25">
      <c r="B6" s="349" t="s">
        <v>888</v>
      </c>
      <c r="C6" s="303"/>
      <c r="D6" s="303"/>
      <c r="E6" s="303"/>
      <c r="F6" s="303"/>
      <c r="G6" s="303"/>
      <c r="H6" s="303"/>
      <c r="I6" s="303"/>
    </row>
    <row r="7" spans="2:9" x14ac:dyDescent="0.25">
      <c r="B7" s="303" t="s">
        <v>889</v>
      </c>
      <c r="C7" s="303"/>
      <c r="D7" s="303"/>
      <c r="E7" s="303"/>
      <c r="F7" s="303"/>
      <c r="G7" s="303"/>
      <c r="H7" s="303"/>
      <c r="I7" s="303"/>
    </row>
    <row r="8" spans="2:9" x14ac:dyDescent="0.25">
      <c r="B8" s="303" t="s">
        <v>890</v>
      </c>
      <c r="C8" s="303"/>
      <c r="D8" s="303"/>
      <c r="E8" s="303"/>
      <c r="F8" s="303"/>
      <c r="G8" s="303"/>
      <c r="H8" s="303"/>
      <c r="I8" s="303"/>
    </row>
    <row r="9" spans="2:9" x14ac:dyDescent="0.25">
      <c r="B9" s="303"/>
      <c r="C9" s="303"/>
      <c r="D9" s="303"/>
      <c r="E9" s="303"/>
      <c r="F9" s="303"/>
      <c r="G9" s="303"/>
      <c r="H9" s="303"/>
      <c r="I9" s="303"/>
    </row>
    <row r="10" spans="2:9" x14ac:dyDescent="0.25">
      <c r="B10" s="303" t="s">
        <v>574</v>
      </c>
      <c r="C10" s="303">
        <v>2009</v>
      </c>
      <c r="D10" s="303">
        <v>2008</v>
      </c>
      <c r="E10" s="303">
        <v>2007</v>
      </c>
      <c r="F10" s="303"/>
      <c r="G10" s="303"/>
      <c r="H10" s="303"/>
      <c r="I10" s="303"/>
    </row>
    <row r="11" spans="2:9" x14ac:dyDescent="0.25">
      <c r="B11" s="303" t="s">
        <v>891</v>
      </c>
      <c r="C11" s="303"/>
      <c r="D11" s="303"/>
      <c r="E11" s="303"/>
      <c r="F11" s="303"/>
      <c r="G11" s="303"/>
      <c r="H11" s="303"/>
      <c r="I11" s="303"/>
    </row>
    <row r="12" spans="2:9" x14ac:dyDescent="0.25">
      <c r="B12" s="303" t="s">
        <v>892</v>
      </c>
      <c r="C12" s="326">
        <v>110000</v>
      </c>
      <c r="D12" s="326">
        <v>115000</v>
      </c>
      <c r="E12" s="303"/>
      <c r="F12" s="303"/>
      <c r="G12" s="303"/>
      <c r="H12" s="303"/>
      <c r="I12" s="303"/>
    </row>
    <row r="13" spans="2:9" x14ac:dyDescent="0.25">
      <c r="B13" s="303" t="s">
        <v>893</v>
      </c>
      <c r="C13" s="326">
        <v>175000</v>
      </c>
      <c r="D13" s="326">
        <v>220000</v>
      </c>
      <c r="E13" s="303"/>
      <c r="F13" s="303"/>
      <c r="G13" s="303"/>
      <c r="H13" s="303"/>
      <c r="I13" s="303"/>
    </row>
    <row r="14" spans="2:9" x14ac:dyDescent="0.25">
      <c r="B14" s="303" t="s">
        <v>894</v>
      </c>
      <c r="C14" s="326">
        <v>350000</v>
      </c>
      <c r="D14" s="326">
        <v>400000</v>
      </c>
      <c r="E14" s="303"/>
      <c r="F14" s="303"/>
      <c r="G14" s="303"/>
      <c r="H14" s="303"/>
      <c r="I14" s="303"/>
    </row>
    <row r="15" spans="2:9" x14ac:dyDescent="0.25">
      <c r="B15" s="303" t="s">
        <v>895</v>
      </c>
      <c r="C15" s="326">
        <v>290000</v>
      </c>
      <c r="D15" s="326">
        <v>240000</v>
      </c>
      <c r="E15" s="303"/>
      <c r="F15" s="303"/>
      <c r="G15" s="303"/>
      <c r="H15" s="303"/>
      <c r="I15" s="303"/>
    </row>
    <row r="16" spans="2:9" x14ac:dyDescent="0.25">
      <c r="B16" s="328" t="s">
        <v>896</v>
      </c>
      <c r="C16" s="350">
        <v>55000</v>
      </c>
      <c r="D16" s="350">
        <v>35000</v>
      </c>
      <c r="E16" s="303"/>
      <c r="F16" s="303"/>
      <c r="G16" s="303"/>
      <c r="H16" s="303"/>
      <c r="I16" s="303"/>
    </row>
    <row r="17" spans="2:9" x14ac:dyDescent="0.25">
      <c r="B17" s="303" t="s">
        <v>897</v>
      </c>
      <c r="C17" s="326">
        <v>980000</v>
      </c>
      <c r="D17" s="326">
        <v>1010000</v>
      </c>
      <c r="E17" s="303"/>
      <c r="F17" s="303"/>
      <c r="G17" s="303"/>
      <c r="H17" s="303"/>
      <c r="I17" s="303"/>
    </row>
    <row r="18" spans="2:9" x14ac:dyDescent="0.25">
      <c r="B18" s="303"/>
      <c r="C18" s="326"/>
      <c r="D18" s="326"/>
      <c r="E18" s="303"/>
      <c r="F18" s="303"/>
      <c r="G18" s="303"/>
      <c r="H18" s="303"/>
      <c r="I18" s="303"/>
    </row>
    <row r="19" spans="2:9" x14ac:dyDescent="0.25">
      <c r="B19" s="303" t="s">
        <v>898</v>
      </c>
      <c r="C19" s="326">
        <v>650000</v>
      </c>
      <c r="D19" s="326">
        <v>590000</v>
      </c>
      <c r="E19" s="303"/>
      <c r="F19" s="303"/>
      <c r="G19" s="303"/>
      <c r="H19" s="303"/>
      <c r="I19" s="303"/>
    </row>
    <row r="20" spans="2:9" x14ac:dyDescent="0.25">
      <c r="B20" s="328" t="s">
        <v>899</v>
      </c>
      <c r="C20" s="350">
        <v>-165000</v>
      </c>
      <c r="D20" s="350">
        <v>-130000</v>
      </c>
      <c r="E20" s="303"/>
      <c r="F20" s="303"/>
      <c r="G20" s="303"/>
      <c r="H20" s="303"/>
      <c r="I20" s="303"/>
    </row>
    <row r="21" spans="2:9" x14ac:dyDescent="0.25">
      <c r="B21" s="303" t="s">
        <v>835</v>
      </c>
      <c r="C21" s="326">
        <v>1465000</v>
      </c>
      <c r="D21" s="326">
        <v>1470000</v>
      </c>
      <c r="E21" s="303">
        <v>1450000</v>
      </c>
      <c r="F21" s="303"/>
      <c r="G21" s="303"/>
      <c r="H21" s="303"/>
      <c r="I21" s="303"/>
    </row>
    <row r="22" spans="2:9" x14ac:dyDescent="0.25">
      <c r="B22" s="303"/>
      <c r="C22" s="326"/>
      <c r="D22" s="326"/>
      <c r="E22" s="303"/>
      <c r="F22" s="303"/>
      <c r="G22" s="303"/>
      <c r="H22" s="303"/>
      <c r="I22" s="303"/>
    </row>
    <row r="23" spans="2:9" x14ac:dyDescent="0.25">
      <c r="B23" s="303"/>
      <c r="C23" s="326"/>
      <c r="D23" s="326"/>
      <c r="E23" s="303"/>
      <c r="F23" s="303"/>
      <c r="G23" s="303"/>
      <c r="H23" s="303"/>
      <c r="I23" s="303"/>
    </row>
    <row r="24" spans="2:9" x14ac:dyDescent="0.25">
      <c r="B24" s="303" t="s">
        <v>900</v>
      </c>
      <c r="C24" s="326"/>
      <c r="D24" s="326"/>
      <c r="E24" s="303"/>
      <c r="F24" s="303"/>
      <c r="G24" s="303"/>
      <c r="H24" s="303"/>
      <c r="I24" s="303"/>
    </row>
    <row r="25" spans="2:9" x14ac:dyDescent="0.25">
      <c r="B25" s="303" t="s">
        <v>901</v>
      </c>
      <c r="C25" s="326"/>
      <c r="D25" s="326"/>
      <c r="E25" s="303"/>
      <c r="F25" s="303"/>
      <c r="G25" s="303"/>
      <c r="H25" s="303"/>
      <c r="I25" s="303"/>
    </row>
    <row r="26" spans="2:9" x14ac:dyDescent="0.25">
      <c r="B26" s="303" t="s">
        <v>902</v>
      </c>
      <c r="C26" s="326">
        <v>60000</v>
      </c>
      <c r="D26" s="326">
        <v>50000</v>
      </c>
      <c r="E26" s="303"/>
      <c r="F26" s="303"/>
      <c r="G26" s="303"/>
      <c r="H26" s="303"/>
      <c r="I26" s="303"/>
    </row>
    <row r="27" spans="2:9" x14ac:dyDescent="0.25">
      <c r="B27" s="303" t="s">
        <v>903</v>
      </c>
      <c r="C27" s="326">
        <v>15000</v>
      </c>
      <c r="D27" s="326">
        <v>20000</v>
      </c>
      <c r="E27" s="303"/>
      <c r="F27" s="303"/>
      <c r="G27" s="303"/>
      <c r="H27" s="303"/>
      <c r="I27" s="303"/>
    </row>
    <row r="28" spans="2:9" x14ac:dyDescent="0.25">
      <c r="B28" s="303" t="s">
        <v>904</v>
      </c>
      <c r="C28" s="326">
        <v>50000</v>
      </c>
      <c r="D28" s="326">
        <v>35000</v>
      </c>
      <c r="E28" s="303"/>
      <c r="F28" s="303"/>
      <c r="G28" s="303"/>
      <c r="H28" s="303"/>
      <c r="I28" s="303"/>
    </row>
    <row r="29" spans="2:9" x14ac:dyDescent="0.25">
      <c r="B29" s="303" t="s">
        <v>905</v>
      </c>
      <c r="C29" s="326">
        <v>55000</v>
      </c>
      <c r="D29" s="326">
        <v>35000</v>
      </c>
      <c r="E29" s="303"/>
      <c r="F29" s="303"/>
      <c r="G29" s="303"/>
      <c r="H29" s="303"/>
      <c r="I29" s="303"/>
    </row>
    <row r="30" spans="2:9" x14ac:dyDescent="0.25">
      <c r="B30" s="328" t="s">
        <v>906</v>
      </c>
      <c r="C30" s="350">
        <v>110000</v>
      </c>
      <c r="D30" s="350">
        <v>135000</v>
      </c>
      <c r="E30" s="303"/>
      <c r="F30" s="303"/>
      <c r="G30" s="303"/>
      <c r="H30" s="303"/>
      <c r="I30" s="303"/>
    </row>
    <row r="31" spans="2:9" x14ac:dyDescent="0.25">
      <c r="B31" s="303" t="s">
        <v>907</v>
      </c>
      <c r="C31" s="326">
        <v>290000</v>
      </c>
      <c r="D31" s="326">
        <v>275000</v>
      </c>
      <c r="E31" s="303"/>
      <c r="F31" s="303"/>
      <c r="G31" s="303"/>
      <c r="H31" s="303"/>
      <c r="I31" s="303"/>
    </row>
    <row r="32" spans="2:9" x14ac:dyDescent="0.25">
      <c r="B32" s="303"/>
      <c r="C32" s="326"/>
      <c r="D32" s="326"/>
      <c r="E32" s="303"/>
      <c r="F32" s="303"/>
      <c r="G32" s="303"/>
      <c r="H32" s="303"/>
      <c r="I32" s="303"/>
    </row>
    <row r="33" spans="2:9" x14ac:dyDescent="0.25">
      <c r="B33" s="303" t="s">
        <v>908</v>
      </c>
      <c r="C33" s="326">
        <v>380000</v>
      </c>
      <c r="D33" s="326">
        <v>440000</v>
      </c>
      <c r="E33" s="303"/>
      <c r="F33" s="303"/>
      <c r="G33" s="303"/>
      <c r="H33" s="303"/>
      <c r="I33" s="303"/>
    </row>
    <row r="34" spans="2:9" x14ac:dyDescent="0.25">
      <c r="B34" s="303" t="s">
        <v>909</v>
      </c>
      <c r="C34" s="326">
        <v>220000</v>
      </c>
      <c r="D34" s="326">
        <v>170000</v>
      </c>
      <c r="E34" s="356">
        <v>450000</v>
      </c>
      <c r="F34" s="303"/>
      <c r="G34" s="303"/>
      <c r="H34" s="303"/>
      <c r="I34" s="303"/>
    </row>
    <row r="35" spans="2:9" x14ac:dyDescent="0.25">
      <c r="B35" s="303" t="s">
        <v>910</v>
      </c>
      <c r="C35" s="326">
        <v>145000</v>
      </c>
      <c r="D35" s="326">
        <v>115000</v>
      </c>
      <c r="E35" s="356"/>
      <c r="F35" s="303"/>
      <c r="G35" s="303"/>
      <c r="H35" s="303"/>
      <c r="I35" s="303"/>
    </row>
    <row r="36" spans="2:9" x14ac:dyDescent="0.25">
      <c r="B36" s="328" t="s">
        <v>911</v>
      </c>
      <c r="C36" s="350">
        <v>430000</v>
      </c>
      <c r="D36" s="350">
        <v>470000</v>
      </c>
      <c r="E36" s="356"/>
      <c r="F36" s="303"/>
      <c r="G36" s="303"/>
      <c r="H36" s="303"/>
      <c r="I36" s="303"/>
    </row>
    <row r="37" spans="2:9" x14ac:dyDescent="0.25">
      <c r="B37" s="303" t="s">
        <v>912</v>
      </c>
      <c r="C37" s="326">
        <v>1465000</v>
      </c>
      <c r="D37" s="326">
        <v>1470000</v>
      </c>
      <c r="E37" s="303"/>
      <c r="F37" s="303"/>
      <c r="G37" s="303"/>
      <c r="H37" s="303"/>
      <c r="I37" s="303"/>
    </row>
    <row r="38" spans="2:9" x14ac:dyDescent="0.25">
      <c r="B38" s="303"/>
      <c r="C38" s="303"/>
      <c r="D38" s="303"/>
      <c r="E38" s="303"/>
      <c r="F38" s="303"/>
      <c r="G38" s="303"/>
      <c r="H38" s="303"/>
      <c r="I38" s="303"/>
    </row>
    <row r="39" spans="2:9" x14ac:dyDescent="0.25">
      <c r="B39" s="303"/>
      <c r="C39" s="303"/>
      <c r="D39" s="303"/>
      <c r="E39" s="303"/>
      <c r="F39" s="303"/>
      <c r="G39" s="303"/>
      <c r="H39" s="303"/>
      <c r="I39" s="303"/>
    </row>
    <row r="40" spans="2:9" x14ac:dyDescent="0.25">
      <c r="B40" s="303" t="s">
        <v>913</v>
      </c>
      <c r="C40" s="303"/>
      <c r="D40" s="303"/>
      <c r="E40" s="303"/>
      <c r="F40" s="303"/>
      <c r="G40" s="303"/>
      <c r="H40" s="303"/>
      <c r="I40" s="303"/>
    </row>
    <row r="41" spans="2:9" x14ac:dyDescent="0.25">
      <c r="B41" s="303"/>
      <c r="C41" s="303"/>
      <c r="D41" s="303"/>
      <c r="E41" s="303"/>
      <c r="F41" s="303"/>
      <c r="G41" s="303"/>
      <c r="H41" s="303"/>
      <c r="I41" s="303"/>
    </row>
    <row r="42" spans="2:9" x14ac:dyDescent="0.25">
      <c r="B42" s="303" t="s">
        <v>569</v>
      </c>
      <c r="C42" s="303">
        <v>2009</v>
      </c>
      <c r="D42" s="303">
        <v>2008</v>
      </c>
      <c r="E42" s="303"/>
      <c r="F42" s="303"/>
      <c r="G42" s="303"/>
      <c r="H42" s="303"/>
      <c r="I42" s="303"/>
    </row>
    <row r="43" spans="2:9" x14ac:dyDescent="0.25">
      <c r="B43" s="303" t="s">
        <v>914</v>
      </c>
      <c r="C43" s="303"/>
      <c r="D43" s="303"/>
      <c r="E43" s="303"/>
      <c r="F43" s="303"/>
      <c r="G43" s="303"/>
      <c r="H43" s="303"/>
      <c r="I43" s="303"/>
    </row>
    <row r="44" spans="2:9" x14ac:dyDescent="0.25">
      <c r="B44" s="303" t="s">
        <v>915</v>
      </c>
      <c r="C44" s="326">
        <v>1405000</v>
      </c>
      <c r="D44" s="326">
        <v>1255000</v>
      </c>
      <c r="E44" s="303"/>
      <c r="F44" s="303"/>
      <c r="G44" s="303"/>
      <c r="H44" s="303"/>
      <c r="I44" s="303"/>
    </row>
    <row r="45" spans="2:9" x14ac:dyDescent="0.25">
      <c r="B45" s="328" t="s">
        <v>916</v>
      </c>
      <c r="C45" s="350">
        <v>2450000</v>
      </c>
      <c r="D45" s="350">
        <v>3010000</v>
      </c>
      <c r="E45" s="303"/>
      <c r="F45" s="303"/>
      <c r="G45" s="303"/>
      <c r="H45" s="303"/>
      <c r="I45" s="303"/>
    </row>
    <row r="46" spans="2:9" x14ac:dyDescent="0.25">
      <c r="B46" s="303" t="s">
        <v>917</v>
      </c>
      <c r="C46" s="326">
        <v>3855000</v>
      </c>
      <c r="D46" s="326">
        <v>4265000</v>
      </c>
      <c r="E46" s="303"/>
      <c r="F46" s="303"/>
      <c r="G46" s="303"/>
      <c r="H46" s="303"/>
      <c r="I46" s="303"/>
    </row>
    <row r="47" spans="2:9" x14ac:dyDescent="0.25">
      <c r="B47" s="303"/>
      <c r="C47" s="326"/>
      <c r="D47" s="326"/>
      <c r="E47" s="303"/>
      <c r="F47" s="303"/>
      <c r="G47" s="303"/>
      <c r="H47" s="303"/>
      <c r="I47" s="303"/>
    </row>
    <row r="48" spans="2:9" x14ac:dyDescent="0.25">
      <c r="B48" s="303" t="s">
        <v>918</v>
      </c>
      <c r="C48" s="326"/>
      <c r="D48" s="326"/>
      <c r="E48" s="303"/>
      <c r="F48" s="303"/>
      <c r="G48" s="303"/>
      <c r="H48" s="303"/>
      <c r="I48" s="303"/>
    </row>
    <row r="49" spans="2:9" x14ac:dyDescent="0.25">
      <c r="B49" s="303" t="s">
        <v>919</v>
      </c>
      <c r="C49" s="326">
        <v>240000</v>
      </c>
      <c r="D49" s="326">
        <v>300000</v>
      </c>
      <c r="E49" s="303"/>
      <c r="F49" s="303"/>
      <c r="G49" s="303"/>
      <c r="H49" s="303"/>
      <c r="I49" s="303"/>
    </row>
    <row r="50" spans="2:9" x14ac:dyDescent="0.25">
      <c r="B50" s="303" t="s">
        <v>920</v>
      </c>
      <c r="C50" s="326">
        <v>1755000</v>
      </c>
      <c r="D50" s="326">
        <v>2005000</v>
      </c>
      <c r="E50" s="303"/>
      <c r="F50" s="303"/>
      <c r="G50" s="303"/>
      <c r="H50" s="303"/>
      <c r="I50" s="303"/>
    </row>
    <row r="51" spans="2:9" x14ac:dyDescent="0.25">
      <c r="B51" s="303" t="s">
        <v>921</v>
      </c>
      <c r="C51" s="326">
        <v>1995000</v>
      </c>
      <c r="D51" s="326">
        <v>2305000</v>
      </c>
      <c r="E51" s="303"/>
      <c r="F51" s="303"/>
      <c r="G51" s="303"/>
      <c r="H51" s="303"/>
      <c r="I51" s="303"/>
    </row>
    <row r="52" spans="2:9" x14ac:dyDescent="0.25">
      <c r="B52" s="328" t="s">
        <v>922</v>
      </c>
      <c r="C52" s="350">
        <v>290000</v>
      </c>
      <c r="D52" s="350">
        <v>240000</v>
      </c>
      <c r="E52" s="303"/>
      <c r="F52" s="303"/>
      <c r="G52" s="303"/>
      <c r="H52" s="303"/>
      <c r="I52" s="303"/>
    </row>
    <row r="53" spans="2:9" x14ac:dyDescent="0.25">
      <c r="B53" s="303" t="s">
        <v>923</v>
      </c>
      <c r="C53" s="326">
        <v>1705000</v>
      </c>
      <c r="D53" s="326">
        <v>2065000</v>
      </c>
      <c r="E53" s="303"/>
      <c r="F53" s="303"/>
      <c r="G53" s="303"/>
      <c r="H53" s="303"/>
      <c r="I53" s="303"/>
    </row>
    <row r="54" spans="2:9" x14ac:dyDescent="0.25">
      <c r="B54" s="303"/>
      <c r="C54" s="326"/>
      <c r="D54" s="326"/>
      <c r="E54" s="303"/>
      <c r="F54" s="303"/>
      <c r="G54" s="303"/>
      <c r="H54" s="303"/>
      <c r="I54" s="303"/>
    </row>
    <row r="55" spans="2:9" x14ac:dyDescent="0.25">
      <c r="B55" s="303" t="s">
        <v>924</v>
      </c>
      <c r="C55" s="326">
        <v>2150000</v>
      </c>
      <c r="D55" s="326">
        <v>2200000</v>
      </c>
      <c r="E55" s="303"/>
      <c r="F55" s="303"/>
      <c r="G55" s="303"/>
      <c r="H55" s="303"/>
      <c r="I55" s="303"/>
    </row>
    <row r="56" spans="2:9" x14ac:dyDescent="0.25">
      <c r="B56" s="303"/>
      <c r="C56" s="326"/>
      <c r="D56" s="326"/>
      <c r="E56" s="303"/>
      <c r="F56" s="303"/>
      <c r="G56" s="303"/>
      <c r="H56" s="303"/>
      <c r="I56" s="303"/>
    </row>
    <row r="57" spans="2:9" x14ac:dyDescent="0.25">
      <c r="B57" s="303"/>
      <c r="C57" s="326"/>
      <c r="D57" s="326"/>
      <c r="E57" s="303"/>
      <c r="F57" s="303"/>
      <c r="G57" s="303"/>
      <c r="H57" s="303"/>
      <c r="I57" s="303"/>
    </row>
    <row r="58" spans="2:9" x14ac:dyDescent="0.25">
      <c r="B58" s="303" t="s">
        <v>925</v>
      </c>
      <c r="C58" s="326"/>
      <c r="D58" s="326"/>
      <c r="E58" s="303"/>
      <c r="F58" s="303"/>
      <c r="G58" s="303"/>
      <c r="H58" s="303"/>
      <c r="I58" s="303"/>
    </row>
    <row r="59" spans="2:9" x14ac:dyDescent="0.25">
      <c r="B59" s="303" t="s">
        <v>926</v>
      </c>
      <c r="C59" s="326">
        <v>-95000</v>
      </c>
      <c r="D59" s="326">
        <v>-100000</v>
      </c>
      <c r="E59" s="303"/>
      <c r="F59" s="303"/>
      <c r="G59" s="303"/>
      <c r="H59" s="303"/>
      <c r="I59" s="303"/>
    </row>
    <row r="60" spans="2:9" x14ac:dyDescent="0.25">
      <c r="B60" s="303" t="s">
        <v>927</v>
      </c>
      <c r="C60" s="326">
        <v>-470000</v>
      </c>
      <c r="D60" s="326">
        <v>-450000</v>
      </c>
      <c r="E60" s="303"/>
      <c r="F60" s="303"/>
      <c r="G60" s="303"/>
      <c r="H60" s="303"/>
      <c r="I60" s="303"/>
    </row>
    <row r="61" spans="2:9" x14ac:dyDescent="0.25">
      <c r="B61" s="303" t="s">
        <v>928</v>
      </c>
      <c r="C61" s="326">
        <v>-580000</v>
      </c>
      <c r="D61" s="326">
        <v>-620000</v>
      </c>
      <c r="E61" s="303"/>
      <c r="F61" s="303"/>
      <c r="G61" s="303"/>
      <c r="H61" s="303"/>
      <c r="I61" s="303"/>
    </row>
    <row r="62" spans="2:9" x14ac:dyDescent="0.25">
      <c r="B62" s="303" t="s">
        <v>929</v>
      </c>
      <c r="C62" s="326">
        <v>1005000</v>
      </c>
      <c r="D62" s="326">
        <v>1030000</v>
      </c>
      <c r="E62" s="303"/>
      <c r="F62" s="303"/>
      <c r="G62" s="303"/>
      <c r="H62" s="303"/>
      <c r="I62" s="303"/>
    </row>
    <row r="63" spans="2:9" x14ac:dyDescent="0.25">
      <c r="B63" s="303" t="s">
        <v>843</v>
      </c>
      <c r="C63" s="326">
        <v>150000</v>
      </c>
      <c r="D63" s="326">
        <v>165000</v>
      </c>
      <c r="E63" s="303"/>
      <c r="F63" s="303"/>
      <c r="G63" s="303"/>
      <c r="H63" s="303"/>
      <c r="I63" s="303"/>
    </row>
    <row r="64" spans="2:9" x14ac:dyDescent="0.25">
      <c r="B64" s="303" t="s">
        <v>930</v>
      </c>
      <c r="C64" s="326">
        <v>855000</v>
      </c>
      <c r="D64" s="326">
        <v>865000</v>
      </c>
      <c r="E64" s="303"/>
      <c r="F64" s="303"/>
      <c r="G64" s="303"/>
      <c r="H64" s="303"/>
      <c r="I64" s="303"/>
    </row>
    <row r="65" spans="2:9" x14ac:dyDescent="0.25">
      <c r="B65" s="328" t="s">
        <v>844</v>
      </c>
      <c r="C65" s="350">
        <v>345000</v>
      </c>
      <c r="D65" s="350">
        <v>350000</v>
      </c>
      <c r="E65" s="303"/>
      <c r="F65" s="303"/>
      <c r="G65" s="303"/>
      <c r="H65" s="303"/>
      <c r="I65" s="303"/>
    </row>
    <row r="66" spans="2:9" x14ac:dyDescent="0.25">
      <c r="B66" s="303" t="s">
        <v>725</v>
      </c>
      <c r="C66" s="326">
        <v>510000</v>
      </c>
      <c r="D66" s="326">
        <v>515000</v>
      </c>
      <c r="E66" s="303"/>
      <c r="F66" s="303"/>
      <c r="G66" s="303"/>
      <c r="H66" s="303"/>
      <c r="I66" s="303"/>
    </row>
    <row r="67" spans="2:9" x14ac:dyDescent="0.25">
      <c r="B67" s="303"/>
      <c r="C67" s="326"/>
      <c r="D67" s="326"/>
      <c r="E67" s="303"/>
      <c r="F67" s="303"/>
      <c r="G67" s="303"/>
      <c r="H67" s="303"/>
      <c r="I67" s="303"/>
    </row>
    <row r="68" spans="2:9" x14ac:dyDescent="0.25">
      <c r="B68" s="303"/>
      <c r="C68" s="326"/>
      <c r="D68" s="326"/>
      <c r="E68" s="303"/>
      <c r="F68" s="303"/>
      <c r="G68" s="303"/>
      <c r="H68" s="303"/>
      <c r="I68" s="303"/>
    </row>
    <row r="69" spans="2:9" x14ac:dyDescent="0.25">
      <c r="B69" s="303" t="s">
        <v>931</v>
      </c>
      <c r="C69" s="326"/>
      <c r="D69" s="326"/>
      <c r="E69" s="303"/>
      <c r="F69" s="303"/>
      <c r="G69" s="303"/>
      <c r="H69" s="303"/>
      <c r="I69" s="303"/>
    </row>
    <row r="70" spans="2:9" x14ac:dyDescent="0.25">
      <c r="B70" s="303" t="s">
        <v>932</v>
      </c>
      <c r="C70" s="326">
        <v>470000</v>
      </c>
      <c r="D70" s="326">
        <v>165000</v>
      </c>
      <c r="E70" s="303"/>
      <c r="F70" s="303"/>
      <c r="G70" s="303"/>
      <c r="H70" s="303"/>
      <c r="I70" s="303"/>
    </row>
    <row r="71" spans="2:9" x14ac:dyDescent="0.25">
      <c r="B71" s="303" t="s">
        <v>933</v>
      </c>
      <c r="C71" s="326">
        <v>510000</v>
      </c>
      <c r="D71" s="326">
        <v>515000</v>
      </c>
      <c r="E71" s="303"/>
      <c r="F71" s="303"/>
      <c r="G71" s="303"/>
      <c r="H71" s="303"/>
      <c r="I71" s="303"/>
    </row>
    <row r="72" spans="2:9" x14ac:dyDescent="0.25">
      <c r="B72" s="328" t="s">
        <v>934</v>
      </c>
      <c r="C72" s="350">
        <v>-550000</v>
      </c>
      <c r="D72" s="350">
        <v>-210000</v>
      </c>
      <c r="E72" s="303"/>
      <c r="F72" s="303"/>
      <c r="G72" s="303"/>
      <c r="H72" s="303"/>
      <c r="I72" s="303"/>
    </row>
    <row r="73" spans="2:9" x14ac:dyDescent="0.25">
      <c r="B73" s="303" t="s">
        <v>935</v>
      </c>
      <c r="C73" s="326">
        <v>430000</v>
      </c>
      <c r="D73" s="326">
        <v>470000</v>
      </c>
      <c r="E73" s="303"/>
      <c r="F73" s="303"/>
      <c r="G73" s="303"/>
      <c r="H73" s="303"/>
      <c r="I73" s="303"/>
    </row>
    <row r="74" spans="2:9" x14ac:dyDescent="0.25">
      <c r="B74" s="303"/>
      <c r="C74" s="303"/>
      <c r="D74" s="303"/>
      <c r="E74" s="303"/>
      <c r="F74" s="303"/>
      <c r="G74" s="303"/>
      <c r="H74" s="303"/>
      <c r="I74" s="303"/>
    </row>
    <row r="75" spans="2:9" x14ac:dyDescent="0.25">
      <c r="B75" s="303"/>
      <c r="C75" s="303"/>
      <c r="D75" s="303"/>
      <c r="E75" s="303"/>
      <c r="F75" s="303"/>
      <c r="G75" s="303"/>
      <c r="H75" s="303"/>
      <c r="I75" s="303"/>
    </row>
    <row r="76" spans="2:9" x14ac:dyDescent="0.25">
      <c r="B76" s="303" t="s">
        <v>936</v>
      </c>
      <c r="C76" s="303"/>
      <c r="D76" s="303"/>
      <c r="E76" s="303"/>
      <c r="F76" s="303"/>
      <c r="G76" s="303"/>
      <c r="H76" s="303"/>
      <c r="I76" s="303"/>
    </row>
    <row r="77" spans="2:9" x14ac:dyDescent="0.25">
      <c r="B77" s="303" t="s">
        <v>937</v>
      </c>
      <c r="C77" s="303"/>
      <c r="D77" s="303"/>
      <c r="E77" s="303"/>
      <c r="F77" s="303"/>
      <c r="G77" s="303"/>
      <c r="H77" s="303"/>
      <c r="I77" s="303"/>
    </row>
    <row r="78" spans="2:9" x14ac:dyDescent="0.25">
      <c r="B78" s="357" t="s">
        <v>938</v>
      </c>
      <c r="C78" s="303"/>
      <c r="D78" s="303"/>
      <c r="E78" s="303"/>
      <c r="F78" s="303"/>
      <c r="G78" s="303"/>
      <c r="H78" s="303"/>
      <c r="I78" s="303"/>
    </row>
    <row r="79" spans="2:9" x14ac:dyDescent="0.25">
      <c r="B79" s="303"/>
      <c r="C79" s="303"/>
      <c r="D79" s="303"/>
      <c r="E79" s="303"/>
      <c r="F79" s="303"/>
      <c r="G79" s="303"/>
      <c r="H79" s="303"/>
      <c r="I79" s="303"/>
    </row>
    <row r="80" spans="2:9" x14ac:dyDescent="0.25">
      <c r="B80" s="303"/>
      <c r="C80" s="303"/>
      <c r="D80" s="303"/>
      <c r="E80" s="303"/>
      <c r="F80" s="303"/>
      <c r="G80" s="303"/>
      <c r="H80" s="303"/>
      <c r="I80" s="303"/>
    </row>
    <row r="81" spans="2:9" x14ac:dyDescent="0.25">
      <c r="B81" s="303" t="s">
        <v>848</v>
      </c>
      <c r="C81" s="303"/>
      <c r="D81" s="303"/>
      <c r="E81" s="303"/>
      <c r="F81" s="303"/>
      <c r="G81" s="303"/>
      <c r="H81" s="303"/>
      <c r="I81" s="303"/>
    </row>
    <row r="82" spans="2:9" x14ac:dyDescent="0.25">
      <c r="B82" s="303" t="s">
        <v>939</v>
      </c>
      <c r="C82" s="303"/>
      <c r="D82" s="303"/>
      <c r="E82" s="303"/>
      <c r="F82" s="303"/>
      <c r="G82" s="303"/>
      <c r="H82" s="303"/>
      <c r="I82" s="303"/>
    </row>
    <row r="83" spans="2:9" x14ac:dyDescent="0.25">
      <c r="B83" s="303" t="s">
        <v>940</v>
      </c>
      <c r="C83" s="303"/>
      <c r="D83" s="303"/>
      <c r="E83" s="303"/>
      <c r="F83" s="303"/>
      <c r="G83" s="303"/>
      <c r="H83" s="303"/>
      <c r="I83" s="303"/>
    </row>
    <row r="84" spans="2:9" x14ac:dyDescent="0.25">
      <c r="B84" s="303"/>
      <c r="C84" s="303"/>
      <c r="D84" s="303"/>
      <c r="E84" s="303"/>
      <c r="F84" s="303"/>
      <c r="G84" s="303"/>
      <c r="H84" s="303"/>
      <c r="I84" s="303"/>
    </row>
    <row r="85" spans="2:9" x14ac:dyDescent="0.25">
      <c r="B85" s="303" t="s">
        <v>941</v>
      </c>
      <c r="C85" s="303"/>
      <c r="D85" s="303"/>
      <c r="E85" s="303"/>
      <c r="F85" s="303"/>
      <c r="G85" s="303"/>
      <c r="H85" s="303"/>
      <c r="I85" s="303"/>
    </row>
    <row r="86" spans="2:9" x14ac:dyDescent="0.25">
      <c r="B86" s="303" t="s">
        <v>942</v>
      </c>
      <c r="C86" s="329">
        <f>SUM(C34:C36)</f>
        <v>795000</v>
      </c>
      <c r="D86" s="329">
        <f>SUM(D34:D36)</f>
        <v>755000</v>
      </c>
      <c r="E86" s="329">
        <f>SUM(E34:E35)</f>
        <v>450000</v>
      </c>
      <c r="F86" s="303"/>
      <c r="G86" s="303"/>
      <c r="H86" s="303"/>
      <c r="I86" s="303"/>
    </row>
    <row r="87" spans="2:9" x14ac:dyDescent="0.25">
      <c r="B87" s="303" t="s">
        <v>851</v>
      </c>
      <c r="C87" s="354">
        <f>C66/((C86+D86)/2)</f>
        <v>0.65806451612903227</v>
      </c>
      <c r="D87" s="354">
        <f>D66/((D86+E86)/2)</f>
        <v>0.85477178423236511</v>
      </c>
      <c r="E87" s="303"/>
      <c r="F87" s="303"/>
      <c r="G87" s="303"/>
      <c r="H87" s="303"/>
      <c r="I87" s="303"/>
    </row>
    <row r="88" spans="2:9" x14ac:dyDescent="0.25">
      <c r="B88" s="303"/>
      <c r="C88" s="303"/>
      <c r="D88" s="303"/>
      <c r="E88" s="303"/>
      <c r="F88" s="303"/>
      <c r="G88" s="303"/>
      <c r="H88" s="303"/>
      <c r="I88" s="303"/>
    </row>
    <row r="89" spans="2:9" x14ac:dyDescent="0.25">
      <c r="B89" s="303" t="s">
        <v>943</v>
      </c>
      <c r="C89" s="303"/>
      <c r="D89" s="303"/>
      <c r="E89" s="303"/>
      <c r="F89" s="303"/>
      <c r="G89" s="303"/>
      <c r="H89" s="303"/>
      <c r="I89" s="303"/>
    </row>
    <row r="90" spans="2:9" x14ac:dyDescent="0.25">
      <c r="B90" s="303"/>
      <c r="C90" s="303"/>
      <c r="D90" s="303"/>
      <c r="E90" s="303"/>
      <c r="F90" s="303"/>
      <c r="G90" s="303"/>
      <c r="H90" s="303"/>
      <c r="I90" s="303"/>
    </row>
    <row r="91" spans="2:9" x14ac:dyDescent="0.25">
      <c r="B91" s="303" t="s">
        <v>854</v>
      </c>
      <c r="C91" s="354">
        <f>(C66+C63*(1-0.4))/((C21+D21)/2)</f>
        <v>0.40885860306643951</v>
      </c>
      <c r="D91" s="354">
        <f>(D66+D63*(1-0.4))/((D21+E21)/2)</f>
        <v>0.42054794520547945</v>
      </c>
      <c r="E91" s="303"/>
      <c r="F91" s="303"/>
      <c r="G91" s="303"/>
      <c r="H91" s="303"/>
      <c r="I91" s="303"/>
    </row>
    <row r="92" spans="2:9" x14ac:dyDescent="0.25">
      <c r="B92" s="303"/>
      <c r="C92" s="303"/>
      <c r="D92" s="303"/>
      <c r="E92" s="303"/>
      <c r="F92" s="303"/>
      <c r="G92" s="303"/>
      <c r="H92" s="303"/>
      <c r="I92" s="303"/>
    </row>
    <row r="93" spans="2:9" x14ac:dyDescent="0.25">
      <c r="B93" s="303" t="s">
        <v>944</v>
      </c>
      <c r="C93" s="354">
        <f>C87-C91</f>
        <v>0.24920591306259277</v>
      </c>
      <c r="D93" s="354">
        <f>D87-D91</f>
        <v>0.43422383902688566</v>
      </c>
      <c r="E93" s="303"/>
      <c r="F93" s="303"/>
      <c r="G93" s="303"/>
      <c r="H93" s="303"/>
      <c r="I93" s="303"/>
    </row>
    <row r="94" spans="2:9" x14ac:dyDescent="0.25">
      <c r="B94" s="303"/>
      <c r="C94" s="303"/>
      <c r="D94" s="303"/>
      <c r="E94" s="303"/>
      <c r="F94" s="303"/>
      <c r="G94" s="303"/>
      <c r="H94" s="303"/>
      <c r="I94" s="303"/>
    </row>
    <row r="95" spans="2:9" x14ac:dyDescent="0.25">
      <c r="B95" s="303"/>
      <c r="C95" s="303"/>
      <c r="D95" s="303"/>
      <c r="E95" s="303"/>
      <c r="F95" s="303"/>
      <c r="G95" s="303"/>
      <c r="H95" s="303"/>
      <c r="I95" s="303"/>
    </row>
    <row r="96" spans="2:9" x14ac:dyDescent="0.25">
      <c r="B96" s="303" t="s">
        <v>945</v>
      </c>
      <c r="C96" s="303"/>
      <c r="D96" s="303"/>
      <c r="E96" s="303"/>
      <c r="F96" s="303"/>
      <c r="G96" s="303"/>
      <c r="H96" s="303"/>
      <c r="I96" s="303"/>
    </row>
    <row r="97" spans="2:9" x14ac:dyDescent="0.25">
      <c r="B97" s="303"/>
      <c r="C97" s="303"/>
      <c r="D97" s="303"/>
      <c r="E97" s="303"/>
      <c r="F97" s="303"/>
      <c r="G97" s="303"/>
      <c r="H97" s="303"/>
      <c r="I97" s="303"/>
    </row>
    <row r="98" spans="2:9" x14ac:dyDescent="0.25">
      <c r="B98" s="303" t="s">
        <v>946</v>
      </c>
      <c r="C98" s="303">
        <f>C17/C31</f>
        <v>3.3793103448275863</v>
      </c>
      <c r="D98" s="303">
        <f>D17/D31</f>
        <v>3.6727272727272728</v>
      </c>
      <c r="E98" s="303"/>
      <c r="F98" s="303"/>
      <c r="G98" s="303"/>
      <c r="H98" s="303"/>
      <c r="I98" s="303"/>
    </row>
    <row r="99" spans="2:9" x14ac:dyDescent="0.25">
      <c r="B99" s="303" t="s">
        <v>947</v>
      </c>
      <c r="C99" s="358">
        <f>(C12+C13+C14)/C31</f>
        <v>2.1896551724137931</v>
      </c>
      <c r="D99" s="358">
        <f>(D12+D13+D14)/D31</f>
        <v>2.6727272727272728</v>
      </c>
      <c r="E99" s="303"/>
      <c r="F99" s="303"/>
      <c r="G99" s="303"/>
      <c r="H99" s="303"/>
      <c r="I99" s="303"/>
    </row>
    <row r="100" spans="2:9" x14ac:dyDescent="0.25">
      <c r="B100" s="303"/>
      <c r="C100" s="303"/>
      <c r="D100" s="303"/>
      <c r="E100" s="303"/>
      <c r="F100" s="303"/>
      <c r="G100" s="303"/>
      <c r="H100" s="303"/>
      <c r="I100" s="303"/>
    </row>
    <row r="101" spans="2:9" x14ac:dyDescent="0.25">
      <c r="B101" s="303" t="s">
        <v>948</v>
      </c>
      <c r="C101" s="303"/>
      <c r="D101" s="303"/>
      <c r="E101" s="303"/>
      <c r="F101" s="303"/>
      <c r="G101" s="303"/>
      <c r="H101" s="303"/>
      <c r="I101" s="303"/>
    </row>
    <row r="102" spans="2:9" x14ac:dyDescent="0.25">
      <c r="B102" s="303" t="s">
        <v>949</v>
      </c>
      <c r="C102" s="303">
        <v>54</v>
      </c>
      <c r="D102" s="303">
        <v>69</v>
      </c>
      <c r="E102" s="303">
        <v>65</v>
      </c>
      <c r="F102" s="303"/>
      <c r="G102" s="303"/>
      <c r="H102" s="303"/>
      <c r="I102" s="303"/>
    </row>
    <row r="103" spans="2:9" x14ac:dyDescent="0.25">
      <c r="B103" s="303" t="s">
        <v>950</v>
      </c>
      <c r="C103" s="303">
        <f>C66/((C34/10+D34/10)/2)</f>
        <v>26.153846153846153</v>
      </c>
      <c r="D103" s="303">
        <f>D66/((D34/10+D34/10)/2)</f>
        <v>30.294117647058822</v>
      </c>
      <c r="E103" s="303"/>
      <c r="F103" s="303"/>
      <c r="G103" s="303"/>
      <c r="H103" s="303"/>
      <c r="I103" s="303"/>
    </row>
    <row r="104" spans="2:9" x14ac:dyDescent="0.25">
      <c r="B104" s="303"/>
      <c r="C104" s="303"/>
      <c r="D104" s="303"/>
      <c r="E104" s="303"/>
      <c r="F104" s="303"/>
      <c r="G104" s="303"/>
      <c r="H104" s="303"/>
      <c r="I104" s="303"/>
    </row>
    <row r="105" spans="2:9" x14ac:dyDescent="0.25">
      <c r="B105" s="303" t="s">
        <v>951</v>
      </c>
      <c r="C105" s="303">
        <f>+C102/C103</f>
        <v>2.0647058823529414</v>
      </c>
      <c r="D105" s="303">
        <f>+D102/D103</f>
        <v>2.2776699029126215</v>
      </c>
      <c r="E105" s="303"/>
      <c r="F105" s="303"/>
      <c r="G105" s="303"/>
      <c r="H105" s="303"/>
      <c r="I105" s="303"/>
    </row>
    <row r="106" spans="2:9" x14ac:dyDescent="0.25">
      <c r="B106" s="303"/>
      <c r="C106" s="303"/>
      <c r="D106" s="303"/>
      <c r="E106" s="303"/>
      <c r="F106" s="303"/>
      <c r="G106" s="303"/>
      <c r="H106" s="303"/>
      <c r="I106" s="303"/>
    </row>
    <row r="107" spans="2:9" x14ac:dyDescent="0.25">
      <c r="B107" s="303" t="s">
        <v>952</v>
      </c>
      <c r="C107" s="303"/>
      <c r="D107" s="303"/>
      <c r="E107" s="303"/>
      <c r="F107" s="303"/>
      <c r="G107" s="303"/>
      <c r="H107" s="303"/>
      <c r="I107" s="303"/>
    </row>
    <row r="108" spans="2:9" x14ac:dyDescent="0.25">
      <c r="B108" s="303"/>
      <c r="C108" s="303"/>
      <c r="D108" s="303"/>
      <c r="E108" s="303"/>
      <c r="F108" s="303"/>
      <c r="G108" s="303"/>
      <c r="H108" s="303"/>
      <c r="I108" s="303"/>
    </row>
    <row r="109" spans="2:9" x14ac:dyDescent="0.25">
      <c r="B109" s="303" t="s">
        <v>953</v>
      </c>
      <c r="C109" s="359">
        <f>C45/C14</f>
        <v>7</v>
      </c>
      <c r="D109" s="359">
        <f>D45/D14</f>
        <v>7.5250000000000004</v>
      </c>
      <c r="E109" s="303"/>
      <c r="F109" s="303"/>
      <c r="G109" s="303"/>
      <c r="H109" s="303"/>
      <c r="I109" s="303"/>
    </row>
    <row r="110" spans="2:9" x14ac:dyDescent="0.25">
      <c r="B110" s="303" t="s">
        <v>954</v>
      </c>
      <c r="C110" s="303">
        <f>365/C109</f>
        <v>52.142857142857146</v>
      </c>
      <c r="D110" s="303">
        <f>365/D109</f>
        <v>48.504983388704318</v>
      </c>
      <c r="E110" s="303"/>
      <c r="F110" s="303"/>
      <c r="G110" s="303"/>
      <c r="H110" s="303"/>
      <c r="I110" s="303"/>
    </row>
    <row r="111" spans="2:9" x14ac:dyDescent="0.25">
      <c r="B111" s="303"/>
      <c r="C111" s="303"/>
      <c r="D111" s="303"/>
      <c r="E111" s="303"/>
      <c r="F111" s="303"/>
      <c r="G111" s="303"/>
      <c r="H111" s="303"/>
      <c r="I111" s="303"/>
    </row>
  </sheetData>
  <hyperlinks>
    <hyperlink ref="F3" location="Regnskaber!A1" display="Regnskaber!A1" xr:uid="{00000000-0004-0000-15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D2"/>
  <sheetViews>
    <sheetView workbookViewId="0"/>
  </sheetViews>
  <sheetFormatPr defaultColWidth="10.875" defaultRowHeight="15.75" x14ac:dyDescent="0.25"/>
  <cols>
    <col min="1" max="16384" width="10.875" style="1"/>
  </cols>
  <sheetData>
    <row r="2" spans="4:4" x14ac:dyDescent="0.25">
      <c r="D2" s="204" t="s">
        <v>1220</v>
      </c>
    </row>
  </sheetData>
  <hyperlinks>
    <hyperlink ref="D2" location="Regnskaber!A1" display="Regnskaber!A1" xr:uid="{00000000-0004-0000-1600-000000000000}"/>
  </hyperlinks>
  <pageMargins left="0.75" right="0.75" top="1" bottom="1" header="0.5" footer="0.5"/>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F0"/>
  </sheetPr>
  <dimension ref="E3"/>
  <sheetViews>
    <sheetView workbookViewId="0">
      <selection activeCell="E3" sqref="E3"/>
    </sheetView>
  </sheetViews>
  <sheetFormatPr defaultColWidth="10.875" defaultRowHeight="15.75" x14ac:dyDescent="0.25"/>
  <cols>
    <col min="1" max="16384" width="10.875" style="1"/>
  </cols>
  <sheetData>
    <row r="3" spans="5:5" x14ac:dyDescent="0.25">
      <c r="E3" s="101" t="s">
        <v>1025</v>
      </c>
    </row>
  </sheetData>
  <hyperlinks>
    <hyperlink ref="E3" location="Investeringsteori!A1" display="Investeringsteori" xr:uid="{00000000-0004-0000-1700-000000000000}"/>
  </hyperlinks>
  <pageMargins left="0.75" right="0.75" top="1" bottom="1" header="0.5" footer="0.5"/>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F0"/>
  </sheetPr>
  <dimension ref="D4"/>
  <sheetViews>
    <sheetView workbookViewId="0"/>
  </sheetViews>
  <sheetFormatPr defaultColWidth="10.875" defaultRowHeight="15.75" x14ac:dyDescent="0.25"/>
  <cols>
    <col min="1" max="16384" width="10.875" style="1"/>
  </cols>
  <sheetData>
    <row r="4" spans="4:4" x14ac:dyDescent="0.25">
      <c r="D4" s="101" t="s">
        <v>1025</v>
      </c>
    </row>
  </sheetData>
  <hyperlinks>
    <hyperlink ref="D4" location="Investeringsteori!A1" display="Investeringsteori" xr:uid="{00000000-0004-0000-1800-000000000000}"/>
  </hyperlinks>
  <pageMargins left="0.75" right="0.75" top="1" bottom="1" header="0.5" footer="0.5"/>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F0"/>
  </sheetPr>
  <dimension ref="A2:J81"/>
  <sheetViews>
    <sheetView topLeftCell="A4" zoomScale="80" zoomScaleNormal="80" zoomScalePageLayoutView="80" workbookViewId="0">
      <selection activeCell="V72" sqref="V72"/>
    </sheetView>
  </sheetViews>
  <sheetFormatPr defaultColWidth="10.875" defaultRowHeight="15.75" x14ac:dyDescent="0.25"/>
  <cols>
    <col min="1" max="1" width="10.875" style="1"/>
    <col min="2" max="2" width="15.625" style="1" customWidth="1"/>
    <col min="3" max="3" width="13.125" style="1" bestFit="1" customWidth="1"/>
    <col min="4" max="4" width="12.125" style="1" bestFit="1" customWidth="1"/>
    <col min="5" max="16384" width="10.875" style="1"/>
  </cols>
  <sheetData>
    <row r="2" spans="4:4" x14ac:dyDescent="0.25">
      <c r="D2" s="101" t="s">
        <v>1025</v>
      </c>
    </row>
    <row r="19" spans="2:10" x14ac:dyDescent="0.25">
      <c r="C19" s="1" t="s">
        <v>1103</v>
      </c>
    </row>
    <row r="21" spans="2:10" x14ac:dyDescent="0.25">
      <c r="C21" s="377" t="s">
        <v>1106</v>
      </c>
      <c r="D21" s="378">
        <v>0.08</v>
      </c>
    </row>
    <row r="22" spans="2:10" x14ac:dyDescent="0.25">
      <c r="C22" s="8" t="s">
        <v>1104</v>
      </c>
      <c r="D22" s="10">
        <v>0</v>
      </c>
      <c r="E22" s="12">
        <v>1</v>
      </c>
      <c r="F22" s="12">
        <v>2</v>
      </c>
      <c r="G22" s="13">
        <v>3</v>
      </c>
    </row>
    <row r="23" spans="2:10" x14ac:dyDescent="0.25">
      <c r="C23" s="9" t="s">
        <v>1105</v>
      </c>
      <c r="D23" s="88">
        <v>-1000</v>
      </c>
      <c r="E23" s="89">
        <v>200</v>
      </c>
      <c r="F23" s="89">
        <v>500</v>
      </c>
      <c r="G23" s="15">
        <v>800</v>
      </c>
    </row>
    <row r="24" spans="2:10" x14ac:dyDescent="0.25">
      <c r="C24" s="6" t="s">
        <v>1107</v>
      </c>
      <c r="D24" s="381">
        <f>NPV(D21,E23:G23)+D23</f>
        <v>248.92038815221235</v>
      </c>
    </row>
    <row r="25" spans="2:10" x14ac:dyDescent="0.25">
      <c r="C25" s="7"/>
      <c r="D25" s="917"/>
    </row>
    <row r="26" spans="2:10" x14ac:dyDescent="0.25">
      <c r="B26" s="1" t="s">
        <v>3036</v>
      </c>
      <c r="C26" s="7"/>
      <c r="D26" s="917"/>
    </row>
    <row r="27" spans="2:10" x14ac:dyDescent="0.25">
      <c r="B27" s="1" t="s">
        <v>3037</v>
      </c>
      <c r="C27" s="7"/>
      <c r="D27" s="917">
        <v>950000</v>
      </c>
      <c r="E27" s="1" t="s">
        <v>3034</v>
      </c>
      <c r="G27" s="1">
        <v>100000</v>
      </c>
      <c r="H27" s="1" t="s">
        <v>3035</v>
      </c>
    </row>
    <row r="28" spans="2:10" x14ac:dyDescent="0.25">
      <c r="B28" s="1" t="s">
        <v>3040</v>
      </c>
      <c r="D28" s="1">
        <v>260000</v>
      </c>
      <c r="E28" s="1" t="s">
        <v>3038</v>
      </c>
      <c r="G28" s="1">
        <v>90000</v>
      </c>
      <c r="H28" s="1" t="s">
        <v>3039</v>
      </c>
    </row>
    <row r="29" spans="2:10" x14ac:dyDescent="0.25">
      <c r="B29" s="916" t="s">
        <v>3041</v>
      </c>
      <c r="E29" s="1" t="s">
        <v>3042</v>
      </c>
      <c r="G29" s="1">
        <v>45000</v>
      </c>
      <c r="H29" s="1" t="s">
        <v>1503</v>
      </c>
      <c r="J29" s="393">
        <v>0.1</v>
      </c>
    </row>
    <row r="30" spans="2:10" x14ac:dyDescent="0.25">
      <c r="B30" s="1" t="s">
        <v>3043</v>
      </c>
      <c r="E30" s="1">
        <v>5000</v>
      </c>
      <c r="F30" s="1" t="s">
        <v>3052</v>
      </c>
      <c r="I30" s="1">
        <f>44000*12</f>
        <v>528000</v>
      </c>
    </row>
    <row r="31" spans="2:10" x14ac:dyDescent="0.25">
      <c r="B31" s="1" t="s">
        <v>3177</v>
      </c>
      <c r="D31" s="393">
        <v>0.1</v>
      </c>
      <c r="E31" s="1" t="s">
        <v>3044</v>
      </c>
    </row>
    <row r="32" spans="2:10" x14ac:dyDescent="0.25">
      <c r="D32" s="393"/>
    </row>
    <row r="33" spans="1:7" x14ac:dyDescent="0.25">
      <c r="B33" s="1" t="s">
        <v>3033</v>
      </c>
    </row>
    <row r="34" spans="1:7" x14ac:dyDescent="0.25">
      <c r="A34" s="915"/>
      <c r="B34" s="1" t="s">
        <v>3046</v>
      </c>
      <c r="D34" s="1">
        <f>(G29-E30)*30</f>
        <v>1200000</v>
      </c>
    </row>
    <row r="35" spans="1:7" ht="15.75" customHeight="1" x14ac:dyDescent="0.25">
      <c r="B35" s="916"/>
    </row>
    <row r="36" spans="1:7" x14ac:dyDescent="0.25">
      <c r="B36" s="1" t="s">
        <v>3045</v>
      </c>
      <c r="C36" s="1">
        <v>0</v>
      </c>
      <c r="D36" s="1">
        <v>1</v>
      </c>
      <c r="E36" s="1">
        <v>2</v>
      </c>
      <c r="F36" s="1">
        <v>3</v>
      </c>
      <c r="G36" s="1">
        <v>4</v>
      </c>
    </row>
    <row r="37" spans="1:7" x14ac:dyDescent="0.25">
      <c r="B37" s="1" t="s">
        <v>3047</v>
      </c>
      <c r="C37" s="918">
        <f>D27</f>
        <v>950000</v>
      </c>
    </row>
    <row r="38" spans="1:7" x14ac:dyDescent="0.25">
      <c r="B38" s="1" t="s">
        <v>3048</v>
      </c>
      <c r="D38" s="1">
        <f>$D28+$G28</f>
        <v>350000</v>
      </c>
      <c r="E38" s="1">
        <f>$D28+$G28</f>
        <v>350000</v>
      </c>
      <c r="F38" s="1">
        <f>$D28+$G28</f>
        <v>350000</v>
      </c>
      <c r="G38" s="1">
        <f>$D28+$G28</f>
        <v>350000</v>
      </c>
    </row>
    <row r="39" spans="1:7" x14ac:dyDescent="0.25">
      <c r="B39" s="1" t="s">
        <v>3049</v>
      </c>
      <c r="D39" s="1">
        <f>$D34</f>
        <v>1200000</v>
      </c>
      <c r="E39" s="1">
        <f>$D34</f>
        <v>1200000</v>
      </c>
      <c r="F39" s="1">
        <f>$D34</f>
        <v>1200000</v>
      </c>
      <c r="G39" s="1">
        <f>$D34</f>
        <v>1200000</v>
      </c>
    </row>
    <row r="40" spans="1:7" x14ac:dyDescent="0.25">
      <c r="B40" s="1" t="s">
        <v>3053</v>
      </c>
      <c r="D40" s="1">
        <f>-$I30</f>
        <v>-528000</v>
      </c>
      <c r="E40" s="1">
        <f>-$I30</f>
        <v>-528000</v>
      </c>
      <c r="F40" s="1">
        <f>-$I30</f>
        <v>-528000</v>
      </c>
      <c r="G40" s="1">
        <f>-$I30</f>
        <v>-528000</v>
      </c>
    </row>
    <row r="41" spans="1:7" x14ac:dyDescent="0.25">
      <c r="B41" s="1" t="s">
        <v>1191</v>
      </c>
      <c r="G41" s="1">
        <v>100000</v>
      </c>
    </row>
    <row r="42" spans="1:7" x14ac:dyDescent="0.25">
      <c r="B42" s="1" t="s">
        <v>3050</v>
      </c>
      <c r="C42" s="918">
        <f>-C37</f>
        <v>-950000</v>
      </c>
      <c r="D42" s="1">
        <f>D39-D38+D40</f>
        <v>322000</v>
      </c>
      <c r="E42" s="1">
        <f>E39-E38+E40</f>
        <v>322000</v>
      </c>
      <c r="F42" s="1">
        <f>F39-F38+F40</f>
        <v>322000</v>
      </c>
      <c r="G42" s="1">
        <f>G39-G38+G40+G41</f>
        <v>422000</v>
      </c>
    </row>
    <row r="43" spans="1:7" x14ac:dyDescent="0.25">
      <c r="B43" s="1" t="s">
        <v>3051</v>
      </c>
      <c r="C43" s="918">
        <f>NPV(J29,D42:G42)+C42</f>
        <v>138998.01926097902</v>
      </c>
    </row>
    <row r="44" spans="1:7" x14ac:dyDescent="0.25">
      <c r="B44" s="1" t="s">
        <v>3054</v>
      </c>
    </row>
    <row r="45" spans="1:7" x14ac:dyDescent="0.25">
      <c r="B45" s="1" t="s">
        <v>3055</v>
      </c>
    </row>
    <row r="47" spans="1:7" x14ac:dyDescent="0.25">
      <c r="B47" s="1" t="s">
        <v>3069</v>
      </c>
    </row>
    <row r="48" spans="1:7" x14ac:dyDescent="0.25">
      <c r="B48" s="921" t="s">
        <v>3070</v>
      </c>
    </row>
    <row r="49" spans="2:7" x14ac:dyDescent="0.25">
      <c r="C49" s="1" t="s">
        <v>3072</v>
      </c>
      <c r="D49" s="1">
        <v>43538.339438339433</v>
      </c>
    </row>
    <row r="50" spans="2:7" x14ac:dyDescent="0.25">
      <c r="C50" s="1" t="s">
        <v>3073</v>
      </c>
      <c r="E50" s="1">
        <v>30</v>
      </c>
    </row>
    <row r="51" spans="2:7" x14ac:dyDescent="0.25">
      <c r="C51" s="1" t="s">
        <v>3074</v>
      </c>
      <c r="E51" s="1">
        <v>5000</v>
      </c>
    </row>
    <row r="52" spans="2:7" x14ac:dyDescent="0.25">
      <c r="B52" s="1" t="s">
        <v>3045</v>
      </c>
      <c r="C52" s="1">
        <v>0</v>
      </c>
      <c r="D52" s="1">
        <v>1</v>
      </c>
      <c r="E52" s="1">
        <v>2</v>
      </c>
      <c r="F52" s="1">
        <v>3</v>
      </c>
      <c r="G52" s="1">
        <v>4</v>
      </c>
    </row>
    <row r="53" spans="2:7" x14ac:dyDescent="0.25">
      <c r="B53" s="1" t="s">
        <v>3047</v>
      </c>
      <c r="C53" s="918">
        <f>D27</f>
        <v>950000</v>
      </c>
    </row>
    <row r="54" spans="2:7" x14ac:dyDescent="0.25">
      <c r="B54" s="1" t="s">
        <v>3048</v>
      </c>
      <c r="D54" s="1">
        <f>$D28+$G28</f>
        <v>350000</v>
      </c>
      <c r="E54" s="1">
        <f>$D28+$G28</f>
        <v>350000</v>
      </c>
      <c r="F54" s="1">
        <f>$D28+$G28</f>
        <v>350000</v>
      </c>
      <c r="G54" s="1">
        <f>$D28+$G28</f>
        <v>350000</v>
      </c>
    </row>
    <row r="55" spans="2:7" x14ac:dyDescent="0.25">
      <c r="B55" s="1" t="s">
        <v>3049</v>
      </c>
      <c r="D55" s="1">
        <f>($D49-$E51)*$E50</f>
        <v>1156150.1831501829</v>
      </c>
      <c r="E55" s="1">
        <f>($D49-$E51)*$E50</f>
        <v>1156150.1831501829</v>
      </c>
      <c r="F55" s="1">
        <f>($D49-$E51)*$E50</f>
        <v>1156150.1831501829</v>
      </c>
      <c r="G55" s="1">
        <f>($D49-$E51)*$E50</f>
        <v>1156150.1831501829</v>
      </c>
    </row>
    <row r="56" spans="2:7" x14ac:dyDescent="0.25">
      <c r="B56" s="1" t="s">
        <v>3053</v>
      </c>
      <c r="D56" s="1">
        <f>-$I30</f>
        <v>-528000</v>
      </c>
      <c r="E56" s="1">
        <f>-$I30</f>
        <v>-528000</v>
      </c>
      <c r="F56" s="1">
        <f>-$I30</f>
        <v>-528000</v>
      </c>
      <c r="G56" s="1">
        <f>-$I30</f>
        <v>-528000</v>
      </c>
    </row>
    <row r="57" spans="2:7" x14ac:dyDescent="0.25">
      <c r="B57" s="1" t="s">
        <v>1191</v>
      </c>
      <c r="G57" s="1">
        <v>100000</v>
      </c>
    </row>
    <row r="58" spans="2:7" x14ac:dyDescent="0.25">
      <c r="B58" s="1" t="s">
        <v>3050</v>
      </c>
      <c r="C58" s="918">
        <f>-C53</f>
        <v>-950000</v>
      </c>
      <c r="D58" s="1">
        <f>D55-D54+D56</f>
        <v>278150.18315018294</v>
      </c>
      <c r="E58" s="1">
        <f>E55-E54+E56</f>
        <v>278150.18315018294</v>
      </c>
      <c r="F58" s="1">
        <f>F55-F54+F56</f>
        <v>278150.18315018294</v>
      </c>
      <c r="G58" s="1">
        <f>G55-G54+G56+G57</f>
        <v>378150.18315018294</v>
      </c>
    </row>
    <row r="59" spans="2:7" x14ac:dyDescent="0.25">
      <c r="B59" s="1" t="s">
        <v>3051</v>
      </c>
      <c r="C59" s="918">
        <f>NPV(J29,D58:G58)+C58</f>
        <v>-9.3132257461547852E-10</v>
      </c>
    </row>
    <row r="60" spans="2:7" x14ac:dyDescent="0.25">
      <c r="B60" s="1" t="s">
        <v>3075</v>
      </c>
      <c r="C60" s="918"/>
    </row>
    <row r="61" spans="2:7" x14ac:dyDescent="0.25">
      <c r="B61" s="1" t="s">
        <v>3071</v>
      </c>
    </row>
    <row r="62" spans="2:7" x14ac:dyDescent="0.25">
      <c r="B62" s="1" t="s">
        <v>3076</v>
      </c>
      <c r="C62" s="918"/>
    </row>
    <row r="63" spans="2:7" x14ac:dyDescent="0.25">
      <c r="B63" s="1" t="s">
        <v>3077</v>
      </c>
    </row>
    <row r="65" spans="2:7" x14ac:dyDescent="0.25">
      <c r="B65" s="1" t="s">
        <v>3078</v>
      </c>
    </row>
    <row r="66" spans="2:7" x14ac:dyDescent="0.25">
      <c r="B66" s="921" t="s">
        <v>3079</v>
      </c>
    </row>
    <row r="67" spans="2:7" x14ac:dyDescent="0.25">
      <c r="B67" s="921" t="s">
        <v>3080</v>
      </c>
      <c r="C67" s="918"/>
    </row>
    <row r="68" spans="2:7" x14ac:dyDescent="0.25">
      <c r="B68" s="921" t="s">
        <v>3081</v>
      </c>
      <c r="C68" s="918"/>
    </row>
    <row r="69" spans="2:7" x14ac:dyDescent="0.25">
      <c r="B69" s="1" t="s">
        <v>3072</v>
      </c>
      <c r="C69" s="1">
        <v>47156.165858507498</v>
      </c>
    </row>
    <row r="70" spans="2:7" x14ac:dyDescent="0.25">
      <c r="B70" s="1" t="s">
        <v>3073</v>
      </c>
      <c r="D70" s="1">
        <v>30</v>
      </c>
    </row>
    <row r="71" spans="2:7" x14ac:dyDescent="0.25">
      <c r="B71" s="1" t="s">
        <v>3074</v>
      </c>
      <c r="D71" s="1">
        <v>5000</v>
      </c>
    </row>
    <row r="73" spans="2:7" x14ac:dyDescent="0.25">
      <c r="B73" s="1" t="s">
        <v>3045</v>
      </c>
      <c r="C73" s="1">
        <v>0</v>
      </c>
      <c r="D73" s="1">
        <v>1</v>
      </c>
      <c r="E73" s="1">
        <v>2</v>
      </c>
      <c r="F73" s="1">
        <v>3</v>
      </c>
      <c r="G73" s="1">
        <v>4</v>
      </c>
    </row>
    <row r="74" spans="2:7" x14ac:dyDescent="0.25">
      <c r="B74" s="1" t="s">
        <v>3047</v>
      </c>
      <c r="C74" s="918">
        <f>D27</f>
        <v>950000</v>
      </c>
    </row>
    <row r="75" spans="2:7" x14ac:dyDescent="0.25">
      <c r="B75" s="1" t="s">
        <v>3048</v>
      </c>
      <c r="D75" s="1">
        <f>$D28+$G28</f>
        <v>350000</v>
      </c>
      <c r="E75" s="1">
        <f>$D28+$G28</f>
        <v>350000</v>
      </c>
      <c r="F75" s="1">
        <f>$D28+$G28</f>
        <v>350000</v>
      </c>
      <c r="G75" s="1">
        <f>$D28+$G28</f>
        <v>350000</v>
      </c>
    </row>
    <row r="76" spans="2:7" x14ac:dyDescent="0.25">
      <c r="B76" s="1" t="s">
        <v>3049</v>
      </c>
      <c r="D76" s="1">
        <f>($C69-$D71)*$D70</f>
        <v>1264684.9757552249</v>
      </c>
      <c r="E76" s="1">
        <f>($C69-$D71)*$D70</f>
        <v>1264684.9757552249</v>
      </c>
      <c r="F76" s="1">
        <f>($C69-$D71)*$D70</f>
        <v>1264684.9757552249</v>
      </c>
      <c r="G76" s="1">
        <f>($C69-$D71)*$D70</f>
        <v>1264684.9757552249</v>
      </c>
    </row>
    <row r="77" spans="2:7" x14ac:dyDescent="0.25">
      <c r="B77" s="1" t="s">
        <v>3053</v>
      </c>
      <c r="D77" s="1">
        <f>-$I30*1.08</f>
        <v>-570240</v>
      </c>
      <c r="E77" s="1">
        <f>D77*1.08</f>
        <v>-615859.20000000007</v>
      </c>
      <c r="F77" s="1">
        <f>E77*1.08</f>
        <v>-665127.9360000001</v>
      </c>
      <c r="G77" s="1">
        <f>F77*1.08</f>
        <v>-718338.17088000011</v>
      </c>
    </row>
    <row r="78" spans="2:7" x14ac:dyDescent="0.25">
      <c r="B78" s="1" t="s">
        <v>1191</v>
      </c>
      <c r="G78" s="1">
        <v>100000</v>
      </c>
    </row>
    <row r="79" spans="2:7" x14ac:dyDescent="0.25">
      <c r="B79" s="1" t="s">
        <v>3050</v>
      </c>
      <c r="C79" s="918">
        <f>-C74</f>
        <v>-950000</v>
      </c>
      <c r="D79" s="1">
        <f>D76-D75+D77</f>
        <v>344444.97575522494</v>
      </c>
      <c r="E79" s="1">
        <f>E76-E75+E77</f>
        <v>298825.77575522487</v>
      </c>
      <c r="F79" s="1">
        <f>F76-F75+F77</f>
        <v>249557.03975522483</v>
      </c>
      <c r="G79" s="1">
        <f>G76-G75+G77+G78</f>
        <v>296346.80487522483</v>
      </c>
    </row>
    <row r="80" spans="2:7" x14ac:dyDescent="0.25">
      <c r="B80" s="1" t="s">
        <v>3051</v>
      </c>
      <c r="C80" s="918">
        <f>NPV(J29,D79:G79)+C79</f>
        <v>-1.1641532182693481E-9</v>
      </c>
    </row>
    <row r="81" spans="2:2" x14ac:dyDescent="0.25">
      <c r="B81" s="1" t="s">
        <v>3082</v>
      </c>
    </row>
  </sheetData>
  <hyperlinks>
    <hyperlink ref="D2" location="Investeringsteori!A1" display="Investeringsteori" xr:uid="{00000000-0004-0000-1900-000000000000}"/>
  </hyperlinks>
  <pageMargins left="0.75" right="0.75" top="1" bottom="1" header="0.5" footer="0.5"/>
  <pageSetup paperSize="9" orientation="portrait" horizontalDpi="4294967292" verticalDpi="429496729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B3:E23"/>
  <sheetViews>
    <sheetView workbookViewId="0"/>
  </sheetViews>
  <sheetFormatPr defaultColWidth="10.875" defaultRowHeight="15.75" x14ac:dyDescent="0.25"/>
  <cols>
    <col min="1" max="16384" width="10.875" style="1"/>
  </cols>
  <sheetData>
    <row r="3" spans="5:5" x14ac:dyDescent="0.25">
      <c r="E3" s="101" t="s">
        <v>1025</v>
      </c>
    </row>
    <row r="18" spans="2:3" x14ac:dyDescent="0.25">
      <c r="B18" s="1" t="s">
        <v>1119</v>
      </c>
    </row>
    <row r="19" spans="2:3" x14ac:dyDescent="0.25">
      <c r="B19" s="1" t="s">
        <v>1106</v>
      </c>
      <c r="C19" s="376">
        <v>0.05</v>
      </c>
    </row>
    <row r="20" spans="2:3" x14ac:dyDescent="0.25">
      <c r="B20" s="1" t="s">
        <v>1104</v>
      </c>
      <c r="C20" s="1">
        <v>10</v>
      </c>
    </row>
    <row r="21" spans="2:3" x14ac:dyDescent="0.25">
      <c r="B21" s="1" t="s">
        <v>1120</v>
      </c>
      <c r="C21" s="383">
        <v>100</v>
      </c>
    </row>
    <row r="22" spans="2:3" x14ac:dyDescent="0.25">
      <c r="B22" s="1" t="s">
        <v>1063</v>
      </c>
      <c r="C22" s="375">
        <f>-PV(C19,C20,C21)</f>
        <v>772.17349291848132</v>
      </c>
    </row>
    <row r="23" spans="2:3" x14ac:dyDescent="0.25">
      <c r="C23" s="375">
        <f>-PMT(C19,C20,C22)</f>
        <v>99.999999999999986</v>
      </c>
    </row>
  </sheetData>
  <hyperlinks>
    <hyperlink ref="E3" location="Investeringsteori!A1" display="Investeringsteori" xr:uid="{00000000-0004-0000-1A00-000000000000}"/>
  </hyperlinks>
  <pageMargins left="0.75" right="0.75" top="1" bottom="1" header="0.5" footer="0.5"/>
  <pageSetup paperSize="9" orientation="portrait" horizontalDpi="4294967292" verticalDpi="4294967292"/>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sheetPr>
  <dimension ref="E3"/>
  <sheetViews>
    <sheetView topLeftCell="D1" workbookViewId="0">
      <selection activeCell="E3" sqref="E3"/>
    </sheetView>
  </sheetViews>
  <sheetFormatPr defaultColWidth="10.875" defaultRowHeight="15.75" x14ac:dyDescent="0.25"/>
  <cols>
    <col min="1" max="16384" width="10.875" style="1"/>
  </cols>
  <sheetData>
    <row r="3" spans="5:5" x14ac:dyDescent="0.25">
      <c r="E3" s="101" t="s">
        <v>1025</v>
      </c>
    </row>
  </sheetData>
  <hyperlinks>
    <hyperlink ref="E3" location="Investeringsteori!A1" display="Investeringsteori" xr:uid="{00000000-0004-0000-1B00-000000000000}"/>
  </hyperlinks>
  <pageMargins left="0.75" right="0.75" top="1" bottom="1" header="0.5" footer="0.5"/>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F0"/>
  </sheetPr>
  <dimension ref="C3:E26"/>
  <sheetViews>
    <sheetView workbookViewId="0">
      <selection activeCell="E3" sqref="E3"/>
    </sheetView>
  </sheetViews>
  <sheetFormatPr defaultColWidth="10.875" defaultRowHeight="15.75" x14ac:dyDescent="0.25"/>
  <cols>
    <col min="1" max="3" width="10.875" style="1"/>
    <col min="4" max="4" width="11.375" style="1" bestFit="1" customWidth="1"/>
    <col min="5" max="16384" width="10.875" style="1"/>
  </cols>
  <sheetData>
    <row r="3" spans="5:5" x14ac:dyDescent="0.25">
      <c r="E3" s="101" t="s">
        <v>1025</v>
      </c>
    </row>
    <row r="22" spans="3:4" x14ac:dyDescent="0.25">
      <c r="C22" s="1" t="s">
        <v>1119</v>
      </c>
    </row>
    <row r="23" spans="3:4" x14ac:dyDescent="0.25">
      <c r="C23" s="1" t="s">
        <v>1106</v>
      </c>
      <c r="D23" s="1">
        <v>0.05</v>
      </c>
    </row>
    <row r="24" spans="3:4" x14ac:dyDescent="0.25">
      <c r="C24" s="1" t="s">
        <v>1104</v>
      </c>
      <c r="D24" s="1">
        <v>10</v>
      </c>
    </row>
    <row r="25" spans="3:4" x14ac:dyDescent="0.25">
      <c r="C25" s="1" t="s">
        <v>1120</v>
      </c>
      <c r="D25" s="1">
        <f>1000*1.05</f>
        <v>1050</v>
      </c>
    </row>
    <row r="26" spans="3:4" x14ac:dyDescent="0.25">
      <c r="C26" s="1" t="s">
        <v>1159</v>
      </c>
      <c r="D26" s="375">
        <f>-FV(D23,D24,D25)</f>
        <v>13206.787162326273</v>
      </c>
    </row>
  </sheetData>
  <hyperlinks>
    <hyperlink ref="E3" location="Investeringsteori!A1" display="Investeringsteori" xr:uid="{00000000-0004-0000-1C00-000000000000}"/>
  </hyperlinks>
  <pageMargins left="0.75" right="0.75" top="1" bottom="1" header="0.5" footer="0.5"/>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F0"/>
  </sheetPr>
  <dimension ref="C2:H111"/>
  <sheetViews>
    <sheetView workbookViewId="0">
      <selection activeCell="F2" sqref="F2"/>
    </sheetView>
  </sheetViews>
  <sheetFormatPr defaultColWidth="10.875" defaultRowHeight="15.75" x14ac:dyDescent="0.25"/>
  <cols>
    <col min="1" max="5" width="10.875" style="1"/>
    <col min="6" max="6" width="15" style="1" bestFit="1" customWidth="1"/>
    <col min="7" max="16384" width="10.875" style="1"/>
  </cols>
  <sheetData>
    <row r="2" spans="6:6" x14ac:dyDescent="0.25">
      <c r="F2" s="101" t="s">
        <v>1025</v>
      </c>
    </row>
    <row r="21" spans="3:8" x14ac:dyDescent="0.25">
      <c r="C21" s="425" t="s">
        <v>2381</v>
      </c>
      <c r="D21" s="36"/>
      <c r="E21" s="172"/>
      <c r="F21" s="36"/>
      <c r="G21" s="36"/>
      <c r="H21" s="36"/>
    </row>
    <row r="22" spans="3:8" x14ac:dyDescent="0.25">
      <c r="C22" s="20" t="s">
        <v>2380</v>
      </c>
      <c r="D22" s="64"/>
      <c r="E22" s="716"/>
      <c r="F22" s="64"/>
      <c r="G22" s="503"/>
      <c r="H22" s="36"/>
    </row>
    <row r="23" spans="3:8" x14ac:dyDescent="0.25">
      <c r="C23" s="23" t="s">
        <v>2379</v>
      </c>
      <c r="D23" s="16"/>
      <c r="E23" s="715"/>
      <c r="F23" s="16"/>
      <c r="G23" s="207"/>
      <c r="H23" s="36"/>
    </row>
    <row r="24" spans="3:8" x14ac:dyDescent="0.25">
      <c r="C24" s="26" t="s">
        <v>2378</v>
      </c>
      <c r="D24" s="208"/>
      <c r="E24" s="714"/>
      <c r="F24" s="208"/>
      <c r="G24" s="209"/>
      <c r="H24" s="36"/>
    </row>
    <row r="25" spans="3:8" x14ac:dyDescent="0.25">
      <c r="C25" s="425"/>
      <c r="D25" s="36"/>
      <c r="E25" s="172"/>
      <c r="F25" s="36"/>
      <c r="G25" s="36"/>
      <c r="H25" s="36"/>
    </row>
    <row r="26" spans="3:8" x14ac:dyDescent="0.25">
      <c r="C26" s="16" t="s">
        <v>2377</v>
      </c>
      <c r="D26" s="16"/>
      <c r="E26" s="504"/>
      <c r="F26" s="16"/>
      <c r="G26" s="16"/>
      <c r="H26" s="16"/>
    </row>
    <row r="27" spans="3:8" x14ac:dyDescent="0.25">
      <c r="C27" s="18" t="s">
        <v>2376</v>
      </c>
      <c r="D27" s="16"/>
      <c r="E27" s="504"/>
      <c r="F27" s="16"/>
      <c r="G27" s="16"/>
      <c r="H27" s="16"/>
    </row>
    <row r="28" spans="3:8" x14ac:dyDescent="0.25">
      <c r="C28" s="16"/>
      <c r="D28" s="16"/>
      <c r="E28" s="504"/>
      <c r="F28" s="16"/>
      <c r="G28" s="16"/>
      <c r="H28" s="16"/>
    </row>
    <row r="29" spans="3:8" x14ac:dyDescent="0.25">
      <c r="C29" s="20" t="s">
        <v>2366</v>
      </c>
      <c r="D29" s="503">
        <v>1000</v>
      </c>
      <c r="E29" s="504"/>
      <c r="F29" s="16"/>
      <c r="G29" s="16"/>
      <c r="H29" s="16"/>
    </row>
    <row r="30" spans="3:8" x14ac:dyDescent="0.25">
      <c r="C30" s="26" t="s">
        <v>2375</v>
      </c>
      <c r="D30" s="610">
        <v>0.11</v>
      </c>
      <c r="E30" s="504"/>
      <c r="F30" s="16"/>
      <c r="G30" s="16"/>
      <c r="H30" s="16"/>
    </row>
    <row r="31" spans="3:8" x14ac:dyDescent="0.25">
      <c r="C31" s="16"/>
      <c r="D31" s="16"/>
      <c r="E31" s="504"/>
      <c r="F31" s="16"/>
      <c r="G31" s="16"/>
      <c r="H31" s="16"/>
    </row>
    <row r="32" spans="3:8" x14ac:dyDescent="0.25">
      <c r="C32" s="53" t="s">
        <v>2363</v>
      </c>
      <c r="D32" s="702">
        <f>D29*(1+0)/(D30-0)</f>
        <v>9090.9090909090901</v>
      </c>
      <c r="E32" s="504"/>
      <c r="F32" s="16"/>
      <c r="G32" s="16"/>
      <c r="H32" s="16"/>
    </row>
    <row r="33" spans="3:8" x14ac:dyDescent="0.25">
      <c r="C33" s="16"/>
      <c r="D33" s="16"/>
      <c r="E33" s="504"/>
      <c r="F33" s="16"/>
      <c r="G33" s="16"/>
      <c r="H33" s="16"/>
    </row>
    <row r="34" spans="3:8" x14ac:dyDescent="0.25">
      <c r="C34" s="16" t="s">
        <v>2374</v>
      </c>
      <c r="D34" s="169"/>
      <c r="E34" s="16"/>
      <c r="F34" s="16"/>
      <c r="G34" s="16"/>
      <c r="H34" s="16"/>
    </row>
    <row r="35" spans="3:8" x14ac:dyDescent="0.25">
      <c r="C35" s="16"/>
      <c r="D35" s="169"/>
      <c r="E35" s="16"/>
      <c r="F35" s="16"/>
      <c r="G35" s="16"/>
      <c r="H35" s="16"/>
    </row>
    <row r="36" spans="3:8" x14ac:dyDescent="0.25">
      <c r="C36" s="19" t="s">
        <v>2373</v>
      </c>
      <c r="D36" s="175" t="s">
        <v>2372</v>
      </c>
      <c r="E36" s="16"/>
      <c r="F36" s="16"/>
      <c r="G36" s="16"/>
      <c r="H36" s="16"/>
    </row>
    <row r="37" spans="3:8" x14ac:dyDescent="0.25">
      <c r="C37" s="16">
        <v>1</v>
      </c>
      <c r="D37" s="169">
        <v>1100</v>
      </c>
      <c r="E37" s="16"/>
      <c r="F37" s="16"/>
      <c r="G37" s="16"/>
      <c r="H37" s="16"/>
    </row>
    <row r="38" spans="3:8" x14ac:dyDescent="0.25">
      <c r="C38" s="16">
        <v>2</v>
      </c>
      <c r="D38" s="169">
        <f>D37*1.1</f>
        <v>1210</v>
      </c>
      <c r="E38" s="16">
        <f>D38/D37-1</f>
        <v>0.10000000000000009</v>
      </c>
      <c r="F38" s="16"/>
      <c r="G38" s="16"/>
      <c r="H38" s="16"/>
    </row>
    <row r="39" spans="3:8" x14ac:dyDescent="0.25">
      <c r="C39" s="16">
        <v>3</v>
      </c>
      <c r="D39" s="169">
        <f>D38*1.1</f>
        <v>1331</v>
      </c>
      <c r="E39" s="16">
        <f>D39/D38-1</f>
        <v>0.10000000000000009</v>
      </c>
      <c r="F39" s="16"/>
      <c r="G39" s="16"/>
      <c r="H39" s="16"/>
    </row>
    <row r="40" spans="3:8" x14ac:dyDescent="0.25">
      <c r="C40" s="19">
        <v>4</v>
      </c>
      <c r="D40" s="169">
        <f>D39*1.1</f>
        <v>1464.1000000000001</v>
      </c>
      <c r="E40" s="16"/>
      <c r="F40" s="16"/>
      <c r="G40" s="16"/>
      <c r="H40" s="16"/>
    </row>
    <row r="41" spans="3:8" x14ac:dyDescent="0.25">
      <c r="C41" s="19" t="s">
        <v>2371</v>
      </c>
      <c r="D41" s="169"/>
      <c r="E41" s="16"/>
      <c r="F41" s="16"/>
      <c r="G41" s="16"/>
      <c r="H41" s="16"/>
    </row>
    <row r="42" spans="3:8" x14ac:dyDescent="0.25">
      <c r="C42" s="19"/>
      <c r="D42" s="169"/>
      <c r="E42" s="16"/>
      <c r="F42" s="16"/>
      <c r="G42" s="16"/>
      <c r="H42" s="16"/>
    </row>
    <row r="43" spans="3:8" x14ac:dyDescent="0.25">
      <c r="C43" s="29" t="s">
        <v>2370</v>
      </c>
      <c r="D43" s="19"/>
      <c r="E43" s="16"/>
      <c r="F43" s="16"/>
      <c r="G43" s="16"/>
      <c r="H43" s="16"/>
    </row>
    <row r="44" spans="3:8" x14ac:dyDescent="0.25">
      <c r="C44" s="16" t="s">
        <v>2369</v>
      </c>
      <c r="D44" s="16">
        <v>1000</v>
      </c>
      <c r="E44" s="16"/>
      <c r="F44" s="16"/>
      <c r="G44" s="16"/>
      <c r="H44" s="16"/>
    </row>
    <row r="45" spans="3:8" x14ac:dyDescent="0.25">
      <c r="C45" s="713" t="s">
        <v>2368</v>
      </c>
      <c r="D45" s="206">
        <v>1100</v>
      </c>
      <c r="E45" s="19"/>
      <c r="F45" s="19"/>
      <c r="G45" s="19"/>
      <c r="H45" s="19"/>
    </row>
    <row r="46" spans="3:8" x14ac:dyDescent="0.25">
      <c r="C46" s="535" t="s">
        <v>2365</v>
      </c>
      <c r="D46" s="712">
        <v>0.11</v>
      </c>
      <c r="E46" s="19"/>
      <c r="F46" s="19"/>
      <c r="G46" s="169"/>
      <c r="H46" s="16"/>
    </row>
    <row r="47" spans="3:8" x14ac:dyDescent="0.25">
      <c r="C47" s="711" t="s">
        <v>2364</v>
      </c>
      <c r="D47" s="710">
        <v>0.1</v>
      </c>
      <c r="E47" s="169"/>
      <c r="F47" s="169"/>
      <c r="G47" s="169"/>
      <c r="H47" s="169"/>
    </row>
    <row r="48" spans="3:8" x14ac:dyDescent="0.25">
      <c r="C48" s="16"/>
      <c r="D48" s="169"/>
      <c r="E48" s="169"/>
      <c r="F48" s="169"/>
      <c r="G48" s="169"/>
      <c r="H48" s="169"/>
    </row>
    <row r="49" spans="3:8" x14ac:dyDescent="0.25">
      <c r="C49" s="53" t="s">
        <v>2363</v>
      </c>
      <c r="D49" s="55">
        <f>(D44*(1+D47))/(D46-D47)</f>
        <v>110000.00000000006</v>
      </c>
      <c r="E49" s="169">
        <f>D45/(D46-D47)</f>
        <v>110000.00000000006</v>
      </c>
      <c r="F49" s="169"/>
      <c r="G49" s="169"/>
      <c r="H49" s="169"/>
    </row>
    <row r="50" spans="3:8" x14ac:dyDescent="0.25">
      <c r="C50" s="16"/>
      <c r="D50" s="169"/>
      <c r="E50" s="169"/>
      <c r="F50" s="169"/>
      <c r="G50" s="169"/>
      <c r="H50" s="169"/>
    </row>
    <row r="51" spans="3:8" x14ac:dyDescent="0.25">
      <c r="C51" s="18" t="s">
        <v>2367</v>
      </c>
      <c r="D51" s="169"/>
      <c r="E51" s="169"/>
      <c r="F51" s="169"/>
      <c r="G51" s="169"/>
      <c r="H51" s="169"/>
    </row>
    <row r="52" spans="3:8" x14ac:dyDescent="0.25">
      <c r="C52" s="16"/>
      <c r="D52" s="169"/>
      <c r="E52" s="169"/>
      <c r="F52" s="169"/>
      <c r="G52" s="169"/>
      <c r="H52" s="169"/>
    </row>
    <row r="53" spans="3:8" x14ac:dyDescent="0.25">
      <c r="C53" s="713" t="s">
        <v>2366</v>
      </c>
      <c r="D53" s="206">
        <v>1000</v>
      </c>
      <c r="E53" s="169"/>
      <c r="F53" s="169"/>
      <c r="G53" s="169"/>
      <c r="H53" s="169"/>
    </row>
    <row r="54" spans="3:8" x14ac:dyDescent="0.25">
      <c r="C54" s="535" t="s">
        <v>2365</v>
      </c>
      <c r="D54" s="712">
        <v>0.11</v>
      </c>
      <c r="E54" s="169"/>
      <c r="F54" s="169"/>
      <c r="G54" s="169"/>
      <c r="H54" s="169"/>
    </row>
    <row r="55" spans="3:8" x14ac:dyDescent="0.25">
      <c r="C55" s="711" t="s">
        <v>2364</v>
      </c>
      <c r="D55" s="710">
        <v>0.1</v>
      </c>
      <c r="E55" s="169"/>
      <c r="F55" s="169"/>
      <c r="G55" s="169"/>
      <c r="H55" s="169"/>
    </row>
    <row r="56" spans="3:8" x14ac:dyDescent="0.25">
      <c r="C56" s="16"/>
      <c r="D56" s="169"/>
      <c r="E56" s="169"/>
      <c r="F56" s="169"/>
      <c r="G56" s="169"/>
      <c r="H56" s="169"/>
    </row>
    <row r="57" spans="3:8" x14ac:dyDescent="0.25">
      <c r="C57" s="53" t="s">
        <v>2363</v>
      </c>
      <c r="D57" s="55">
        <f>D53/(D54-D55)</f>
        <v>100000.00000000004</v>
      </c>
      <c r="E57" s="169">
        <f>E49*(1+D55)^-1</f>
        <v>100000.00000000004</v>
      </c>
      <c r="F57" s="169"/>
      <c r="G57" s="16"/>
      <c r="H57" s="16"/>
    </row>
    <row r="58" spans="3:8" x14ac:dyDescent="0.25">
      <c r="C58" s="16"/>
      <c r="D58" s="16"/>
      <c r="E58" s="16"/>
      <c r="F58" s="16"/>
      <c r="G58" s="16"/>
      <c r="H58" s="16"/>
    </row>
    <row r="59" spans="3:8" x14ac:dyDescent="0.25">
      <c r="C59" s="16"/>
      <c r="D59" s="16"/>
      <c r="E59" s="16"/>
      <c r="F59" s="16"/>
      <c r="G59" s="16"/>
      <c r="H59" s="16"/>
    </row>
    <row r="60" spans="3:8" x14ac:dyDescent="0.25">
      <c r="C60" s="16" t="s">
        <v>2362</v>
      </c>
      <c r="D60" s="16"/>
      <c r="E60" s="16"/>
      <c r="F60" s="16"/>
      <c r="G60" s="16"/>
      <c r="H60" s="16"/>
    </row>
    <row r="61" spans="3:8" x14ac:dyDescent="0.25">
      <c r="C61" s="16"/>
      <c r="D61" s="16"/>
      <c r="E61" s="16"/>
      <c r="F61" s="16"/>
      <c r="G61" s="16"/>
      <c r="H61" s="16"/>
    </row>
    <row r="62" spans="3:8" x14ac:dyDescent="0.25">
      <c r="C62" s="16" t="s">
        <v>2349</v>
      </c>
      <c r="D62" s="19" t="s">
        <v>2348</v>
      </c>
      <c r="E62" s="16"/>
      <c r="F62" s="16"/>
      <c r="G62" s="16"/>
      <c r="H62" s="16"/>
    </row>
    <row r="63" spans="3:8" x14ac:dyDescent="0.25">
      <c r="C63" s="36">
        <v>1</v>
      </c>
      <c r="D63" s="36">
        <v>0</v>
      </c>
      <c r="E63" s="36"/>
      <c r="F63" s="36"/>
      <c r="G63" s="36"/>
      <c r="H63" s="36"/>
    </row>
    <row r="64" spans="3:8" x14ac:dyDescent="0.25">
      <c r="C64" s="36">
        <v>2</v>
      </c>
      <c r="D64" s="36">
        <v>0</v>
      </c>
      <c r="E64" s="36"/>
      <c r="F64" s="36"/>
      <c r="G64" s="36"/>
      <c r="H64" s="36"/>
    </row>
    <row r="65" spans="3:8" x14ac:dyDescent="0.25">
      <c r="C65" s="36">
        <v>3</v>
      </c>
      <c r="D65" s="36">
        <v>0</v>
      </c>
      <c r="E65" s="36"/>
      <c r="F65" s="36"/>
      <c r="G65" s="36"/>
      <c r="H65" s="36"/>
    </row>
    <row r="66" spans="3:8" x14ac:dyDescent="0.25">
      <c r="C66" s="36">
        <v>4</v>
      </c>
      <c r="D66" s="36">
        <v>0</v>
      </c>
      <c r="E66" s="36"/>
      <c r="F66" s="36"/>
      <c r="G66" s="36"/>
      <c r="H66" s="36"/>
    </row>
    <row r="67" spans="3:8" x14ac:dyDescent="0.25">
      <c r="C67" s="36">
        <v>5</v>
      </c>
      <c r="D67" s="36">
        <v>0</v>
      </c>
      <c r="E67" s="36"/>
      <c r="F67" s="36"/>
      <c r="G67" s="36"/>
      <c r="H67" s="36"/>
    </row>
    <row r="68" spans="3:8" x14ac:dyDescent="0.25">
      <c r="C68" s="36">
        <v>6</v>
      </c>
      <c r="D68" s="52">
        <v>1000</v>
      </c>
      <c r="E68" s="36"/>
      <c r="F68" s="36"/>
      <c r="G68" s="36"/>
      <c r="H68" s="36"/>
    </row>
    <row r="69" spans="3:8" x14ac:dyDescent="0.25">
      <c r="C69" s="498" t="s">
        <v>2347</v>
      </c>
      <c r="D69" s="52">
        <v>1000</v>
      </c>
      <c r="E69" s="36"/>
      <c r="F69" s="36"/>
      <c r="G69" s="36"/>
      <c r="H69" s="36"/>
    </row>
    <row r="70" spans="3:8" x14ac:dyDescent="0.25">
      <c r="C70" s="498" t="s">
        <v>2347</v>
      </c>
      <c r="D70" s="707" t="s">
        <v>2347</v>
      </c>
      <c r="E70" s="36"/>
      <c r="F70" s="36"/>
      <c r="G70" s="36"/>
      <c r="H70" s="36"/>
    </row>
    <row r="71" spans="3:8" x14ac:dyDescent="0.25">
      <c r="C71" s="36"/>
      <c r="D71" s="36"/>
      <c r="E71" s="36"/>
      <c r="F71" s="36"/>
      <c r="G71" s="36"/>
      <c r="H71" s="36"/>
    </row>
    <row r="72" spans="3:8" x14ac:dyDescent="0.25">
      <c r="C72" s="37" t="s">
        <v>2361</v>
      </c>
      <c r="D72" s="36"/>
      <c r="E72" s="36"/>
      <c r="F72" s="36"/>
      <c r="G72" s="36"/>
      <c r="H72" s="36"/>
    </row>
    <row r="73" spans="3:8" x14ac:dyDescent="0.25">
      <c r="C73" s="36"/>
      <c r="D73" s="36"/>
      <c r="E73" s="36"/>
      <c r="F73" s="36"/>
      <c r="G73" s="36"/>
      <c r="H73" s="36"/>
    </row>
    <row r="74" spans="3:8" x14ac:dyDescent="0.25">
      <c r="C74" s="20" t="s">
        <v>2356</v>
      </c>
      <c r="D74" s="503">
        <v>1000</v>
      </c>
      <c r="E74" s="36"/>
      <c r="F74" s="36"/>
      <c r="G74" s="36"/>
      <c r="H74" s="36"/>
    </row>
    <row r="75" spans="3:8" x14ac:dyDescent="0.25">
      <c r="C75" s="23" t="s">
        <v>2355</v>
      </c>
      <c r="D75" s="506">
        <v>0.11</v>
      </c>
      <c r="E75" s="36"/>
      <c r="F75" s="36"/>
      <c r="G75" s="36"/>
      <c r="H75" s="36"/>
    </row>
    <row r="76" spans="3:8" x14ac:dyDescent="0.25">
      <c r="C76" s="26" t="s">
        <v>2360</v>
      </c>
      <c r="D76" s="610">
        <v>0</v>
      </c>
      <c r="E76" s="36"/>
      <c r="F76" s="36"/>
      <c r="G76" s="36"/>
      <c r="H76" s="36"/>
    </row>
    <row r="77" spans="3:8" x14ac:dyDescent="0.25">
      <c r="C77" s="36"/>
      <c r="D77" s="36"/>
      <c r="E77" s="36"/>
      <c r="F77" s="36"/>
      <c r="G77" s="36"/>
      <c r="H77" s="36"/>
    </row>
    <row r="78" spans="3:8" x14ac:dyDescent="0.25">
      <c r="C78" s="53" t="s">
        <v>2359</v>
      </c>
      <c r="D78" s="431">
        <f>D74/D75</f>
        <v>9090.9090909090901</v>
      </c>
      <c r="E78" s="36"/>
      <c r="F78" s="36"/>
      <c r="G78" s="36"/>
      <c r="H78" s="36"/>
    </row>
    <row r="79" spans="3:8" x14ac:dyDescent="0.25">
      <c r="C79" s="53" t="s">
        <v>2358</v>
      </c>
      <c r="D79" s="709">
        <f>D78*(1+D75)^-5</f>
        <v>5395.0120732596233</v>
      </c>
      <c r="E79" s="36"/>
      <c r="F79" s="36"/>
      <c r="G79" s="36"/>
      <c r="H79" s="36"/>
    </row>
    <row r="80" spans="3:8" x14ac:dyDescent="0.25">
      <c r="C80" s="36"/>
      <c r="D80" s="36"/>
      <c r="E80" s="36"/>
      <c r="F80" s="36"/>
      <c r="G80" s="36"/>
      <c r="H80" s="36"/>
    </row>
    <row r="81" spans="3:8" x14ac:dyDescent="0.25">
      <c r="C81" s="36"/>
      <c r="D81" s="36"/>
      <c r="E81" s="36"/>
      <c r="F81" s="36"/>
      <c r="G81" s="36"/>
      <c r="H81" s="36"/>
    </row>
    <row r="82" spans="3:8" x14ac:dyDescent="0.25">
      <c r="C82" s="37" t="s">
        <v>2357</v>
      </c>
      <c r="D82" s="36"/>
      <c r="E82" s="36"/>
      <c r="F82" s="36"/>
      <c r="G82" s="36"/>
      <c r="H82" s="36"/>
    </row>
    <row r="83" spans="3:8" x14ac:dyDescent="0.25">
      <c r="C83" s="36"/>
      <c r="D83" s="36"/>
      <c r="E83" s="36"/>
      <c r="F83" s="36"/>
      <c r="G83" s="36"/>
      <c r="H83" s="36"/>
    </row>
    <row r="84" spans="3:8" x14ac:dyDescent="0.25">
      <c r="C84" s="20" t="s">
        <v>2356</v>
      </c>
      <c r="D84" s="503">
        <v>1000</v>
      </c>
      <c r="E84" s="36"/>
      <c r="F84" s="36" t="s">
        <v>1466</v>
      </c>
      <c r="G84" s="408" t="s">
        <v>1335</v>
      </c>
      <c r="H84" s="36"/>
    </row>
    <row r="85" spans="3:8" x14ac:dyDescent="0.25">
      <c r="C85" s="23" t="s">
        <v>2355</v>
      </c>
      <c r="D85" s="506">
        <v>0.11</v>
      </c>
      <c r="E85" s="36"/>
      <c r="F85" s="60">
        <f>D84*((1-(1+D85)^-35)/D85)</f>
        <v>8855.2397662385702</v>
      </c>
      <c r="G85" s="409">
        <f>-PV(D85,35,D84)</f>
        <v>8855.239766238572</v>
      </c>
      <c r="H85" s="36"/>
    </row>
    <row r="86" spans="3:8" x14ac:dyDescent="0.25">
      <c r="C86" s="26" t="s">
        <v>2354</v>
      </c>
      <c r="D86" s="610">
        <v>0</v>
      </c>
      <c r="E86" s="36"/>
      <c r="F86" s="708">
        <f>F85*(1+D85)^-5</f>
        <v>5255.1537995512399</v>
      </c>
      <c r="G86" s="36"/>
      <c r="H86" s="36"/>
    </row>
    <row r="87" spans="3:8" x14ac:dyDescent="0.25">
      <c r="C87" s="36"/>
      <c r="D87" s="36"/>
      <c r="E87" s="36"/>
      <c r="F87" s="36"/>
      <c r="G87" s="36"/>
      <c r="H87" s="36"/>
    </row>
    <row r="88" spans="3:8" x14ac:dyDescent="0.25">
      <c r="C88" s="36"/>
      <c r="D88" s="36"/>
      <c r="E88" s="36"/>
      <c r="F88" s="36"/>
      <c r="G88" s="36"/>
      <c r="H88" s="36"/>
    </row>
    <row r="89" spans="3:8" x14ac:dyDescent="0.25">
      <c r="C89" s="36"/>
      <c r="D89" s="36"/>
      <c r="E89" s="36"/>
      <c r="F89" s="36"/>
      <c r="G89" s="36"/>
      <c r="H89" s="36"/>
    </row>
    <row r="90" spans="3:8" x14ac:dyDescent="0.25">
      <c r="C90" s="36"/>
      <c r="D90" s="36"/>
      <c r="E90" s="36"/>
      <c r="F90" s="36"/>
      <c r="G90" s="36"/>
      <c r="H90" s="36"/>
    </row>
    <row r="91" spans="3:8" x14ac:dyDescent="0.25">
      <c r="C91" s="36"/>
      <c r="D91" s="36"/>
      <c r="E91" s="36"/>
      <c r="F91" s="36"/>
      <c r="G91" s="36"/>
      <c r="H91" s="36"/>
    </row>
    <row r="92" spans="3:8" x14ac:dyDescent="0.25">
      <c r="C92" s="36" t="s">
        <v>2353</v>
      </c>
      <c r="D92" s="36"/>
      <c r="E92" s="36"/>
      <c r="F92" s="36"/>
      <c r="G92" s="36"/>
      <c r="H92" s="36"/>
    </row>
    <row r="93" spans="3:8" x14ac:dyDescent="0.25">
      <c r="C93" s="36"/>
      <c r="D93" s="36"/>
      <c r="E93" s="36"/>
      <c r="F93" s="36"/>
      <c r="G93" s="36"/>
      <c r="H93" s="36"/>
    </row>
    <row r="94" spans="3:8" x14ac:dyDescent="0.25">
      <c r="C94" s="37" t="s">
        <v>2352</v>
      </c>
      <c r="D94" s="36"/>
      <c r="E94" s="36"/>
      <c r="F94" s="36"/>
      <c r="G94" s="36"/>
      <c r="H94" s="36"/>
    </row>
    <row r="95" spans="3:8" x14ac:dyDescent="0.25">
      <c r="C95" s="36"/>
      <c r="D95" s="36"/>
      <c r="E95" s="36"/>
      <c r="F95" s="36"/>
      <c r="G95" s="36"/>
      <c r="H95" s="36"/>
    </row>
    <row r="96" spans="3:8" x14ac:dyDescent="0.25">
      <c r="C96" s="36" t="s">
        <v>2351</v>
      </c>
      <c r="D96" s="36"/>
      <c r="E96" s="36"/>
      <c r="F96" s="36" t="s">
        <v>2350</v>
      </c>
      <c r="G96" s="36"/>
      <c r="H96" s="36"/>
    </row>
    <row r="97" spans="3:8" x14ac:dyDescent="0.25">
      <c r="C97" s="16" t="s">
        <v>2349</v>
      </c>
      <c r="D97" s="19" t="s">
        <v>2348</v>
      </c>
      <c r="E97" s="36"/>
      <c r="F97" s="162" t="s">
        <v>1562</v>
      </c>
      <c r="G97" s="444" t="s">
        <v>1563</v>
      </c>
      <c r="H97" s="36"/>
    </row>
    <row r="98" spans="3:8" x14ac:dyDescent="0.25">
      <c r="C98" s="36">
        <v>1</v>
      </c>
      <c r="D98" s="36">
        <v>0</v>
      </c>
      <c r="E98" s="36"/>
      <c r="F98" s="162">
        <v>1</v>
      </c>
      <c r="G98" s="162">
        <v>0</v>
      </c>
      <c r="H98" s="36"/>
    </row>
    <row r="99" spans="3:8" x14ac:dyDescent="0.25">
      <c r="C99" s="36">
        <v>2</v>
      </c>
      <c r="D99" s="36">
        <v>0</v>
      </c>
      <c r="E99" s="36"/>
      <c r="F99" s="162">
        <v>2</v>
      </c>
      <c r="G99" s="162">
        <v>0</v>
      </c>
      <c r="H99" s="36"/>
    </row>
    <row r="100" spans="3:8" x14ac:dyDescent="0.25">
      <c r="C100" s="36">
        <v>3</v>
      </c>
      <c r="D100" s="36">
        <v>0</v>
      </c>
      <c r="E100" s="36"/>
      <c r="F100" s="162">
        <v>3</v>
      </c>
      <c r="G100" s="162">
        <v>0</v>
      </c>
      <c r="H100" s="36"/>
    </row>
    <row r="101" spans="3:8" x14ac:dyDescent="0.25">
      <c r="C101" s="36">
        <v>4</v>
      </c>
      <c r="D101" s="36">
        <v>0</v>
      </c>
      <c r="E101" s="36"/>
      <c r="F101" s="162">
        <v>4</v>
      </c>
      <c r="G101" s="162">
        <v>0</v>
      </c>
      <c r="H101" s="36"/>
    </row>
    <row r="102" spans="3:8" x14ac:dyDescent="0.25">
      <c r="C102" s="36">
        <v>5</v>
      </c>
      <c r="D102" s="36">
        <v>0</v>
      </c>
      <c r="E102" s="36"/>
      <c r="F102" s="162">
        <v>5</v>
      </c>
      <c r="G102" s="162">
        <v>0</v>
      </c>
      <c r="H102" s="36"/>
    </row>
    <row r="103" spans="3:8" x14ac:dyDescent="0.25">
      <c r="C103" s="36">
        <v>6</v>
      </c>
      <c r="D103" s="52">
        <v>1000</v>
      </c>
      <c r="E103" s="36"/>
      <c r="F103" s="162">
        <v>6</v>
      </c>
      <c r="G103" s="706">
        <v>1000</v>
      </c>
      <c r="H103" s="36"/>
    </row>
    <row r="104" spans="3:8" x14ac:dyDescent="0.25">
      <c r="C104" s="498" t="s">
        <v>2347</v>
      </c>
      <c r="D104" s="52">
        <v>1000</v>
      </c>
      <c r="E104" s="36"/>
      <c r="F104" s="444" t="s">
        <v>2346</v>
      </c>
      <c r="G104" s="706">
        <f>G103*(1+0.05)</f>
        <v>1050</v>
      </c>
      <c r="H104" s="36"/>
    </row>
    <row r="105" spans="3:8" x14ac:dyDescent="0.25">
      <c r="C105" s="498" t="s">
        <v>2347</v>
      </c>
      <c r="D105" s="707" t="s">
        <v>2347</v>
      </c>
      <c r="E105" s="36"/>
      <c r="F105" s="444" t="s">
        <v>2346</v>
      </c>
      <c r="G105" s="706">
        <f>G104*(1+0.05)</f>
        <v>1102.5</v>
      </c>
      <c r="H105" s="36"/>
    </row>
    <row r="106" spans="3:8" x14ac:dyDescent="0.25">
      <c r="C106" s="36"/>
      <c r="D106" s="36"/>
      <c r="E106" s="36"/>
      <c r="F106" s="36"/>
      <c r="G106" s="706">
        <f>G105*(1+0.05)</f>
        <v>1157.625</v>
      </c>
      <c r="H106" s="36"/>
    </row>
    <row r="107" spans="3:8" x14ac:dyDescent="0.25">
      <c r="C107" s="36"/>
      <c r="D107" s="36"/>
      <c r="E107" s="36"/>
      <c r="F107" s="36"/>
      <c r="G107" s="706">
        <f>G106*(1+0.05)</f>
        <v>1215.5062500000001</v>
      </c>
      <c r="H107" s="36"/>
    </row>
    <row r="108" spans="3:8" x14ac:dyDescent="0.25">
      <c r="C108" s="36"/>
      <c r="D108" s="36"/>
      <c r="E108" s="36"/>
      <c r="F108" s="36"/>
      <c r="G108" s="36"/>
      <c r="H108" s="36"/>
    </row>
    <row r="109" spans="3:8" x14ac:dyDescent="0.25">
      <c r="C109" s="36" t="s">
        <v>1163</v>
      </c>
      <c r="D109" s="36"/>
      <c r="E109" s="36"/>
      <c r="F109" s="36"/>
      <c r="G109" s="36"/>
      <c r="H109" s="36"/>
    </row>
    <row r="110" spans="3:8" x14ac:dyDescent="0.25">
      <c r="C110" s="36"/>
      <c r="D110" s="36"/>
      <c r="E110" s="36"/>
      <c r="F110" s="418">
        <f>G103/(D85-5%)</f>
        <v>16666.666666666668</v>
      </c>
      <c r="G110" s="36" t="s">
        <v>2345</v>
      </c>
      <c r="H110" s="36"/>
    </row>
    <row r="111" spans="3:8" x14ac:dyDescent="0.25">
      <c r="C111" s="36"/>
      <c r="D111" s="36"/>
      <c r="E111" s="36" t="s">
        <v>2344</v>
      </c>
      <c r="F111" s="418">
        <f>F110*(1+D85)^-5</f>
        <v>9890.8554676426447</v>
      </c>
      <c r="G111" s="36" t="s">
        <v>2343</v>
      </c>
      <c r="H111" s="36"/>
    </row>
  </sheetData>
  <hyperlinks>
    <hyperlink ref="F2" location="Investeringsteori!A1" display="Investeringsteori" xr:uid="{00000000-0004-0000-1D00-000000000000}"/>
  </hyperlinks>
  <pageMargins left="0.75" right="0.75" top="1" bottom="1" header="0.5" footer="0.5"/>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E2:R47"/>
  <sheetViews>
    <sheetView topLeftCell="C1" workbookViewId="0">
      <selection activeCell="E2" sqref="E2"/>
    </sheetView>
  </sheetViews>
  <sheetFormatPr defaultColWidth="10.875" defaultRowHeight="15.75" x14ac:dyDescent="0.25"/>
  <cols>
    <col min="1" max="2" width="10.875" style="1"/>
    <col min="3" max="3" width="15.125" style="1" bestFit="1" customWidth="1"/>
    <col min="4" max="4" width="22.875" style="1" bestFit="1" customWidth="1"/>
    <col min="5" max="6" width="15.125" style="1" bestFit="1" customWidth="1"/>
    <col min="7" max="7" width="13.625" style="11" bestFit="1" customWidth="1"/>
    <col min="8" max="8" width="47.125" style="1" customWidth="1"/>
    <col min="9" max="9" width="15.125" style="1" bestFit="1" customWidth="1"/>
    <col min="10" max="10" width="22.875" style="1" bestFit="1" customWidth="1"/>
    <col min="11" max="12" width="15.125" style="1" bestFit="1" customWidth="1"/>
    <col min="13" max="18" width="13.625" style="1" bestFit="1" customWidth="1"/>
    <col min="19" max="16384" width="10.875" style="1"/>
  </cols>
  <sheetData>
    <row r="2" spans="5:18" x14ac:dyDescent="0.25">
      <c r="E2" s="101" t="s">
        <v>1025</v>
      </c>
    </row>
    <row r="7" spans="5:18" x14ac:dyDescent="0.25">
      <c r="H7" s="1" t="s">
        <v>1217</v>
      </c>
    </row>
    <row r="8" spans="5:18" x14ac:dyDescent="0.25">
      <c r="H8" s="377" t="s">
        <v>1104</v>
      </c>
      <c r="I8" s="384">
        <v>7</v>
      </c>
      <c r="J8" s="385"/>
      <c r="R8" s="386"/>
    </row>
    <row r="9" spans="5:18" x14ac:dyDescent="0.25">
      <c r="H9" s="377" t="s">
        <v>1216</v>
      </c>
      <c r="I9" s="398">
        <v>20000</v>
      </c>
      <c r="J9" s="385" t="s">
        <v>1215</v>
      </c>
      <c r="M9" s="397"/>
    </row>
    <row r="10" spans="5:18" x14ac:dyDescent="0.25">
      <c r="H10" s="377" t="s">
        <v>1214</v>
      </c>
      <c r="I10" s="384">
        <v>39.5</v>
      </c>
      <c r="J10" s="385" t="s">
        <v>1213</v>
      </c>
    </row>
    <row r="11" spans="5:18" x14ac:dyDescent="0.25">
      <c r="H11" s="377" t="s">
        <v>1212</v>
      </c>
      <c r="I11" s="392">
        <v>1023</v>
      </c>
      <c r="J11" s="13" t="s">
        <v>1211</v>
      </c>
    </row>
    <row r="12" spans="5:18" x14ac:dyDescent="0.25">
      <c r="H12" s="377" t="s">
        <v>1210</v>
      </c>
      <c r="I12" s="10">
        <v>223.5</v>
      </c>
      <c r="J12" s="385" t="s">
        <v>1209</v>
      </c>
    </row>
    <row r="13" spans="5:18" x14ac:dyDescent="0.25">
      <c r="H13" s="384" t="s">
        <v>1208</v>
      </c>
      <c r="I13" s="396">
        <v>0.08</v>
      </c>
      <c r="J13" s="385"/>
      <c r="L13" s="278"/>
    </row>
    <row r="14" spans="5:18" x14ac:dyDescent="0.25">
      <c r="H14" s="278" t="s">
        <v>1207</v>
      </c>
      <c r="I14" s="278"/>
      <c r="J14" s="278"/>
      <c r="K14" s="278"/>
    </row>
    <row r="16" spans="5:18" x14ac:dyDescent="0.25">
      <c r="H16" s="278" t="s">
        <v>1206</v>
      </c>
      <c r="J16" s="377" t="s">
        <v>1202</v>
      </c>
      <c r="K16" s="377">
        <v>0</v>
      </c>
      <c r="L16" s="377">
        <v>1</v>
      </c>
      <c r="M16" s="377">
        <v>2</v>
      </c>
      <c r="N16" s="377">
        <v>3</v>
      </c>
      <c r="O16" s="377">
        <v>4</v>
      </c>
      <c r="P16" s="377">
        <v>5</v>
      </c>
      <c r="Q16" s="377">
        <v>6</v>
      </c>
      <c r="R16" s="377">
        <v>7</v>
      </c>
    </row>
    <row r="17" spans="8:18" x14ac:dyDescent="0.25">
      <c r="H17" s="377" t="s">
        <v>1205</v>
      </c>
      <c r="I17" s="379">
        <v>859400</v>
      </c>
      <c r="J17" s="11" t="s">
        <v>1200</v>
      </c>
      <c r="K17" s="391">
        <f>-I17</f>
        <v>-859400</v>
      </c>
      <c r="L17" s="391">
        <v>0</v>
      </c>
      <c r="M17" s="391">
        <f t="shared" ref="M17:R17" si="0">L17</f>
        <v>0</v>
      </c>
      <c r="N17" s="391">
        <f t="shared" si="0"/>
        <v>0</v>
      </c>
      <c r="O17" s="391">
        <f t="shared" si="0"/>
        <v>0</v>
      </c>
      <c r="P17" s="391">
        <f t="shared" si="0"/>
        <v>0</v>
      </c>
      <c r="Q17" s="391">
        <f t="shared" si="0"/>
        <v>0</v>
      </c>
      <c r="R17" s="395">
        <f t="shared" si="0"/>
        <v>0</v>
      </c>
    </row>
    <row r="18" spans="8:18" x14ac:dyDescent="0.25">
      <c r="H18" s="377" t="s">
        <v>1199</v>
      </c>
      <c r="I18" s="380">
        <v>14000</v>
      </c>
      <c r="J18" s="11" t="s">
        <v>1198</v>
      </c>
      <c r="K18" s="390">
        <v>0</v>
      </c>
      <c r="L18" s="390">
        <f t="shared" ref="L18:R18" si="1">$I$18*$I$10</f>
        <v>553000</v>
      </c>
      <c r="M18" s="390">
        <f t="shared" si="1"/>
        <v>553000</v>
      </c>
      <c r="N18" s="390">
        <f t="shared" si="1"/>
        <v>553000</v>
      </c>
      <c r="O18" s="390">
        <f t="shared" si="1"/>
        <v>553000</v>
      </c>
      <c r="P18" s="390">
        <f t="shared" si="1"/>
        <v>553000</v>
      </c>
      <c r="Q18" s="390">
        <f t="shared" si="1"/>
        <v>553000</v>
      </c>
      <c r="R18" s="395">
        <f t="shared" si="1"/>
        <v>553000</v>
      </c>
    </row>
    <row r="19" spans="8:18" x14ac:dyDescent="0.25">
      <c r="H19" s="377" t="s">
        <v>1204</v>
      </c>
      <c r="I19" s="379">
        <f>'Følsomhedsanalyse - eks'!O32</f>
        <v>5.32</v>
      </c>
      <c r="J19" s="11" t="s">
        <v>1196</v>
      </c>
      <c r="K19" s="390">
        <v>0</v>
      </c>
      <c r="L19" s="390">
        <f t="shared" ref="L19:R19" si="2">-($I$19*$I$18)</f>
        <v>-74480</v>
      </c>
      <c r="M19" s="390">
        <f t="shared" si="2"/>
        <v>-74480</v>
      </c>
      <c r="N19" s="390">
        <f t="shared" si="2"/>
        <v>-74480</v>
      </c>
      <c r="O19" s="390">
        <f t="shared" si="2"/>
        <v>-74480</v>
      </c>
      <c r="P19" s="390">
        <f t="shared" si="2"/>
        <v>-74480</v>
      </c>
      <c r="Q19" s="390">
        <f t="shared" si="2"/>
        <v>-74480</v>
      </c>
      <c r="R19" s="395">
        <f t="shared" si="2"/>
        <v>-74480</v>
      </c>
    </row>
    <row r="20" spans="8:18" x14ac:dyDescent="0.25">
      <c r="H20" s="377" t="s">
        <v>1195</v>
      </c>
      <c r="I20" s="377">
        <v>78</v>
      </c>
      <c r="J20" s="11" t="s">
        <v>1194</v>
      </c>
      <c r="K20" s="390">
        <v>0</v>
      </c>
      <c r="L20" s="390">
        <f t="shared" ref="L20:R20" si="3">-($I$20*$I$11)</f>
        <v>-79794</v>
      </c>
      <c r="M20" s="390">
        <f t="shared" si="3"/>
        <v>-79794</v>
      </c>
      <c r="N20" s="390">
        <f t="shared" si="3"/>
        <v>-79794</v>
      </c>
      <c r="O20" s="390">
        <f t="shared" si="3"/>
        <v>-79794</v>
      </c>
      <c r="P20" s="390">
        <f t="shared" si="3"/>
        <v>-79794</v>
      </c>
      <c r="Q20" s="390">
        <f t="shared" si="3"/>
        <v>-79794</v>
      </c>
      <c r="R20" s="395">
        <f t="shared" si="3"/>
        <v>-79794</v>
      </c>
    </row>
    <row r="21" spans="8:18" x14ac:dyDescent="0.25">
      <c r="H21" s="377" t="s">
        <v>1193</v>
      </c>
      <c r="I21" s="377">
        <v>600</v>
      </c>
      <c r="J21" s="11" t="s">
        <v>779</v>
      </c>
      <c r="K21" s="390">
        <v>0</v>
      </c>
      <c r="L21" s="390">
        <f t="shared" ref="L21:R21" si="4">-($I$21*$I$12)</f>
        <v>-134100</v>
      </c>
      <c r="M21" s="390">
        <f t="shared" si="4"/>
        <v>-134100</v>
      </c>
      <c r="N21" s="390">
        <f t="shared" si="4"/>
        <v>-134100</v>
      </c>
      <c r="O21" s="390">
        <f t="shared" si="4"/>
        <v>-134100</v>
      </c>
      <c r="P21" s="390">
        <f t="shared" si="4"/>
        <v>-134100</v>
      </c>
      <c r="Q21" s="390">
        <f t="shared" si="4"/>
        <v>-134100</v>
      </c>
      <c r="R21" s="395">
        <f t="shared" si="4"/>
        <v>-134100</v>
      </c>
    </row>
    <row r="22" spans="8:18" x14ac:dyDescent="0.25">
      <c r="H22" s="377" t="s">
        <v>1192</v>
      </c>
      <c r="I22" s="379">
        <v>50000</v>
      </c>
      <c r="J22" s="88" t="s">
        <v>1191</v>
      </c>
      <c r="K22" s="389">
        <v>0</v>
      </c>
      <c r="L22" s="389">
        <v>0</v>
      </c>
      <c r="M22" s="389">
        <v>0</v>
      </c>
      <c r="N22" s="389">
        <v>0</v>
      </c>
      <c r="O22" s="389">
        <v>0</v>
      </c>
      <c r="P22" s="389">
        <v>0</v>
      </c>
      <c r="Q22" s="389">
        <v>0</v>
      </c>
      <c r="R22" s="394">
        <f>I22</f>
        <v>50000</v>
      </c>
    </row>
    <row r="23" spans="8:18" x14ac:dyDescent="0.25">
      <c r="J23" s="278" t="s">
        <v>1190</v>
      </c>
      <c r="K23" s="386">
        <f t="shared" ref="K23:R23" si="5">SUM(K17:K22)</f>
        <v>-859400</v>
      </c>
      <c r="L23" s="386">
        <f t="shared" si="5"/>
        <v>264626</v>
      </c>
      <c r="M23" s="386">
        <f t="shared" si="5"/>
        <v>264626</v>
      </c>
      <c r="N23" s="386">
        <f t="shared" si="5"/>
        <v>264626</v>
      </c>
      <c r="O23" s="386">
        <f t="shared" si="5"/>
        <v>264626</v>
      </c>
      <c r="P23" s="386">
        <f t="shared" si="5"/>
        <v>264626</v>
      </c>
      <c r="Q23" s="386">
        <f t="shared" si="5"/>
        <v>264626</v>
      </c>
      <c r="R23" s="386">
        <f t="shared" si="5"/>
        <v>314626</v>
      </c>
    </row>
    <row r="24" spans="8:18" x14ac:dyDescent="0.25">
      <c r="J24" s="278" t="s">
        <v>1189</v>
      </c>
      <c r="K24" s="386">
        <f t="shared" ref="K24:R24" si="6">K23/(1+$I$13)^K16</f>
        <v>-859400</v>
      </c>
      <c r="L24" s="386">
        <f t="shared" si="6"/>
        <v>245024.07407407404</v>
      </c>
      <c r="M24" s="386">
        <f t="shared" si="6"/>
        <v>226874.14266117968</v>
      </c>
      <c r="N24" s="386">
        <f t="shared" si="6"/>
        <v>210068.6506122034</v>
      </c>
      <c r="O24" s="386">
        <f t="shared" si="6"/>
        <v>194508.00982611423</v>
      </c>
      <c r="P24" s="386">
        <f t="shared" si="6"/>
        <v>180100.00909825391</v>
      </c>
      <c r="Q24" s="386">
        <f t="shared" si="6"/>
        <v>166759.26768356844</v>
      </c>
      <c r="R24" s="386">
        <f t="shared" si="6"/>
        <v>183581.24909974411</v>
      </c>
    </row>
    <row r="25" spans="8:18" x14ac:dyDescent="0.25">
      <c r="J25" s="278" t="s">
        <v>1188</v>
      </c>
      <c r="K25" s="386">
        <f>K24</f>
        <v>-859400</v>
      </c>
      <c r="L25" s="386">
        <f t="shared" ref="L25:R25" si="7">L24+K25</f>
        <v>-614375.92592592596</v>
      </c>
      <c r="M25" s="386">
        <f t="shared" si="7"/>
        <v>-387501.78326474631</v>
      </c>
      <c r="N25" s="386">
        <f t="shared" si="7"/>
        <v>-177433.1326525429</v>
      </c>
      <c r="O25" s="386">
        <f t="shared" si="7"/>
        <v>17074.877173571324</v>
      </c>
      <c r="P25" s="386">
        <f t="shared" si="7"/>
        <v>197174.88627182523</v>
      </c>
      <c r="Q25" s="386">
        <f t="shared" si="7"/>
        <v>363934.1539553937</v>
      </c>
      <c r="R25" s="386">
        <f t="shared" si="7"/>
        <v>547515.40305513784</v>
      </c>
    </row>
    <row r="26" spans="8:18" x14ac:dyDescent="0.25">
      <c r="J26" s="278" t="s">
        <v>1187</v>
      </c>
      <c r="K26" s="386">
        <f>R25</f>
        <v>547515.40305513784</v>
      </c>
      <c r="L26" s="386"/>
      <c r="M26" s="386"/>
      <c r="N26" s="386"/>
      <c r="O26" s="386"/>
      <c r="P26" s="386"/>
      <c r="Q26" s="386"/>
      <c r="R26" s="386"/>
    </row>
    <row r="27" spans="8:18" x14ac:dyDescent="0.25">
      <c r="J27" s="1" t="s">
        <v>1186</v>
      </c>
      <c r="K27" s="386">
        <f>NPV(I13,L23:R23)+K23</f>
        <v>547515.40305513795</v>
      </c>
      <c r="L27" s="386"/>
      <c r="M27" s="386"/>
      <c r="N27" s="386"/>
      <c r="O27" s="386"/>
      <c r="P27" s="386"/>
      <c r="Q27" s="386"/>
      <c r="R27" s="386"/>
    </row>
    <row r="28" spans="8:18" x14ac:dyDescent="0.25">
      <c r="J28" s="278" t="s">
        <v>1185</v>
      </c>
      <c r="K28" s="393">
        <f>IRR(K23:R23)</f>
        <v>0.24433556180890514</v>
      </c>
    </row>
    <row r="29" spans="8:18" x14ac:dyDescent="0.25">
      <c r="J29" s="278" t="s">
        <v>1184</v>
      </c>
      <c r="K29" s="386">
        <f>-FV(I13,I8,,K26)</f>
        <v>938345.18528649618</v>
      </c>
    </row>
    <row r="33" spans="8:18" x14ac:dyDescent="0.25">
      <c r="L33" s="1">
        <v>36000</v>
      </c>
      <c r="M33" s="383">
        <v>4000</v>
      </c>
      <c r="N33" s="1">
        <v>20000</v>
      </c>
    </row>
    <row r="34" spans="8:18" x14ac:dyDescent="0.25">
      <c r="H34" s="278" t="s">
        <v>1203</v>
      </c>
      <c r="J34" s="377" t="s">
        <v>1202</v>
      </c>
      <c r="K34" s="377">
        <v>0</v>
      </c>
      <c r="L34" s="377">
        <v>1</v>
      </c>
      <c r="M34" s="377">
        <v>2</v>
      </c>
      <c r="N34" s="377">
        <v>3</v>
      </c>
      <c r="O34" s="377">
        <v>4</v>
      </c>
      <c r="P34" s="377">
        <v>5</v>
      </c>
      <c r="Q34" s="377">
        <v>6</v>
      </c>
      <c r="R34" s="8">
        <v>7</v>
      </c>
    </row>
    <row r="35" spans="8:18" x14ac:dyDescent="0.25">
      <c r="H35" s="377" t="s">
        <v>1201</v>
      </c>
      <c r="I35" s="379">
        <v>1856500</v>
      </c>
      <c r="J35" s="11" t="s">
        <v>1200</v>
      </c>
      <c r="K35" s="391">
        <f>-I35</f>
        <v>-1856500</v>
      </c>
      <c r="L35" s="391">
        <v>0</v>
      </c>
      <c r="M35" s="391">
        <v>0</v>
      </c>
      <c r="N35" s="391">
        <v>0</v>
      </c>
      <c r="O35" s="391">
        <v>0</v>
      </c>
      <c r="P35" s="391">
        <v>0</v>
      </c>
      <c r="Q35" s="392">
        <v>0</v>
      </c>
      <c r="R35" s="391">
        <v>0</v>
      </c>
    </row>
    <row r="36" spans="8:18" x14ac:dyDescent="0.25">
      <c r="H36" s="377" t="s">
        <v>1199</v>
      </c>
      <c r="I36" s="377">
        <v>18000</v>
      </c>
      <c r="J36" s="11" t="s">
        <v>1198</v>
      </c>
      <c r="K36" s="390">
        <v>0</v>
      </c>
      <c r="L36" s="390">
        <f>I36*$I$10</f>
        <v>711000</v>
      </c>
      <c r="M36" s="390">
        <f t="shared" ref="M36:R37" si="8">L36</f>
        <v>711000</v>
      </c>
      <c r="N36" s="390">
        <f t="shared" si="8"/>
        <v>711000</v>
      </c>
      <c r="O36" s="390">
        <f t="shared" si="8"/>
        <v>711000</v>
      </c>
      <c r="P36" s="390">
        <f t="shared" si="8"/>
        <v>711000</v>
      </c>
      <c r="Q36" s="390">
        <f t="shared" si="8"/>
        <v>711000</v>
      </c>
      <c r="R36" s="390">
        <f t="shared" si="8"/>
        <v>711000</v>
      </c>
    </row>
    <row r="37" spans="8:18" x14ac:dyDescent="0.25">
      <c r="H37" s="377" t="s">
        <v>1197</v>
      </c>
      <c r="I37" s="379">
        <f>'Følsomhedsanalyse - eks'!O33</f>
        <v>3.43</v>
      </c>
      <c r="J37" s="11" t="s">
        <v>1196</v>
      </c>
      <c r="K37" s="390">
        <v>0</v>
      </c>
      <c r="L37" s="390">
        <f>-($I$37*I36)</f>
        <v>-61740</v>
      </c>
      <c r="M37" s="390">
        <f t="shared" si="8"/>
        <v>-61740</v>
      </c>
      <c r="N37" s="390">
        <f t="shared" si="8"/>
        <v>-61740</v>
      </c>
      <c r="O37" s="390">
        <f t="shared" si="8"/>
        <v>-61740</v>
      </c>
      <c r="P37" s="390">
        <f t="shared" si="8"/>
        <v>-61740</v>
      </c>
      <c r="Q37" s="390">
        <f t="shared" si="8"/>
        <v>-61740</v>
      </c>
      <c r="R37" s="390">
        <f t="shared" si="8"/>
        <v>-61740</v>
      </c>
    </row>
    <row r="38" spans="8:18" x14ac:dyDescent="0.25">
      <c r="H38" s="377" t="s">
        <v>1195</v>
      </c>
      <c r="I38" s="377">
        <v>67</v>
      </c>
      <c r="J38" s="11" t="s">
        <v>1194</v>
      </c>
      <c r="K38" s="390">
        <v>0</v>
      </c>
      <c r="L38" s="390">
        <f t="shared" ref="L38:R38" si="9">-($I$38*$I$11)</f>
        <v>-68541</v>
      </c>
      <c r="M38" s="390">
        <f t="shared" si="9"/>
        <v>-68541</v>
      </c>
      <c r="N38" s="390">
        <f t="shared" si="9"/>
        <v>-68541</v>
      </c>
      <c r="O38" s="390">
        <f t="shared" si="9"/>
        <v>-68541</v>
      </c>
      <c r="P38" s="390">
        <f t="shared" si="9"/>
        <v>-68541</v>
      </c>
      <c r="Q38" s="390">
        <f t="shared" si="9"/>
        <v>-68541</v>
      </c>
      <c r="R38" s="390">
        <f t="shared" si="9"/>
        <v>-68541</v>
      </c>
    </row>
    <row r="39" spans="8:18" x14ac:dyDescent="0.25">
      <c r="H39" s="377" t="s">
        <v>1193</v>
      </c>
      <c r="I39" s="377">
        <v>400</v>
      </c>
      <c r="J39" s="11" t="s">
        <v>779</v>
      </c>
      <c r="K39" s="390">
        <v>0</v>
      </c>
      <c r="L39" s="390">
        <f t="shared" ref="L39:R39" si="10">-($I$39*$I$12)</f>
        <v>-89400</v>
      </c>
      <c r="M39" s="390">
        <f t="shared" si="10"/>
        <v>-89400</v>
      </c>
      <c r="N39" s="390">
        <f t="shared" si="10"/>
        <v>-89400</v>
      </c>
      <c r="O39" s="390">
        <f t="shared" si="10"/>
        <v>-89400</v>
      </c>
      <c r="P39" s="390">
        <f t="shared" si="10"/>
        <v>-89400</v>
      </c>
      <c r="Q39" s="390">
        <f t="shared" si="10"/>
        <v>-89400</v>
      </c>
      <c r="R39" s="390">
        <f t="shared" si="10"/>
        <v>-89400</v>
      </c>
    </row>
    <row r="40" spans="8:18" x14ac:dyDescent="0.25">
      <c r="H40" s="377" t="s">
        <v>1192</v>
      </c>
      <c r="I40" s="379">
        <v>80000</v>
      </c>
      <c r="J40" s="88" t="s">
        <v>1191</v>
      </c>
      <c r="K40" s="389">
        <v>0</v>
      </c>
      <c r="L40" s="389">
        <v>0</v>
      </c>
      <c r="M40" s="389">
        <v>0</v>
      </c>
      <c r="N40" s="389">
        <v>0</v>
      </c>
      <c r="O40" s="389">
        <v>0</v>
      </c>
      <c r="P40" s="389">
        <v>0</v>
      </c>
      <c r="Q40" s="389">
        <v>0</v>
      </c>
      <c r="R40" s="389">
        <f>I40</f>
        <v>80000</v>
      </c>
    </row>
    <row r="41" spans="8:18" x14ac:dyDescent="0.25">
      <c r="J41" s="278" t="s">
        <v>1190</v>
      </c>
      <c r="K41" s="386">
        <f t="shared" ref="K41:R41" si="11">SUM(K35:K40)</f>
        <v>-1856500</v>
      </c>
      <c r="L41" s="386">
        <f t="shared" si="11"/>
        <v>491319</v>
      </c>
      <c r="M41" s="386">
        <f t="shared" si="11"/>
        <v>491319</v>
      </c>
      <c r="N41" s="386">
        <f t="shared" si="11"/>
        <v>491319</v>
      </c>
      <c r="O41" s="386">
        <f t="shared" si="11"/>
        <v>491319</v>
      </c>
      <c r="P41" s="386">
        <f t="shared" si="11"/>
        <v>491319</v>
      </c>
      <c r="Q41" s="386">
        <f t="shared" si="11"/>
        <v>491319</v>
      </c>
      <c r="R41" s="386">
        <f t="shared" si="11"/>
        <v>571319</v>
      </c>
    </row>
    <row r="42" spans="8:18" x14ac:dyDescent="0.25">
      <c r="J42" s="278" t="s">
        <v>1189</v>
      </c>
      <c r="K42" s="386">
        <f t="shared" ref="K42:R42" si="12">K41/(1+$I$13)^K34</f>
        <v>-1856500</v>
      </c>
      <c r="L42" s="386">
        <f t="shared" si="12"/>
        <v>454924.99999999994</v>
      </c>
      <c r="M42" s="386">
        <f t="shared" si="12"/>
        <v>421226.8518518518</v>
      </c>
      <c r="N42" s="386">
        <f t="shared" si="12"/>
        <v>390024.86282578867</v>
      </c>
      <c r="O42" s="386">
        <f t="shared" si="12"/>
        <v>361134.13224610063</v>
      </c>
      <c r="P42" s="386">
        <f t="shared" si="12"/>
        <v>334383.45578342647</v>
      </c>
      <c r="Q42" s="386">
        <f t="shared" si="12"/>
        <v>309614.31091058004</v>
      </c>
      <c r="R42" s="386">
        <f t="shared" si="12"/>
        <v>333359.14913076704</v>
      </c>
    </row>
    <row r="43" spans="8:18" x14ac:dyDescent="0.25">
      <c r="J43" s="278" t="s">
        <v>1188</v>
      </c>
      <c r="K43" s="386">
        <f>K42</f>
        <v>-1856500</v>
      </c>
      <c r="L43" s="386">
        <f t="shared" ref="L43:R43" si="13">L42+K43</f>
        <v>-1401575</v>
      </c>
      <c r="M43" s="386">
        <f t="shared" si="13"/>
        <v>-980348.1481481482</v>
      </c>
      <c r="N43" s="386">
        <f t="shared" si="13"/>
        <v>-590323.28532235953</v>
      </c>
      <c r="O43" s="386">
        <f t="shared" si="13"/>
        <v>-229189.1530762589</v>
      </c>
      <c r="P43" s="386">
        <f t="shared" si="13"/>
        <v>105194.30270716758</v>
      </c>
      <c r="Q43" s="386">
        <f t="shared" si="13"/>
        <v>414808.61361774761</v>
      </c>
      <c r="R43" s="386">
        <f t="shared" si="13"/>
        <v>748167.76274851465</v>
      </c>
    </row>
    <row r="44" spans="8:18" x14ac:dyDescent="0.25">
      <c r="J44" s="278" t="s">
        <v>1187</v>
      </c>
      <c r="K44" s="386">
        <f>R43</f>
        <v>748167.76274851465</v>
      </c>
      <c r="L44" s="386"/>
      <c r="M44" s="386"/>
      <c r="N44" s="386"/>
      <c r="O44" s="386"/>
      <c r="P44" s="386"/>
      <c r="Q44" s="386"/>
      <c r="R44" s="386"/>
    </row>
    <row r="45" spans="8:18" x14ac:dyDescent="0.25">
      <c r="J45" s="1" t="s">
        <v>1186</v>
      </c>
      <c r="K45" s="386">
        <f>NPV(I13,L41:R41)+K41</f>
        <v>748167.7627485143</v>
      </c>
      <c r="L45" s="386"/>
      <c r="M45" s="386"/>
      <c r="N45" s="386"/>
      <c r="O45" s="386"/>
      <c r="P45" s="386"/>
      <c r="Q45" s="386"/>
      <c r="R45" s="386"/>
    </row>
    <row r="46" spans="8:18" x14ac:dyDescent="0.25">
      <c r="J46" s="278" t="s">
        <v>1185</v>
      </c>
      <c r="K46" s="388">
        <f>IRR(K41:R41)</f>
        <v>0.18768546334161318</v>
      </c>
      <c r="L46" s="386"/>
      <c r="M46" s="386"/>
      <c r="N46" s="386"/>
      <c r="O46" s="386"/>
      <c r="P46" s="386"/>
      <c r="Q46" s="386"/>
      <c r="R46" s="386"/>
    </row>
    <row r="47" spans="8:18" x14ac:dyDescent="0.25">
      <c r="J47" s="278" t="s">
        <v>1184</v>
      </c>
      <c r="K47" s="387">
        <f>-FV(I13,I8,,K44)</f>
        <v>1282228.0689168831</v>
      </c>
      <c r="L47" s="386"/>
      <c r="M47" s="386"/>
      <c r="N47" s="386"/>
      <c r="O47" s="386"/>
      <c r="P47" s="386"/>
      <c r="Q47" s="386"/>
      <c r="R47" s="386"/>
    </row>
  </sheetData>
  <hyperlinks>
    <hyperlink ref="E2" location="Investeringsteori!A1" display="Investeringsteori" xr:uid="{00000000-0004-0000-1E00-000000000000}"/>
  </hyperlinks>
  <pageMargins left="0.75" right="0.75" top="1" bottom="1" header="0.5" footer="0.5"/>
  <pageSetup paperSize="9" orientation="portrait" horizontalDpi="4294967292" verticalDpi="429496729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F0"/>
  </sheetPr>
  <dimension ref="B3:F40"/>
  <sheetViews>
    <sheetView workbookViewId="0">
      <selection activeCell="L31" sqref="L31"/>
    </sheetView>
  </sheetViews>
  <sheetFormatPr defaultColWidth="10.875" defaultRowHeight="15.75" x14ac:dyDescent="0.25"/>
  <cols>
    <col min="1" max="16384" width="10.875" style="1"/>
  </cols>
  <sheetData>
    <row r="3" spans="2:6" x14ac:dyDescent="0.25">
      <c r="E3" s="101" t="s">
        <v>1228</v>
      </c>
    </row>
    <row r="8" spans="2:6" x14ac:dyDescent="0.25">
      <c r="B8" s="288" t="s">
        <v>1229</v>
      </c>
      <c r="C8" s="270"/>
      <c r="D8" s="270"/>
      <c r="E8" s="270"/>
      <c r="F8" s="270"/>
    </row>
    <row r="34" spans="2:2" x14ac:dyDescent="0.25">
      <c r="B34" s="1" t="s">
        <v>3173</v>
      </c>
    </row>
    <row r="35" spans="2:2" x14ac:dyDescent="0.25">
      <c r="B35" s="1" t="s">
        <v>3171</v>
      </c>
    </row>
    <row r="36" spans="2:2" x14ac:dyDescent="0.25">
      <c r="B36" s="1" t="s">
        <v>3172</v>
      </c>
    </row>
    <row r="37" spans="2:2" x14ac:dyDescent="0.25">
      <c r="B37" s="1" t="s">
        <v>3174</v>
      </c>
    </row>
    <row r="38" spans="2:2" x14ac:dyDescent="0.25">
      <c r="B38" s="1" t="s">
        <v>3175</v>
      </c>
    </row>
    <row r="39" spans="2:2" x14ac:dyDescent="0.25">
      <c r="B39" s="923">
        <f>(1/3)*0.1+(2/3)*0.04</f>
        <v>0.06</v>
      </c>
    </row>
    <row r="40" spans="2:2" x14ac:dyDescent="0.25">
      <c r="B40" s="1" t="s">
        <v>3176</v>
      </c>
    </row>
  </sheetData>
  <hyperlinks>
    <hyperlink ref="E3" location="Investeringsteori!A1" display="Investeringsteori!A1" xr:uid="{00000000-0004-0000-1F00-000000000000}"/>
  </hyperlinks>
  <pageMargins left="0.75" right="0.75" top="1" bottom="1" header="0.5" footer="0.5"/>
  <pageSetup paperSize="9" orientation="portrait" horizontalDpi="4294967292" verticalDpi="429496729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F0"/>
  </sheetPr>
  <dimension ref="B3:E23"/>
  <sheetViews>
    <sheetView workbookViewId="0"/>
  </sheetViews>
  <sheetFormatPr defaultColWidth="10.875" defaultRowHeight="15.75" x14ac:dyDescent="0.25"/>
  <cols>
    <col min="1" max="16384" width="10.875" style="1"/>
  </cols>
  <sheetData>
    <row r="3" spans="5:5" x14ac:dyDescent="0.25">
      <c r="E3" s="101" t="s">
        <v>1228</v>
      </c>
    </row>
    <row r="23" spans="2:2" x14ac:dyDescent="0.25">
      <c r="B23" s="1" t="s">
        <v>1248</v>
      </c>
    </row>
  </sheetData>
  <hyperlinks>
    <hyperlink ref="E3" location="Investeringsteori!A1" display="Investeringsteori!A1" xr:uid="{00000000-0004-0000-2000-000000000000}"/>
  </hyperlinks>
  <pageMargins left="0.75" right="0.75" top="1" bottom="1" header="0.5" footer="0.5"/>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F0"/>
  </sheetPr>
  <dimension ref="B4:G47"/>
  <sheetViews>
    <sheetView topLeftCell="A17" workbookViewId="0">
      <selection activeCell="B38" sqref="B38"/>
    </sheetView>
  </sheetViews>
  <sheetFormatPr defaultColWidth="10.875" defaultRowHeight="15.75" x14ac:dyDescent="0.25"/>
  <cols>
    <col min="1" max="1" width="10.875" style="1"/>
    <col min="2" max="2" width="30" style="1" bestFit="1" customWidth="1"/>
    <col min="3" max="16384" width="10.875" style="1"/>
  </cols>
  <sheetData>
    <row r="4" spans="5:5" x14ac:dyDescent="0.25">
      <c r="E4" s="101" t="s">
        <v>1228</v>
      </c>
    </row>
    <row r="36" spans="2:7" x14ac:dyDescent="0.25">
      <c r="B36" s="1" t="s">
        <v>3056</v>
      </c>
    </row>
    <row r="37" spans="2:7" x14ac:dyDescent="0.25">
      <c r="B37" s="1" t="s">
        <v>3061</v>
      </c>
    </row>
    <row r="38" spans="2:7" x14ac:dyDescent="0.25">
      <c r="B38" s="1" t="s">
        <v>3045</v>
      </c>
      <c r="C38" s="1">
        <v>0</v>
      </c>
      <c r="D38" s="1">
        <v>1</v>
      </c>
      <c r="E38" s="1">
        <v>2</v>
      </c>
      <c r="F38" s="1">
        <v>3</v>
      </c>
      <c r="G38" s="1">
        <v>4</v>
      </c>
    </row>
    <row r="39" spans="2:7" x14ac:dyDescent="0.25">
      <c r="B39" s="1" t="s">
        <v>3047</v>
      </c>
      <c r="C39" s="918">
        <v>950000</v>
      </c>
    </row>
    <row r="40" spans="2:7" x14ac:dyDescent="0.25">
      <c r="B40" s="1" t="s">
        <v>3048</v>
      </c>
      <c r="D40" s="1">
        <v>350000</v>
      </c>
      <c r="E40" s="1">
        <v>350000</v>
      </c>
      <c r="F40" s="1">
        <v>350000</v>
      </c>
      <c r="G40" s="1">
        <v>350000</v>
      </c>
    </row>
    <row r="41" spans="2:7" x14ac:dyDescent="0.25">
      <c r="B41" s="1" t="s">
        <v>3049</v>
      </c>
      <c r="D41" s="1">
        <v>1200000</v>
      </c>
      <c r="E41" s="1">
        <v>1200000</v>
      </c>
      <c r="F41" s="1">
        <v>1200000</v>
      </c>
      <c r="G41" s="1">
        <v>1200000</v>
      </c>
    </row>
    <row r="42" spans="2:7" x14ac:dyDescent="0.25">
      <c r="B42" s="1" t="s">
        <v>3053</v>
      </c>
      <c r="D42" s="1">
        <v>-528000</v>
      </c>
      <c r="E42" s="1">
        <v>-528000</v>
      </c>
      <c r="F42" s="1">
        <v>-528000</v>
      </c>
      <c r="G42" s="1">
        <v>-528000</v>
      </c>
    </row>
    <row r="43" spans="2:7" x14ac:dyDescent="0.25">
      <c r="B43" s="1" t="s">
        <v>1191</v>
      </c>
      <c r="G43" s="1">
        <v>100000</v>
      </c>
    </row>
    <row r="44" spans="2:7" x14ac:dyDescent="0.25">
      <c r="B44" s="1" t="s">
        <v>3050</v>
      </c>
      <c r="C44" s="918">
        <v>-950000</v>
      </c>
      <c r="D44" s="1">
        <v>322000</v>
      </c>
      <c r="E44" s="1">
        <v>322000</v>
      </c>
      <c r="F44" s="1">
        <v>322000</v>
      </c>
      <c r="G44" s="1">
        <v>422000</v>
      </c>
    </row>
    <row r="45" spans="2:7" x14ac:dyDescent="0.25">
      <c r="B45" s="1" t="s">
        <v>3051</v>
      </c>
      <c r="C45" s="918">
        <v>138998.01926097902</v>
      </c>
    </row>
    <row r="46" spans="2:7" x14ac:dyDescent="0.25">
      <c r="B46" s="1" t="s">
        <v>1185</v>
      </c>
      <c r="C46" s="919">
        <f>IRR(C44:G44)</f>
        <v>0.16315568541804715</v>
      </c>
    </row>
    <row r="47" spans="2:7" x14ac:dyDescent="0.25">
      <c r="B47" s="1" t="s">
        <v>3057</v>
      </c>
    </row>
  </sheetData>
  <hyperlinks>
    <hyperlink ref="E4" location="Investeringsteori!A1" display="Investeringsteori!A1" xr:uid="{00000000-0004-0000-2100-000000000000}"/>
  </hyperlinks>
  <pageMargins left="0.75" right="0.75" top="1" bottom="1" header="0.5" footer="0.5"/>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B0F0"/>
  </sheetPr>
  <dimension ref="B5:H49"/>
  <sheetViews>
    <sheetView topLeftCell="A16" workbookViewId="0">
      <selection activeCell="B50" sqref="B50"/>
    </sheetView>
  </sheetViews>
  <sheetFormatPr defaultColWidth="10.875" defaultRowHeight="15.75" x14ac:dyDescent="0.25"/>
  <cols>
    <col min="1" max="1" width="10.875" style="1"/>
    <col min="2" max="2" width="26.625" style="1" bestFit="1" customWidth="1"/>
    <col min="3" max="6" width="10.875" style="1"/>
    <col min="7" max="7" width="16.625" style="1" customWidth="1"/>
    <col min="8" max="16384" width="10.875" style="1"/>
  </cols>
  <sheetData>
    <row r="5" spans="3:3" x14ac:dyDescent="0.25">
      <c r="C5" s="101" t="s">
        <v>1228</v>
      </c>
    </row>
    <row r="31" spans="2:8" x14ac:dyDescent="0.25">
      <c r="B31" s="1" t="s">
        <v>3058</v>
      </c>
      <c r="G31" s="1" t="s">
        <v>1503</v>
      </c>
      <c r="H31" s="393">
        <v>0.1</v>
      </c>
    </row>
    <row r="32" spans="2:8" x14ac:dyDescent="0.25">
      <c r="B32" s="1" t="s">
        <v>3060</v>
      </c>
      <c r="H32" s="393"/>
    </row>
    <row r="33" spans="2:7" x14ac:dyDescent="0.25">
      <c r="B33" s="1" t="s">
        <v>3045</v>
      </c>
      <c r="C33" s="1">
        <v>0</v>
      </c>
      <c r="D33" s="1">
        <v>1</v>
      </c>
      <c r="E33" s="1">
        <v>2</v>
      </c>
      <c r="F33" s="1">
        <v>3</v>
      </c>
      <c r="G33" s="1">
        <v>4</v>
      </c>
    </row>
    <row r="34" spans="2:7" x14ac:dyDescent="0.25">
      <c r="B34" s="1" t="s">
        <v>3047</v>
      </c>
      <c r="C34" s="1">
        <v>950000</v>
      </c>
    </row>
    <row r="35" spans="2:7" x14ac:dyDescent="0.25">
      <c r="B35" s="1" t="s">
        <v>3048</v>
      </c>
      <c r="D35" s="1">
        <v>350000</v>
      </c>
      <c r="E35" s="1">
        <v>350000</v>
      </c>
      <c r="F35" s="1">
        <v>350000</v>
      </c>
      <c r="G35" s="1">
        <v>350000</v>
      </c>
    </row>
    <row r="36" spans="2:7" x14ac:dyDescent="0.25">
      <c r="B36" s="1" t="s">
        <v>3049</v>
      </c>
      <c r="D36" s="1">
        <v>1200000</v>
      </c>
      <c r="E36" s="1">
        <v>1200000</v>
      </c>
      <c r="F36" s="1">
        <v>1200000</v>
      </c>
      <c r="G36" s="1">
        <v>1200000</v>
      </c>
    </row>
    <row r="37" spans="2:7" x14ac:dyDescent="0.25">
      <c r="B37" s="1" t="s">
        <v>3053</v>
      </c>
      <c r="D37" s="1">
        <v>-528000</v>
      </c>
      <c r="E37" s="1">
        <v>-528000</v>
      </c>
      <c r="F37" s="1">
        <v>-528000</v>
      </c>
      <c r="G37" s="1">
        <v>-528000</v>
      </c>
    </row>
    <row r="38" spans="2:7" x14ac:dyDescent="0.25">
      <c r="B38" s="1" t="s">
        <v>1191</v>
      </c>
      <c r="G38" s="1">
        <v>100000</v>
      </c>
    </row>
    <row r="39" spans="2:7" x14ac:dyDescent="0.25">
      <c r="B39" s="1" t="s">
        <v>3050</v>
      </c>
      <c r="C39" s="1">
        <v>-950000</v>
      </c>
      <c r="D39" s="1">
        <v>322000</v>
      </c>
      <c r="E39" s="1">
        <v>322000</v>
      </c>
      <c r="F39" s="1">
        <v>322000</v>
      </c>
      <c r="G39" s="1">
        <v>422000</v>
      </c>
    </row>
    <row r="40" spans="2:7" x14ac:dyDescent="0.25">
      <c r="B40" s="1" t="s">
        <v>3051</v>
      </c>
      <c r="C40" s="1">
        <v>138998.01926097902</v>
      </c>
    </row>
    <row r="41" spans="2:7" x14ac:dyDescent="0.25">
      <c r="B41" s="1" t="s">
        <v>1185</v>
      </c>
      <c r="C41" s="1">
        <v>0.16315568541804734</v>
      </c>
    </row>
    <row r="42" spans="2:7" x14ac:dyDescent="0.25">
      <c r="B42" s="1" t="s">
        <v>3059</v>
      </c>
      <c r="C42" s="919">
        <f>MIRR(C39:G39,C41,H31)</f>
        <v>0.13819993453814527</v>
      </c>
    </row>
    <row r="43" spans="2:7" x14ac:dyDescent="0.25">
      <c r="B43" s="1" t="s">
        <v>3062</v>
      </c>
    </row>
    <row r="44" spans="2:7" x14ac:dyDescent="0.25">
      <c r="B44" t="s">
        <v>3063</v>
      </c>
    </row>
    <row r="45" spans="2:7" x14ac:dyDescent="0.25">
      <c r="B45" s="920" t="s">
        <v>3065</v>
      </c>
    </row>
    <row r="46" spans="2:7" x14ac:dyDescent="0.25">
      <c r="B46" s="1" t="s">
        <v>3064</v>
      </c>
    </row>
    <row r="47" spans="2:7" x14ac:dyDescent="0.25">
      <c r="B47" s="1" t="s">
        <v>3066</v>
      </c>
    </row>
    <row r="48" spans="2:7" x14ac:dyDescent="0.25">
      <c r="B48" s="1" t="s">
        <v>3067</v>
      </c>
    </row>
    <row r="49" spans="2:2" x14ac:dyDescent="0.25">
      <c r="B49" s="1" t="s">
        <v>3068</v>
      </c>
    </row>
  </sheetData>
  <hyperlinks>
    <hyperlink ref="C5" location="Investeringsteori!A1" display="Investeringsteori!A1" xr:uid="{00000000-0004-0000-2200-000000000000}"/>
  </hyperlinks>
  <pageMargins left="0.75" right="0.75" top="1" bottom="1" header="0.5" footer="0.5"/>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B0F0"/>
  </sheetPr>
  <dimension ref="C5"/>
  <sheetViews>
    <sheetView topLeftCell="A10" workbookViewId="0"/>
  </sheetViews>
  <sheetFormatPr defaultColWidth="10.875" defaultRowHeight="15.75" x14ac:dyDescent="0.25"/>
  <cols>
    <col min="1" max="16384" width="10.875" style="1"/>
  </cols>
  <sheetData>
    <row r="5" spans="3:3" x14ac:dyDescent="0.25">
      <c r="C5" s="101" t="s">
        <v>1025</v>
      </c>
    </row>
  </sheetData>
  <hyperlinks>
    <hyperlink ref="C5" location="Investeringsteori!A1" display="Investeringsteori" xr:uid="{00000000-0004-0000-2300-000000000000}"/>
  </hyperlinks>
  <pageMargins left="0.75" right="0.75" top="1" bottom="1" header="0.5" footer="0.5"/>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B0F0"/>
  </sheetPr>
  <dimension ref="C3"/>
  <sheetViews>
    <sheetView workbookViewId="0">
      <selection activeCell="C3" sqref="C3"/>
    </sheetView>
  </sheetViews>
  <sheetFormatPr defaultColWidth="10.875" defaultRowHeight="15.75" x14ac:dyDescent="0.25"/>
  <cols>
    <col min="1" max="16384" width="10.875" style="1"/>
  </cols>
  <sheetData>
    <row r="3" spans="3:3" x14ac:dyDescent="0.25">
      <c r="C3" s="101" t="s">
        <v>1228</v>
      </c>
    </row>
  </sheetData>
  <hyperlinks>
    <hyperlink ref="C3" location="Investeringsteori!A1" display="Investeringsteori!A1" xr:uid="{00000000-0004-0000-2400-000000000000}"/>
  </hyperlinks>
  <pageMargins left="0.75" right="0.75" top="1" bottom="1" header="0.5" footer="0.5"/>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B0F0"/>
  </sheetPr>
  <dimension ref="A1:G196"/>
  <sheetViews>
    <sheetView workbookViewId="0">
      <selection activeCell="C2" sqref="C2"/>
    </sheetView>
  </sheetViews>
  <sheetFormatPr defaultColWidth="22" defaultRowHeight="18" customHeight="1" x14ac:dyDescent="0.25"/>
  <cols>
    <col min="1" max="16384" width="22" style="36"/>
  </cols>
  <sheetData>
    <row r="1" spans="1:3" ht="15.75" x14ac:dyDescent="0.25">
      <c r="A1" s="425" t="s">
        <v>1460</v>
      </c>
      <c r="B1"/>
      <c r="C1" s="426"/>
    </row>
    <row r="2" spans="1:3" ht="15.75" x14ac:dyDescent="0.25">
      <c r="A2" s="425"/>
      <c r="C2" s="427" t="s">
        <v>1228</v>
      </c>
    </row>
    <row r="3" spans="1:3" ht="15.75" x14ac:dyDescent="0.25">
      <c r="A3" s="407" t="s">
        <v>1459</v>
      </c>
    </row>
    <row r="4" spans="1:3" ht="15.75" x14ac:dyDescent="0.25">
      <c r="A4" s="37" t="s">
        <v>1458</v>
      </c>
    </row>
    <row r="5" spans="1:3" ht="15.75" x14ac:dyDescent="0.25">
      <c r="A5" s="37" t="s">
        <v>1457</v>
      </c>
    </row>
    <row r="6" spans="1:3" ht="15.75" x14ac:dyDescent="0.25"/>
    <row r="7" spans="1:3" ht="15.75" x14ac:dyDescent="0.25">
      <c r="A7" s="411" t="s">
        <v>1368</v>
      </c>
      <c r="B7" s="411">
        <v>10</v>
      </c>
    </row>
    <row r="8" spans="1:3" ht="15.75" x14ac:dyDescent="0.25">
      <c r="A8" s="411" t="s">
        <v>1367</v>
      </c>
      <c r="B8" s="412">
        <v>0.08</v>
      </c>
    </row>
    <row r="9" spans="1:3" ht="15.75" x14ac:dyDescent="0.25">
      <c r="A9" s="411" t="s">
        <v>1366</v>
      </c>
      <c r="B9" s="411">
        <v>10000</v>
      </c>
    </row>
    <row r="10" spans="1:3" ht="15.75" x14ac:dyDescent="0.25">
      <c r="A10" s="411" t="s">
        <v>1407</v>
      </c>
      <c r="B10" s="414">
        <f>B9*(1+B8)^B7</f>
        <v>21589.249972727877</v>
      </c>
      <c r="C10" s="409">
        <f>-FV(B8,B7,,B9)</f>
        <v>21589.249972727877</v>
      </c>
    </row>
    <row r="11" spans="1:3" ht="15.75" x14ac:dyDescent="0.25"/>
    <row r="12" spans="1:3" ht="15.75" x14ac:dyDescent="0.25">
      <c r="A12" s="37" t="s">
        <v>1456</v>
      </c>
    </row>
    <row r="13" spans="1:3" ht="15.75" x14ac:dyDescent="0.25"/>
    <row r="14" spans="1:3" ht="15.75" x14ac:dyDescent="0.25">
      <c r="A14" s="411" t="s">
        <v>1455</v>
      </c>
      <c r="B14" s="411">
        <v>4</v>
      </c>
    </row>
    <row r="15" spans="1:3" ht="15.75" x14ac:dyDescent="0.25">
      <c r="A15" s="411" t="s">
        <v>1454</v>
      </c>
      <c r="B15" s="411">
        <v>6</v>
      </c>
    </row>
    <row r="16" spans="1:3" ht="15.75" x14ac:dyDescent="0.25">
      <c r="A16" s="411" t="s">
        <v>1453</v>
      </c>
      <c r="B16" s="412">
        <v>0.08</v>
      </c>
    </row>
    <row r="17" spans="1:3" ht="15.75" x14ac:dyDescent="0.25">
      <c r="A17" s="411" t="s">
        <v>1452</v>
      </c>
      <c r="B17" s="412">
        <v>7.0000000000000007E-2</v>
      </c>
    </row>
    <row r="18" spans="1:3" ht="15.75" x14ac:dyDescent="0.25">
      <c r="A18" s="411" t="s">
        <v>1451</v>
      </c>
      <c r="B18" s="411">
        <v>10000</v>
      </c>
    </row>
    <row r="19" spans="1:3" ht="15.75" x14ac:dyDescent="0.25">
      <c r="A19" s="411" t="s">
        <v>1450</v>
      </c>
      <c r="B19" s="414">
        <f>B18*(1+B16)^B14</f>
        <v>13604.889600000002</v>
      </c>
      <c r="C19" s="36" t="s">
        <v>1449</v>
      </c>
    </row>
    <row r="20" spans="1:3" ht="15.75" x14ac:dyDescent="0.25">
      <c r="A20" s="411" t="s">
        <v>1448</v>
      </c>
      <c r="B20" s="414">
        <f>B19*(1+B17)^B15</f>
        <v>20417.270756274804</v>
      </c>
      <c r="C20" s="36" t="s">
        <v>1447</v>
      </c>
    </row>
    <row r="21" spans="1:3" ht="15.75" x14ac:dyDescent="0.25">
      <c r="A21" s="36" t="s">
        <v>1446</v>
      </c>
    </row>
    <row r="22" spans="1:3" ht="15.75" x14ac:dyDescent="0.25">
      <c r="A22" s="36" t="s">
        <v>1445</v>
      </c>
      <c r="B22" s="409">
        <f>-FV(B17,B15,,-FV(B16,B14,,B18))</f>
        <v>20417.270756274804</v>
      </c>
      <c r="C22" s="36" t="s">
        <v>1444</v>
      </c>
    </row>
    <row r="23" spans="1:3" ht="15.75" x14ac:dyDescent="0.25"/>
    <row r="24" spans="1:3" ht="15.75" x14ac:dyDescent="0.25"/>
    <row r="25" spans="1:3" ht="15.75" x14ac:dyDescent="0.25">
      <c r="A25" s="407" t="s">
        <v>1443</v>
      </c>
    </row>
    <row r="26" spans="1:3" ht="15.75" x14ac:dyDescent="0.25">
      <c r="A26" s="37" t="s">
        <v>1442</v>
      </c>
    </row>
    <row r="27" spans="1:3" ht="15.75" x14ac:dyDescent="0.25"/>
    <row r="28" spans="1:3" ht="15.75" x14ac:dyDescent="0.25">
      <c r="A28" s="411" t="s">
        <v>1368</v>
      </c>
      <c r="B28" s="411">
        <v>5</v>
      </c>
      <c r="C28" s="411">
        <v>5</v>
      </c>
    </row>
    <row r="29" spans="1:3" ht="15.75" x14ac:dyDescent="0.25">
      <c r="A29" s="411" t="s">
        <v>1367</v>
      </c>
      <c r="B29" s="412">
        <v>0.1</v>
      </c>
      <c r="C29" s="412">
        <v>0.15</v>
      </c>
    </row>
    <row r="30" spans="1:3" ht="15.75" x14ac:dyDescent="0.25">
      <c r="A30" s="411" t="s">
        <v>1366</v>
      </c>
      <c r="B30" s="414">
        <f>B31*(1+B29)^-B28</f>
        <v>77615.165382394363</v>
      </c>
      <c r="C30" s="414">
        <f>C31*(1+C29)^-C28</f>
        <v>62147.091912286232</v>
      </c>
    </row>
    <row r="31" spans="1:3" ht="15.75" x14ac:dyDescent="0.25">
      <c r="A31" s="411" t="s">
        <v>1407</v>
      </c>
      <c r="B31" s="411">
        <v>125000</v>
      </c>
      <c r="C31" s="411">
        <v>125000</v>
      </c>
    </row>
    <row r="32" spans="1:3" ht="15.75" x14ac:dyDescent="0.25"/>
    <row r="33" spans="1:7" ht="15.75" x14ac:dyDescent="0.25">
      <c r="A33" s="37" t="s">
        <v>1441</v>
      </c>
    </row>
    <row r="34" spans="1:7" ht="15.75" x14ac:dyDescent="0.25"/>
    <row r="35" spans="1:7" ht="15.75" x14ac:dyDescent="0.25"/>
    <row r="36" spans="1:7" ht="15.75" x14ac:dyDescent="0.25"/>
    <row r="37" spans="1:7" ht="15.75" x14ac:dyDescent="0.25">
      <c r="A37" s="407" t="s">
        <v>1440</v>
      </c>
    </row>
    <row r="38" spans="1:7" ht="15.75" x14ac:dyDescent="0.25">
      <c r="A38" s="37" t="s">
        <v>1439</v>
      </c>
    </row>
    <row r="39" spans="1:7" ht="15.75" x14ac:dyDescent="0.25">
      <c r="A39" s="37"/>
    </row>
    <row r="40" spans="1:7" ht="15.75" x14ac:dyDescent="0.25">
      <c r="A40" s="411" t="s">
        <v>1106</v>
      </c>
      <c r="B40" s="411">
        <v>0.08</v>
      </c>
    </row>
    <row r="41" spans="1:7" ht="15.75" x14ac:dyDescent="0.25">
      <c r="A41" s="411" t="s">
        <v>1428</v>
      </c>
      <c r="B41" s="411">
        <v>0</v>
      </c>
      <c r="C41" s="411">
        <v>1</v>
      </c>
      <c r="D41" s="411">
        <v>2</v>
      </c>
      <c r="E41" s="411">
        <v>3</v>
      </c>
      <c r="F41" s="411">
        <v>4</v>
      </c>
      <c r="G41" s="411">
        <v>5</v>
      </c>
    </row>
    <row r="42" spans="1:7" ht="15.75" x14ac:dyDescent="0.25">
      <c r="A42" s="411" t="s">
        <v>1438</v>
      </c>
      <c r="B42" s="411">
        <v>0</v>
      </c>
      <c r="C42" s="411">
        <v>500</v>
      </c>
      <c r="D42" s="411">
        <v>400</v>
      </c>
      <c r="E42" s="411">
        <v>600</v>
      </c>
      <c r="F42" s="411">
        <v>400</v>
      </c>
      <c r="G42" s="411">
        <v>900</v>
      </c>
    </row>
    <row r="43" spans="1:7" ht="15.75" x14ac:dyDescent="0.25">
      <c r="A43" s="411" t="s">
        <v>1437</v>
      </c>
      <c r="B43" s="411">
        <f t="shared" ref="B43:G43" si="0">1/(1+$B40)^B41</f>
        <v>1</v>
      </c>
      <c r="C43" s="411">
        <f t="shared" si="0"/>
        <v>0.92592592592592582</v>
      </c>
      <c r="D43" s="411">
        <f t="shared" si="0"/>
        <v>0.85733882030178321</v>
      </c>
      <c r="E43" s="411">
        <f t="shared" si="0"/>
        <v>0.79383224102016958</v>
      </c>
      <c r="F43" s="411">
        <f t="shared" si="0"/>
        <v>0.73502985279645328</v>
      </c>
      <c r="G43" s="411">
        <f t="shared" si="0"/>
        <v>0.68058319703375303</v>
      </c>
    </row>
    <row r="44" spans="1:7" ht="15.75" x14ac:dyDescent="0.25">
      <c r="A44" s="411" t="s">
        <v>1436</v>
      </c>
      <c r="B44" s="411">
        <f t="shared" ref="B44:G44" si="1">B42*B43</f>
        <v>0</v>
      </c>
      <c r="C44" s="411">
        <f t="shared" si="1"/>
        <v>462.96296296296293</v>
      </c>
      <c r="D44" s="411">
        <f t="shared" si="1"/>
        <v>342.93552812071329</v>
      </c>
      <c r="E44" s="411">
        <f t="shared" si="1"/>
        <v>476.29934461210178</v>
      </c>
      <c r="F44" s="411">
        <f t="shared" si="1"/>
        <v>294.01194111858132</v>
      </c>
      <c r="G44" s="411">
        <f t="shared" si="1"/>
        <v>612.52487733037776</v>
      </c>
    </row>
    <row r="45" spans="1:7" ht="15.75" x14ac:dyDescent="0.25">
      <c r="A45" s="411" t="s">
        <v>1435</v>
      </c>
      <c r="B45" s="414">
        <f>SUM(B44:G44)</f>
        <v>2188.7346541447369</v>
      </c>
    </row>
    <row r="46" spans="1:7" ht="15.75" x14ac:dyDescent="0.25">
      <c r="A46" s="411" t="s">
        <v>1434</v>
      </c>
      <c r="B46" s="414">
        <f>NPV(B40,C42:G42)</f>
        <v>2188.7346541447369</v>
      </c>
      <c r="C46" s="37" t="s">
        <v>1433</v>
      </c>
    </row>
    <row r="47" spans="1:7" ht="15.75" x14ac:dyDescent="0.25"/>
    <row r="48" spans="1:7" ht="15.75" x14ac:dyDescent="0.25">
      <c r="A48" s="37" t="s">
        <v>1432</v>
      </c>
    </row>
    <row r="49" spans="1:4" ht="15.75" x14ac:dyDescent="0.25">
      <c r="A49" s="37"/>
    </row>
    <row r="50" spans="1:4" ht="15.75" x14ac:dyDescent="0.25">
      <c r="A50" s="37"/>
    </row>
    <row r="51" spans="1:4" ht="15.75" x14ac:dyDescent="0.25"/>
    <row r="52" spans="1:4" ht="15.75" x14ac:dyDescent="0.25">
      <c r="A52" s="407" t="s">
        <v>1431</v>
      </c>
    </row>
    <row r="53" spans="1:4" ht="15.75" x14ac:dyDescent="0.25">
      <c r="A53" s="36" t="s">
        <v>1430</v>
      </c>
    </row>
    <row r="54" spans="1:4" ht="15.75" x14ac:dyDescent="0.25">
      <c r="A54" s="36" t="s">
        <v>1429</v>
      </c>
    </row>
    <row r="55" spans="1:4" ht="15.75" x14ac:dyDescent="0.25"/>
    <row r="56" spans="1:4" ht="15.75" x14ac:dyDescent="0.25">
      <c r="A56" s="421" t="s">
        <v>1428</v>
      </c>
      <c r="B56" s="421" t="s">
        <v>1427</v>
      </c>
      <c r="C56" s="36" t="s">
        <v>1189</v>
      </c>
      <c r="D56" s="36" t="s">
        <v>1189</v>
      </c>
    </row>
    <row r="57" spans="1:4" ht="15.75" x14ac:dyDescent="0.25">
      <c r="A57" s="411">
        <v>1</v>
      </c>
      <c r="B57" s="422">
        <v>6000</v>
      </c>
      <c r="C57" s="402">
        <f>$B57*(1+C$63)^-$A57</f>
        <v>5660.3773584905657</v>
      </c>
      <c r="D57" s="402">
        <f>$B57*(1+D$63)^-$A57</f>
        <v>5357.1428571428569</v>
      </c>
    </row>
    <row r="58" spans="1:4" ht="15.75" x14ac:dyDescent="0.25">
      <c r="A58" s="411">
        <v>2</v>
      </c>
      <c r="B58" s="422">
        <v>3000</v>
      </c>
      <c r="C58" s="402">
        <f>B58*(1+C$63)^-A58</f>
        <v>2669.9893200427196</v>
      </c>
      <c r="D58" s="402">
        <f>$B58*(1+D$63)^-$A58</f>
        <v>2391.5816326530612</v>
      </c>
    </row>
    <row r="59" spans="1:4" ht="15.75" x14ac:dyDescent="0.25">
      <c r="A59" s="411">
        <v>3</v>
      </c>
      <c r="B59" s="422">
        <v>3000</v>
      </c>
      <c r="C59" s="402">
        <f>B59*(1+C$63)^-A59</f>
        <v>2518.8578490969048</v>
      </c>
      <c r="D59" s="402">
        <f>$B59*(1+D$63)^-$A59</f>
        <v>2135.3407434402325</v>
      </c>
    </row>
    <row r="60" spans="1:4" ht="15.75" x14ac:dyDescent="0.25">
      <c r="A60" s="411">
        <v>4</v>
      </c>
      <c r="B60" s="422">
        <v>1000</v>
      </c>
      <c r="C60" s="402">
        <f>B60*(1+C$63)^-A60</f>
        <v>792.09366323802044</v>
      </c>
      <c r="D60" s="402">
        <f>$B60*(1+D$63)^-$A60</f>
        <v>635.51807840483116</v>
      </c>
    </row>
    <row r="61" spans="1:4" ht="15.75" x14ac:dyDescent="0.25">
      <c r="A61" s="411">
        <v>5</v>
      </c>
      <c r="B61" s="422">
        <v>1000</v>
      </c>
      <c r="C61" s="402">
        <f>B61*(1+C$63)^-A61</f>
        <v>747.25817286605684</v>
      </c>
      <c r="D61" s="402">
        <f>$B61*(1+D$63)^-$A61</f>
        <v>567.4268557185992</v>
      </c>
    </row>
    <row r="62" spans="1:4" ht="15.75" x14ac:dyDescent="0.25">
      <c r="C62" s="402">
        <f>SUM(C57:C61)</f>
        <v>12388.576363734268</v>
      </c>
      <c r="D62" s="402">
        <f>SUM(D57:D61)</f>
        <v>11087.01016735958</v>
      </c>
    </row>
    <row r="63" spans="1:4" ht="15.75" x14ac:dyDescent="0.25">
      <c r="A63" s="37" t="s">
        <v>1426</v>
      </c>
      <c r="C63" s="405">
        <v>0.06</v>
      </c>
      <c r="D63" s="405">
        <v>0.12</v>
      </c>
    </row>
    <row r="64" spans="1:4" ht="15.75" x14ac:dyDescent="0.25">
      <c r="A64" s="405"/>
      <c r="B64" s="36" t="s">
        <v>1425</v>
      </c>
      <c r="C64" s="409">
        <f>NPV(C63,B57:B61)</f>
        <v>12388.576363734266</v>
      </c>
      <c r="D64" s="409">
        <f>NPV(D63,B57:B61)</f>
        <v>11087.01016735958</v>
      </c>
    </row>
    <row r="65" spans="1:4" ht="15.75" x14ac:dyDescent="0.25">
      <c r="A65" s="405"/>
    </row>
    <row r="66" spans="1:4" ht="15.75" x14ac:dyDescent="0.25">
      <c r="A66" s="405"/>
    </row>
    <row r="67" spans="1:4" ht="15.75" x14ac:dyDescent="0.25">
      <c r="A67" s="407" t="s">
        <v>1424</v>
      </c>
    </row>
    <row r="68" spans="1:4" ht="15.75" x14ac:dyDescent="0.25">
      <c r="A68" s="36" t="s">
        <v>1423</v>
      </c>
      <c r="C68" s="405">
        <v>0.08</v>
      </c>
      <c r="D68" s="405">
        <v>0.08</v>
      </c>
    </row>
    <row r="69" spans="1:4" ht="15.75" x14ac:dyDescent="0.25">
      <c r="C69" s="36" t="s">
        <v>1422</v>
      </c>
      <c r="D69" s="36" t="s">
        <v>1421</v>
      </c>
    </row>
    <row r="70" spans="1:4" ht="15.75" x14ac:dyDescent="0.25">
      <c r="A70" s="421" t="s">
        <v>1420</v>
      </c>
      <c r="B70" s="421" t="s">
        <v>1419</v>
      </c>
      <c r="C70" s="36" t="s">
        <v>1189</v>
      </c>
      <c r="D70" s="36" t="s">
        <v>1418</v>
      </c>
    </row>
    <row r="71" spans="1:4" ht="15.75" x14ac:dyDescent="0.25">
      <c r="A71" s="411">
        <v>1</v>
      </c>
      <c r="B71" s="411">
        <v>100</v>
      </c>
      <c r="C71" s="402">
        <f>B71*(1+C$68)^-A71</f>
        <v>92.592592592592581</v>
      </c>
      <c r="D71" s="402">
        <f>B71*(1+D$68)^(5-A71)</f>
        <v>136.04889600000004</v>
      </c>
    </row>
    <row r="72" spans="1:4" ht="15.75" x14ac:dyDescent="0.25">
      <c r="A72" s="411">
        <v>2</v>
      </c>
      <c r="B72" s="411">
        <v>100</v>
      </c>
      <c r="C72" s="402">
        <f>B72*(1+C$68)^-A72</f>
        <v>85.733882030178322</v>
      </c>
      <c r="D72" s="402">
        <f>B72*(1+D$68)^(5-A72)</f>
        <v>125.97120000000001</v>
      </c>
    </row>
    <row r="73" spans="1:4" ht="15.75" x14ac:dyDescent="0.25">
      <c r="A73" s="411">
        <v>3</v>
      </c>
      <c r="B73" s="411">
        <v>100</v>
      </c>
      <c r="C73" s="402">
        <f>B73*(1+C$68)^-A73</f>
        <v>79.383224102016953</v>
      </c>
      <c r="D73" s="402">
        <f>B73*(1+D$68)^(5-A73)</f>
        <v>116.64000000000001</v>
      </c>
    </row>
    <row r="74" spans="1:4" ht="15.75" x14ac:dyDescent="0.25">
      <c r="A74" s="411">
        <v>4</v>
      </c>
      <c r="B74" s="411">
        <v>80</v>
      </c>
      <c r="C74" s="402">
        <f>B74*(1+C$68)^-A74</f>
        <v>58.802388223716264</v>
      </c>
      <c r="D74" s="402">
        <f>B74*(1+D$68)^(5-A74)</f>
        <v>86.4</v>
      </c>
    </row>
    <row r="75" spans="1:4" ht="15.75" x14ac:dyDescent="0.25">
      <c r="A75" s="411">
        <v>5</v>
      </c>
      <c r="B75" s="411">
        <v>50</v>
      </c>
      <c r="C75" s="402">
        <f>B75*(1+C$68)^-A75</f>
        <v>34.029159851687652</v>
      </c>
      <c r="D75" s="402">
        <f>B75*(1+D$68)^(5-A75)</f>
        <v>50</v>
      </c>
    </row>
    <row r="76" spans="1:4" ht="15.75" x14ac:dyDescent="0.25">
      <c r="A76" s="420" t="s">
        <v>1382</v>
      </c>
      <c r="B76" s="420">
        <f>SUM(B71:B75)</f>
        <v>430</v>
      </c>
      <c r="C76" s="424">
        <f>SUM(C71:C75)</f>
        <v>350.54124680019174</v>
      </c>
      <c r="D76" s="420">
        <f>SUM(D71:D75)</f>
        <v>515.06009600000004</v>
      </c>
    </row>
    <row r="77" spans="1:4" ht="15.75" x14ac:dyDescent="0.25">
      <c r="A77" s="37" t="s">
        <v>1417</v>
      </c>
      <c r="B77" s="409">
        <f>-FV(C68,A75,,B78)</f>
        <v>515.06009600000004</v>
      </c>
    </row>
    <row r="78" spans="1:4" ht="15.75" x14ac:dyDescent="0.25">
      <c r="A78" s="37" t="s">
        <v>1416</v>
      </c>
      <c r="B78" s="409">
        <f>NPV(C68,B71:B75)</f>
        <v>350.54124680019174</v>
      </c>
    </row>
    <row r="79" spans="1:4" ht="15.75" x14ac:dyDescent="0.25"/>
    <row r="80" spans="1:4" ht="15.75" x14ac:dyDescent="0.25"/>
    <row r="81" spans="1:3" ht="15.75" x14ac:dyDescent="0.25"/>
    <row r="82" spans="1:3" ht="15.75" x14ac:dyDescent="0.25">
      <c r="A82" s="407" t="s">
        <v>1415</v>
      </c>
    </row>
    <row r="83" spans="1:3" ht="15.75" x14ac:dyDescent="0.25">
      <c r="A83" s="37" t="s">
        <v>1414</v>
      </c>
    </row>
    <row r="84" spans="1:3" ht="15.75" x14ac:dyDescent="0.25">
      <c r="A84" s="37" t="s">
        <v>1413</v>
      </c>
    </row>
    <row r="85" spans="1:3" ht="15.75" x14ac:dyDescent="0.25"/>
    <row r="86" spans="1:3" ht="15.75" x14ac:dyDescent="0.25">
      <c r="A86" s="411" t="s">
        <v>1412</v>
      </c>
      <c r="B86" s="411">
        <v>9.7999999999999997E-3</v>
      </c>
    </row>
    <row r="87" spans="1:3" ht="15.75" x14ac:dyDescent="0.25">
      <c r="A87" s="411" t="s">
        <v>1367</v>
      </c>
      <c r="B87" s="423">
        <f>(1+B86)^12-1</f>
        <v>0.12415034037835659</v>
      </c>
    </row>
    <row r="88" spans="1:3" ht="15.75" x14ac:dyDescent="0.25"/>
    <row r="89" spans="1:3" ht="15.75" x14ac:dyDescent="0.25">
      <c r="A89" s="407" t="s">
        <v>1411</v>
      </c>
    </row>
    <row r="90" spans="1:3" ht="15.75" x14ac:dyDescent="0.25">
      <c r="A90" s="37" t="s">
        <v>1410</v>
      </c>
    </row>
    <row r="91" spans="1:3" ht="15.75" x14ac:dyDescent="0.25">
      <c r="A91" s="37" t="s">
        <v>1409</v>
      </c>
    </row>
    <row r="92" spans="1:3" ht="15.75" x14ac:dyDescent="0.25">
      <c r="A92" s="37" t="s">
        <v>1408</v>
      </c>
    </row>
    <row r="93" spans="1:3" ht="15.75" x14ac:dyDescent="0.25"/>
    <row r="94" spans="1:3" ht="15.75" x14ac:dyDescent="0.25">
      <c r="A94" s="411" t="s">
        <v>1368</v>
      </c>
      <c r="B94" s="411">
        <f>5*12</f>
        <v>60</v>
      </c>
    </row>
    <row r="95" spans="1:3" ht="15.75" x14ac:dyDescent="0.25">
      <c r="A95" s="411" t="s">
        <v>1367</v>
      </c>
      <c r="B95" s="411">
        <v>7.4999999999999997E-3</v>
      </c>
    </row>
    <row r="96" spans="1:3" ht="15.75" x14ac:dyDescent="0.25">
      <c r="A96" s="411" t="s">
        <v>1407</v>
      </c>
      <c r="B96" s="422">
        <v>50000</v>
      </c>
      <c r="C96" s="36" t="s">
        <v>1406</v>
      </c>
    </row>
    <row r="97" spans="1:4" ht="15.75" x14ac:dyDescent="0.25">
      <c r="A97" s="36" t="s">
        <v>1405</v>
      </c>
      <c r="B97" s="402">
        <f>B96/((((1+B95)^B94)-1)/B95)</f>
        <v>662.91776131769086</v>
      </c>
      <c r="C97" s="409">
        <f>-PMT(B95,B94,,B96)</f>
        <v>662.91776131770052</v>
      </c>
    </row>
    <row r="98" spans="1:4" ht="15.75" x14ac:dyDescent="0.25">
      <c r="A98" s="36" t="s">
        <v>1404</v>
      </c>
      <c r="B98" s="402">
        <f>+B97*60</f>
        <v>39775.065679061452</v>
      </c>
    </row>
    <row r="99" spans="1:4" ht="15.75" x14ac:dyDescent="0.25">
      <c r="A99" s="36" t="s">
        <v>1403</v>
      </c>
      <c r="B99" s="402">
        <f>+B96-B98</f>
        <v>10224.934320938548</v>
      </c>
    </row>
    <row r="100" spans="1:4" ht="15.75" x14ac:dyDescent="0.25"/>
    <row r="101" spans="1:4" ht="15.75" x14ac:dyDescent="0.25"/>
    <row r="102" spans="1:4" ht="15.75" x14ac:dyDescent="0.25">
      <c r="A102" s="407" t="s">
        <v>1402</v>
      </c>
    </row>
    <row r="103" spans="1:4" ht="15.75" x14ac:dyDescent="0.25">
      <c r="A103" s="36" t="s">
        <v>1401</v>
      </c>
    </row>
    <row r="104" spans="1:4" ht="15.75" x14ac:dyDescent="0.25">
      <c r="A104" s="36" t="s">
        <v>1400</v>
      </c>
    </row>
    <row r="105" spans="1:4" ht="15.75" x14ac:dyDescent="0.25"/>
    <row r="106" spans="1:4" ht="15.75" x14ac:dyDescent="0.25">
      <c r="A106" s="421" t="s">
        <v>1399</v>
      </c>
      <c r="B106" s="421" t="s">
        <v>1398</v>
      </c>
      <c r="C106" s="421" t="s">
        <v>1397</v>
      </c>
    </row>
    <row r="107" spans="1:4" ht="15.75" x14ac:dyDescent="0.25">
      <c r="A107" s="411">
        <v>1993</v>
      </c>
      <c r="B107" s="414">
        <v>26000</v>
      </c>
      <c r="C107" s="414">
        <f>B107*(1+0.06)^(1999-A107)</f>
        <v>36881.496918656012</v>
      </c>
    </row>
    <row r="108" spans="1:4" ht="15.75" x14ac:dyDescent="0.25">
      <c r="A108" s="411">
        <v>1994</v>
      </c>
      <c r="B108" s="414">
        <v>29000</v>
      </c>
      <c r="C108" s="414">
        <f>B108*(1+0.06)^(1999-A108)</f>
        <v>38808.541750400014</v>
      </c>
    </row>
    <row r="109" spans="1:4" ht="15.75" x14ac:dyDescent="0.25">
      <c r="A109" s="411">
        <v>1995</v>
      </c>
      <c r="B109" s="414">
        <v>34000</v>
      </c>
      <c r="C109" s="414">
        <f>B109*(1+0.06)^(1999-A109)</f>
        <v>42924.216640000013</v>
      </c>
    </row>
    <row r="110" spans="1:4" ht="15.75" x14ac:dyDescent="0.25">
      <c r="A110" s="411">
        <v>1996</v>
      </c>
      <c r="B110" s="414">
        <v>65000</v>
      </c>
      <c r="C110" s="414">
        <f>B110*(1+0.06)^(1999-A110)</f>
        <v>77416.040000000023</v>
      </c>
    </row>
    <row r="111" spans="1:4" ht="15.75" x14ac:dyDescent="0.25">
      <c r="A111" s="420" t="s">
        <v>1382</v>
      </c>
      <c r="B111" s="419">
        <f>SUM(B107:B110)</f>
        <v>154000</v>
      </c>
      <c r="D111" s="409"/>
    </row>
    <row r="112" spans="1:4" ht="15.75" x14ac:dyDescent="0.25">
      <c r="A112" s="37" t="s">
        <v>1396</v>
      </c>
      <c r="C112" s="418">
        <f>SUM(C107:C110)</f>
        <v>196030.29530905606</v>
      </c>
    </row>
    <row r="113" spans="1:4" ht="15.75" x14ac:dyDescent="0.25">
      <c r="A113" s="37" t="s">
        <v>1395</v>
      </c>
    </row>
    <row r="114" spans="1:4" ht="15.75" x14ac:dyDescent="0.25">
      <c r="A114" s="36" t="s">
        <v>1394</v>
      </c>
      <c r="C114" s="402">
        <f>+C112*(1+0.06)</f>
        <v>207792.11302759944</v>
      </c>
    </row>
    <row r="115" spans="1:4" ht="15.75" x14ac:dyDescent="0.25">
      <c r="A115" s="37"/>
      <c r="C115" s="417" t="s">
        <v>1392</v>
      </c>
      <c r="D115" s="417" t="s">
        <v>1391</v>
      </c>
    </row>
    <row r="116" spans="1:4" ht="15.75" x14ac:dyDescent="0.25">
      <c r="A116" s="36" t="s">
        <v>1390</v>
      </c>
      <c r="C116" s="409">
        <f>-PMT(0.06,10,C114)</f>
        <v>28232.290131359154</v>
      </c>
      <c r="D116" s="402">
        <f>C114*0.06/((1-(1+0.06)^-10))</f>
        <v>28232.290131359132</v>
      </c>
    </row>
    <row r="117" spans="1:4" ht="15.75" x14ac:dyDescent="0.25"/>
    <row r="118" spans="1:4" ht="15.75" x14ac:dyDescent="0.25">
      <c r="A118" s="36" t="s">
        <v>1389</v>
      </c>
      <c r="C118" s="402">
        <f>+C116*10</f>
        <v>282322.90131359152</v>
      </c>
    </row>
    <row r="119" spans="1:4" ht="15.75" x14ac:dyDescent="0.25">
      <c r="A119" s="36" t="s">
        <v>1363</v>
      </c>
      <c r="C119" s="401">
        <f>C118-C114</f>
        <v>74530.788285992079</v>
      </c>
    </row>
    <row r="120" spans="1:4" ht="15.75" x14ac:dyDescent="0.25">
      <c r="A120" s="36" t="s">
        <v>1388</v>
      </c>
      <c r="C120" s="401">
        <f>C118-C119</f>
        <v>207792.11302759944</v>
      </c>
    </row>
    <row r="121" spans="1:4" ht="15.75" x14ac:dyDescent="0.25">
      <c r="A121" s="37" t="s">
        <v>1393</v>
      </c>
    </row>
    <row r="122" spans="1:4" ht="15.75" x14ac:dyDescent="0.25"/>
    <row r="123" spans="1:4" ht="15.75" x14ac:dyDescent="0.25">
      <c r="C123" s="417" t="s">
        <v>1392</v>
      </c>
      <c r="D123" s="417" t="s">
        <v>1391</v>
      </c>
    </row>
    <row r="124" spans="1:4" ht="15.75" x14ac:dyDescent="0.25">
      <c r="A124" s="36" t="s">
        <v>1390</v>
      </c>
      <c r="C124" s="409">
        <f>-PMT(0.06,10,C112)</f>
        <v>26634.235972980336</v>
      </c>
      <c r="D124" s="402">
        <f>C112*0.06/((1-(1+0.06)^-10))</f>
        <v>26634.23597298031</v>
      </c>
    </row>
    <row r="125" spans="1:4" ht="15.75" x14ac:dyDescent="0.25">
      <c r="A125" s="36" t="s">
        <v>1389</v>
      </c>
      <c r="C125" s="409">
        <f>C124*10</f>
        <v>266342.35972980334</v>
      </c>
    </row>
    <row r="126" spans="1:4" ht="15.75" x14ac:dyDescent="0.25">
      <c r="A126" s="36" t="s">
        <v>1363</v>
      </c>
      <c r="C126" s="409">
        <f>C125-C112</f>
        <v>70312.06442074728</v>
      </c>
    </row>
    <row r="127" spans="1:4" ht="15.75" x14ac:dyDescent="0.25">
      <c r="A127" s="36" t="s">
        <v>1388</v>
      </c>
      <c r="C127" s="409">
        <f>C125-C126</f>
        <v>196030.29530905606</v>
      </c>
    </row>
    <row r="128" spans="1:4" ht="15.75" x14ac:dyDescent="0.25"/>
    <row r="129" spans="1:6" ht="15.75" x14ac:dyDescent="0.25">
      <c r="A129" s="407" t="s">
        <v>1387</v>
      </c>
    </row>
    <row r="130" spans="1:6" ht="15.75" x14ac:dyDescent="0.25">
      <c r="A130" s="36" t="s">
        <v>1386</v>
      </c>
    </row>
    <row r="131" spans="1:6" ht="15.75" x14ac:dyDescent="0.25">
      <c r="A131" s="36" t="s">
        <v>1385</v>
      </c>
    </row>
    <row r="132" spans="1:6" ht="15.75" x14ac:dyDescent="0.25">
      <c r="A132" s="37" t="s">
        <v>1384</v>
      </c>
    </row>
    <row r="133" spans="1:6" ht="15.75" x14ac:dyDescent="0.25">
      <c r="A133" s="37" t="s">
        <v>1383</v>
      </c>
    </row>
    <row r="134" spans="1:6" ht="15.75" x14ac:dyDescent="0.25">
      <c r="C134" s="36" t="s">
        <v>1382</v>
      </c>
    </row>
    <row r="135" spans="1:6" ht="15.75" x14ac:dyDescent="0.25">
      <c r="A135" s="411" t="s">
        <v>1381</v>
      </c>
      <c r="B135" s="411">
        <f>10*52*37</f>
        <v>19240</v>
      </c>
      <c r="C135" s="416">
        <f>B135*50</f>
        <v>962000</v>
      </c>
    </row>
    <row r="136" spans="1:6" ht="15.75" x14ac:dyDescent="0.25">
      <c r="A136" s="411" t="s">
        <v>1380</v>
      </c>
      <c r="B136" s="412">
        <v>0.05</v>
      </c>
      <c r="E136" s="36">
        <v>6000</v>
      </c>
      <c r="F136" s="36" t="s">
        <v>1355</v>
      </c>
    </row>
    <row r="137" spans="1:6" ht="15.75" x14ac:dyDescent="0.25">
      <c r="A137" s="411" t="s">
        <v>1379</v>
      </c>
      <c r="B137" s="411">
        <v>50</v>
      </c>
      <c r="E137" s="415">
        <f>40*12</f>
        <v>480</v>
      </c>
      <c r="F137" s="36" t="s">
        <v>1127</v>
      </c>
    </row>
    <row r="138" spans="1:6" ht="15.75" x14ac:dyDescent="0.25">
      <c r="A138" s="411" t="s">
        <v>1378</v>
      </c>
      <c r="B138" s="414">
        <f>B135*(((1+B136)^B137-1)/B136)</f>
        <v>4027855.4375580177</v>
      </c>
      <c r="C138" s="409">
        <f>-FV(B136,B137,B135)</f>
        <v>4027855.4375580177</v>
      </c>
      <c r="E138" s="59">
        <f>(1+B136)^(1/12)-1</f>
        <v>4.0741237836483535E-3</v>
      </c>
      <c r="F138" s="36" t="s">
        <v>1377</v>
      </c>
    </row>
    <row r="139" spans="1:6" ht="15.75" x14ac:dyDescent="0.25">
      <c r="E139" s="402">
        <f>E136*(((1+E138)^E137-1)/E138)</f>
        <v>8895147.569693407</v>
      </c>
      <c r="F139" s="36" t="s">
        <v>1376</v>
      </c>
    </row>
    <row r="140" spans="1:6" ht="15.75" x14ac:dyDescent="0.25">
      <c r="A140" s="37" t="s">
        <v>1375</v>
      </c>
    </row>
    <row r="141" spans="1:6" ht="15.75" x14ac:dyDescent="0.25">
      <c r="A141" s="37" t="s">
        <v>1374</v>
      </c>
    </row>
    <row r="142" spans="1:6" ht="15.75" x14ac:dyDescent="0.25"/>
    <row r="143" spans="1:6" ht="15.75" x14ac:dyDescent="0.25">
      <c r="A143" s="36" t="s">
        <v>1373</v>
      </c>
      <c r="B143" s="409">
        <f>-PV(B136,B137,B135)</f>
        <v>351244.00586102792</v>
      </c>
      <c r="C143" s="402">
        <f>B135*((1-(1+B136)^-B137)/B136)</f>
        <v>351244.00586102792</v>
      </c>
    </row>
    <row r="144" spans="1:6" ht="15.75" x14ac:dyDescent="0.25"/>
    <row r="145" spans="1:3" ht="15.75" x14ac:dyDescent="0.25"/>
    <row r="146" spans="1:3" ht="15.75" x14ac:dyDescent="0.25">
      <c r="A146" s="407" t="s">
        <v>1372</v>
      </c>
    </row>
    <row r="147" spans="1:3" ht="15.75" x14ac:dyDescent="0.25">
      <c r="A147" s="37" t="s">
        <v>1371</v>
      </c>
    </row>
    <row r="148" spans="1:3" ht="15.75" x14ac:dyDescent="0.25">
      <c r="A148" s="37" t="s">
        <v>1370</v>
      </c>
    </row>
    <row r="149" spans="1:3" ht="15.75" x14ac:dyDescent="0.25">
      <c r="A149" s="37" t="s">
        <v>1369</v>
      </c>
    </row>
    <row r="150" spans="1:3" ht="15.75" x14ac:dyDescent="0.25"/>
    <row r="151" spans="1:3" ht="15.75" x14ac:dyDescent="0.25">
      <c r="A151" s="411" t="s">
        <v>1368</v>
      </c>
      <c r="B151" s="413">
        <v>5</v>
      </c>
    </row>
    <row r="152" spans="1:3" ht="15.75" x14ac:dyDescent="0.25">
      <c r="A152" s="411" t="s">
        <v>1367</v>
      </c>
      <c r="B152" s="412">
        <v>0.1</v>
      </c>
    </row>
    <row r="153" spans="1:3" ht="15.75" x14ac:dyDescent="0.25">
      <c r="A153" s="411" t="s">
        <v>1366</v>
      </c>
      <c r="B153" s="411">
        <v>70000</v>
      </c>
    </row>
    <row r="154" spans="1:3" ht="15.75" x14ac:dyDescent="0.25">
      <c r="A154" s="411" t="s">
        <v>1365</v>
      </c>
      <c r="B154" s="410">
        <f>-PMT(B152,B151,B153)</f>
        <v>18465.823655632179</v>
      </c>
      <c r="C154" s="402">
        <f>B153*B152/((1-(1+B152)^-B151))</f>
        <v>18465.823655632164</v>
      </c>
    </row>
    <row r="155" spans="1:3" ht="15.75" x14ac:dyDescent="0.25">
      <c r="A155" s="36" t="s">
        <v>1364</v>
      </c>
      <c r="B155" s="409">
        <f>B154*B151</f>
        <v>92329.118278160895</v>
      </c>
    </row>
    <row r="156" spans="1:3" ht="15.75" x14ac:dyDescent="0.25">
      <c r="A156" s="36" t="s">
        <v>1363</v>
      </c>
      <c r="B156" s="409">
        <f>B155-B153</f>
        <v>22329.118278160895</v>
      </c>
    </row>
    <row r="157" spans="1:3" ht="15.75" x14ac:dyDescent="0.25">
      <c r="A157" s="407"/>
    </row>
    <row r="158" spans="1:3" ht="15.75" x14ac:dyDescent="0.25">
      <c r="A158" s="407" t="s">
        <v>1362</v>
      </c>
    </row>
    <row r="159" spans="1:3" ht="15.75" x14ac:dyDescent="0.25"/>
    <row r="160" spans="1:3" ht="15.75" x14ac:dyDescent="0.25">
      <c r="A160" s="36" t="s">
        <v>1361</v>
      </c>
    </row>
    <row r="161" spans="1:5" ht="15.75" x14ac:dyDescent="0.25">
      <c r="A161" s="36" t="s">
        <v>1360</v>
      </c>
    </row>
    <row r="162" spans="1:5" ht="15.75" x14ac:dyDescent="0.25">
      <c r="A162" s="36" t="s">
        <v>1359</v>
      </c>
    </row>
    <row r="163" spans="1:5" ht="15.75" x14ac:dyDescent="0.25">
      <c r="A163" s="36" t="s">
        <v>1358</v>
      </c>
    </row>
    <row r="164" spans="1:5" ht="15.75" x14ac:dyDescent="0.25">
      <c r="A164" s="36" t="s">
        <v>1357</v>
      </c>
    </row>
    <row r="165" spans="1:5" ht="15.75" x14ac:dyDescent="0.25">
      <c r="A165" s="36" t="s">
        <v>1356</v>
      </c>
    </row>
    <row r="166" spans="1:5" ht="15.75" x14ac:dyDescent="0.25">
      <c r="D166" s="408"/>
      <c r="E166" s="405"/>
    </row>
    <row r="167" spans="1:5" ht="15.75" x14ac:dyDescent="0.25">
      <c r="A167" s="36" t="s">
        <v>1355</v>
      </c>
      <c r="B167" s="36">
        <v>60</v>
      </c>
      <c r="C167" s="36" t="s">
        <v>1354</v>
      </c>
    </row>
    <row r="168" spans="1:5" ht="15.75" x14ac:dyDescent="0.25">
      <c r="A168" s="36" t="s">
        <v>1127</v>
      </c>
      <c r="B168" s="36">
        <v>5</v>
      </c>
      <c r="C168" s="36" t="s">
        <v>1353</v>
      </c>
    </row>
    <row r="169" spans="1:5" ht="15.75" x14ac:dyDescent="0.25">
      <c r="A169" s="36" t="s">
        <v>1340</v>
      </c>
      <c r="B169" s="405">
        <v>0.08</v>
      </c>
      <c r="C169" s="36" t="s">
        <v>1350</v>
      </c>
    </row>
    <row r="170" spans="1:5" ht="15.75" x14ac:dyDescent="0.25">
      <c r="A170" s="36" t="s">
        <v>1352</v>
      </c>
      <c r="B170" s="402">
        <f>B167*(1+B169)^B168</f>
        <v>88.15968460800002</v>
      </c>
      <c r="C170" s="36" t="s">
        <v>1348</v>
      </c>
    </row>
    <row r="171" spans="1:5" ht="15.75" x14ac:dyDescent="0.25"/>
    <row r="172" spans="1:5" ht="15.75" x14ac:dyDescent="0.25">
      <c r="A172" s="36" t="s">
        <v>1351</v>
      </c>
      <c r="B172" s="405">
        <v>0.05</v>
      </c>
      <c r="C172" s="36" t="s">
        <v>1350</v>
      </c>
    </row>
    <row r="173" spans="1:5" ht="15.75" x14ac:dyDescent="0.25">
      <c r="A173" s="36" t="s">
        <v>1349</v>
      </c>
      <c r="B173" s="402">
        <f>B167*(1+B172)^B168</f>
        <v>76.576893750000011</v>
      </c>
      <c r="C173" s="36" t="s">
        <v>1348</v>
      </c>
    </row>
    <row r="174" spans="1:5" ht="15.75" x14ac:dyDescent="0.25">
      <c r="A174" s="36" t="s">
        <v>1347</v>
      </c>
      <c r="B174" s="402">
        <f>+B170-B173</f>
        <v>11.58279085800001</v>
      </c>
    </row>
    <row r="175" spans="1:5" ht="15.75" x14ac:dyDescent="0.25">
      <c r="B175" s="402"/>
    </row>
    <row r="176" spans="1:5" ht="15.75" x14ac:dyDescent="0.25">
      <c r="B176" s="402"/>
    </row>
    <row r="177" spans="1:2" ht="15.75" x14ac:dyDescent="0.25">
      <c r="A177" s="407" t="s">
        <v>1346</v>
      </c>
    </row>
    <row r="178" spans="1:2" ht="15.75" x14ac:dyDescent="0.25"/>
    <row r="179" spans="1:2" ht="15.75" x14ac:dyDescent="0.25">
      <c r="A179" s="36" t="s">
        <v>1345</v>
      </c>
    </row>
    <row r="180" spans="1:2" ht="15.75" x14ac:dyDescent="0.25">
      <c r="A180" s="36" t="s">
        <v>1344</v>
      </c>
    </row>
    <row r="181" spans="1:2" ht="15.75" x14ac:dyDescent="0.25">
      <c r="A181" s="36" t="s">
        <v>1343</v>
      </c>
    </row>
    <row r="182" spans="1:2" ht="15.75" x14ac:dyDescent="0.25">
      <c r="A182" s="36" t="s">
        <v>1342</v>
      </c>
    </row>
    <row r="183" spans="1:2" ht="15.75" x14ac:dyDescent="0.25"/>
    <row r="184" spans="1:2" ht="15.75" x14ac:dyDescent="0.25">
      <c r="A184" s="36" t="s">
        <v>1341</v>
      </c>
      <c r="B184" s="36">
        <v>50000</v>
      </c>
    </row>
    <row r="185" spans="1:2" ht="15.75" x14ac:dyDescent="0.25">
      <c r="A185" s="36" t="s">
        <v>1340</v>
      </c>
      <c r="B185" s="406">
        <v>5.0000000000000001E-3</v>
      </c>
    </row>
    <row r="186" spans="1:2" ht="15.75" x14ac:dyDescent="0.25">
      <c r="A186" s="36" t="s">
        <v>1339</v>
      </c>
      <c r="B186" s="405">
        <v>0.02</v>
      </c>
    </row>
    <row r="187" spans="1:2" ht="15.75" x14ac:dyDescent="0.25">
      <c r="A187" s="36" t="s">
        <v>1127</v>
      </c>
      <c r="B187" s="36">
        <v>17</v>
      </c>
    </row>
    <row r="188" spans="1:2" ht="15.75" x14ac:dyDescent="0.25"/>
    <row r="189" spans="1:2" ht="15.75" x14ac:dyDescent="0.25">
      <c r="A189" s="36" t="s">
        <v>1338</v>
      </c>
      <c r="B189" s="402">
        <f>B184*(1+B185)^B187</f>
        <v>54424.325351620064</v>
      </c>
    </row>
    <row r="190" spans="1:2" ht="15.75" x14ac:dyDescent="0.25">
      <c r="A190" s="36" t="s">
        <v>1337</v>
      </c>
      <c r="B190" s="402">
        <f>B189*(1+B186)^-B187</f>
        <v>38867.815653538346</v>
      </c>
    </row>
    <row r="191" spans="1:2" ht="15.75" x14ac:dyDescent="0.25">
      <c r="A191" s="37" t="s">
        <v>1336</v>
      </c>
      <c r="B191" s="404">
        <f>B184-B190</f>
        <v>11132.184346461654</v>
      </c>
    </row>
    <row r="192" spans="1:2" ht="15.75" x14ac:dyDescent="0.25"/>
    <row r="193" spans="1:2" ht="15.75" x14ac:dyDescent="0.25">
      <c r="A193" s="403" t="s">
        <v>1335</v>
      </c>
    </row>
    <row r="194" spans="1:2" ht="15.75" x14ac:dyDescent="0.25">
      <c r="A194" s="36" t="s">
        <v>1334</v>
      </c>
      <c r="B194" s="36">
        <f>((1+B185)/(1+B186))-1</f>
        <v>-1.4705882352941346E-2</v>
      </c>
    </row>
    <row r="195" spans="1:2" ht="15.75" x14ac:dyDescent="0.25">
      <c r="A195" s="36" t="s">
        <v>1333</v>
      </c>
      <c r="B195" s="402">
        <f>B184*(1+B194)^17</f>
        <v>38867.815653538339</v>
      </c>
    </row>
    <row r="196" spans="1:2" ht="15.75" x14ac:dyDescent="0.25">
      <c r="A196" s="36" t="s">
        <v>1332</v>
      </c>
      <c r="B196" s="401">
        <f>B184-B195</f>
        <v>11132.184346461661</v>
      </c>
    </row>
  </sheetData>
  <hyperlinks>
    <hyperlink ref="C2" location="Investeringsteori!A1" display="Investeringsteori!A1" xr:uid="{00000000-0004-0000-2500-000000000000}"/>
  </hyperlink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B0F0"/>
  </sheetPr>
  <dimension ref="A1:G40"/>
  <sheetViews>
    <sheetView workbookViewId="0">
      <selection activeCell="C1" sqref="C1"/>
    </sheetView>
  </sheetViews>
  <sheetFormatPr defaultColWidth="22" defaultRowHeight="18" customHeight="1" x14ac:dyDescent="0.25"/>
  <cols>
    <col min="1" max="16384" width="22" style="36"/>
  </cols>
  <sheetData>
    <row r="1" spans="1:4" ht="15.75" x14ac:dyDescent="0.25">
      <c r="A1" s="425" t="s">
        <v>1491</v>
      </c>
      <c r="B1"/>
      <c r="C1" s="426" t="s">
        <v>1228</v>
      </c>
    </row>
    <row r="2" spans="1:4" ht="15.75" x14ac:dyDescent="0.25">
      <c r="A2" s="37" t="s">
        <v>1490</v>
      </c>
    </row>
    <row r="3" spans="1:4" ht="15.75" x14ac:dyDescent="0.25"/>
    <row r="4" spans="1:4" ht="15.75" x14ac:dyDescent="0.25">
      <c r="A4" s="36" t="s">
        <v>1489</v>
      </c>
      <c r="B4" s="52">
        <v>600000</v>
      </c>
    </row>
    <row r="5" spans="1:4" ht="15.75" x14ac:dyDescent="0.25">
      <c r="A5" s="36" t="s">
        <v>1488</v>
      </c>
      <c r="B5" s="36">
        <v>4</v>
      </c>
      <c r="C5" s="36" t="s">
        <v>1487</v>
      </c>
    </row>
    <row r="6" spans="1:4" ht="15.75" x14ac:dyDescent="0.25">
      <c r="A6" s="36" t="s">
        <v>1486</v>
      </c>
      <c r="B6" s="52">
        <v>100000</v>
      </c>
    </row>
    <row r="7" spans="1:4" ht="15.75" x14ac:dyDescent="0.25">
      <c r="A7" s="36" t="s">
        <v>1485</v>
      </c>
      <c r="B7" s="52">
        <v>20000</v>
      </c>
      <c r="C7" s="36" t="s">
        <v>1484</v>
      </c>
    </row>
    <row r="8" spans="1:4" ht="15.75" x14ac:dyDescent="0.25">
      <c r="A8" s="36" t="s">
        <v>1483</v>
      </c>
      <c r="B8" s="436">
        <v>200000</v>
      </c>
      <c r="C8" s="36" t="s">
        <v>1482</v>
      </c>
    </row>
    <row r="9" spans="1:4" ht="15.75" x14ac:dyDescent="0.25">
      <c r="A9" s="36" t="s">
        <v>1481</v>
      </c>
      <c r="B9" s="36">
        <v>0.12</v>
      </c>
    </row>
    <row r="10" spans="1:4" ht="15.75" x14ac:dyDescent="0.25"/>
    <row r="11" spans="1:4" ht="15.75" x14ac:dyDescent="0.25">
      <c r="A11" s="37" t="s">
        <v>1480</v>
      </c>
    </row>
    <row r="12" spans="1:4" ht="15.75" x14ac:dyDescent="0.25">
      <c r="A12" s="36" t="s">
        <v>1479</v>
      </c>
    </row>
    <row r="13" spans="1:4" ht="15.75" x14ac:dyDescent="0.25">
      <c r="C13" s="408" t="s">
        <v>1478</v>
      </c>
      <c r="D13" s="408" t="s">
        <v>1335</v>
      </c>
    </row>
    <row r="14" spans="1:4" ht="15.75" x14ac:dyDescent="0.25">
      <c r="A14" s="53" t="s">
        <v>1477</v>
      </c>
      <c r="B14" s="435">
        <f>(B8-B7)-(B4-(B6*(1+B9)^-B5))*(B9/(1-(1+B9)^-B5))</f>
        <v>3382.7818471551582</v>
      </c>
      <c r="C14" s="434">
        <f>-PMT(B9,B5,B16)</f>
        <v>3382.7818471551286</v>
      </c>
      <c r="D14" s="402">
        <f>C16*B9/(1-(1+B9)^-B5)</f>
        <v>3382.7818471551655</v>
      </c>
    </row>
    <row r="15" spans="1:4" ht="15.75" x14ac:dyDescent="0.25">
      <c r="A15" s="53"/>
      <c r="B15" s="433"/>
      <c r="C15" s="16"/>
    </row>
    <row r="16" spans="1:4" ht="15.75" x14ac:dyDescent="0.25">
      <c r="A16" s="53" t="s">
        <v>1476</v>
      </c>
      <c r="B16" s="432">
        <f>(B8-B7)*((1-(1+B9)^-B5)/B9)+B6*(1+B9)^-B5-B4</f>
        <v>10274.690233236295</v>
      </c>
      <c r="C16" s="402">
        <f>-PV(B9,B5,(B8-B7),B6)-B4</f>
        <v>10274.690233236412</v>
      </c>
    </row>
    <row r="17" spans="1:7" ht="15.75" x14ac:dyDescent="0.25">
      <c r="A17" s="16"/>
      <c r="B17" s="16"/>
    </row>
    <row r="18" spans="1:7" ht="15.75" x14ac:dyDescent="0.25">
      <c r="A18" s="37" t="s">
        <v>1475</v>
      </c>
    </row>
    <row r="19" spans="1:7" ht="15.75" x14ac:dyDescent="0.25">
      <c r="A19" s="36" t="s">
        <v>1474</v>
      </c>
      <c r="C19" s="59">
        <f>(196617.218-200000)/200000</f>
        <v>-1.6913910000000032E-2</v>
      </c>
    </row>
    <row r="20" spans="1:7" ht="15.75" x14ac:dyDescent="0.25">
      <c r="A20" s="37" t="s">
        <v>1473</v>
      </c>
    </row>
    <row r="21" spans="1:7" ht="15.75" x14ac:dyDescent="0.25"/>
    <row r="22" spans="1:7" ht="15.75" x14ac:dyDescent="0.25">
      <c r="A22" s="37" t="s">
        <v>1472</v>
      </c>
    </row>
    <row r="23" spans="1:7" ht="15.75" x14ac:dyDescent="0.25">
      <c r="A23" s="37"/>
    </row>
    <row r="24" spans="1:7" ht="15.75" x14ac:dyDescent="0.25">
      <c r="A24" s="53" t="s">
        <v>1420</v>
      </c>
      <c r="B24" s="121">
        <v>0</v>
      </c>
      <c r="C24" s="121">
        <v>1</v>
      </c>
      <c r="D24" s="121">
        <v>2</v>
      </c>
      <c r="E24" s="121">
        <v>3</v>
      </c>
      <c r="F24" s="431">
        <v>4</v>
      </c>
    </row>
    <row r="25" spans="1:7" ht="15.75" x14ac:dyDescent="0.25">
      <c r="A25" s="23" t="s">
        <v>122</v>
      </c>
      <c r="B25" s="169">
        <f>-B4</f>
        <v>-600000</v>
      </c>
      <c r="C25" s="16"/>
      <c r="D25" s="16"/>
      <c r="E25" s="16"/>
      <c r="F25" s="207"/>
    </row>
    <row r="26" spans="1:7" ht="15.75" x14ac:dyDescent="0.25">
      <c r="A26" s="23" t="s">
        <v>1471</v>
      </c>
      <c r="B26" s="16"/>
      <c r="C26" s="16"/>
      <c r="D26" s="16"/>
      <c r="E26" s="16"/>
      <c r="F26" s="191">
        <f>+B6</f>
        <v>100000</v>
      </c>
    </row>
    <row r="27" spans="1:7" ht="15.75" x14ac:dyDescent="0.25">
      <c r="A27" s="23" t="s">
        <v>1470</v>
      </c>
      <c r="B27" s="16"/>
      <c r="C27" s="169">
        <f>-B7</f>
        <v>-20000</v>
      </c>
      <c r="D27" s="169">
        <f t="shared" ref="D27:F28" si="0">+C27</f>
        <v>-20000</v>
      </c>
      <c r="E27" s="169">
        <f t="shared" si="0"/>
        <v>-20000</v>
      </c>
      <c r="F27" s="169">
        <f t="shared" si="0"/>
        <v>-20000</v>
      </c>
    </row>
    <row r="28" spans="1:7" ht="15.75" x14ac:dyDescent="0.25">
      <c r="A28" s="23" t="s">
        <v>1469</v>
      </c>
      <c r="B28" s="16"/>
      <c r="C28" s="169">
        <f>+B8</f>
        <v>200000</v>
      </c>
      <c r="D28" s="169">
        <f t="shared" si="0"/>
        <v>200000</v>
      </c>
      <c r="E28" s="169">
        <f t="shared" si="0"/>
        <v>200000</v>
      </c>
      <c r="F28" s="169">
        <f t="shared" si="0"/>
        <v>200000</v>
      </c>
    </row>
    <row r="29" spans="1:7" ht="15.75" x14ac:dyDescent="0.25">
      <c r="A29" s="23" t="s">
        <v>1468</v>
      </c>
      <c r="B29" s="169">
        <f>SUM(B25:B28)</f>
        <v>-600000</v>
      </c>
      <c r="C29" s="169">
        <f>SUM(C25:C28)</f>
        <v>180000</v>
      </c>
      <c r="D29" s="169">
        <f>SUM(D25:D28)</f>
        <v>180000</v>
      </c>
      <c r="E29" s="169">
        <f>SUM(E25:E28)</f>
        <v>180000</v>
      </c>
      <c r="F29" s="169">
        <f>SUM(F25:F28)</f>
        <v>280000</v>
      </c>
    </row>
    <row r="30" spans="1:7" ht="15.75" x14ac:dyDescent="0.25">
      <c r="A30" s="26" t="s">
        <v>1189</v>
      </c>
      <c r="B30" s="208">
        <f>B29*(1+$B9)^-B24</f>
        <v>-600000</v>
      </c>
      <c r="C30" s="208">
        <f>C29*(1+$B9)^-C24</f>
        <v>160714.28571428571</v>
      </c>
      <c r="D30" s="208">
        <f>D29*(1+$B9)^-D24</f>
        <v>143494.89795918367</v>
      </c>
      <c r="E30" s="208">
        <f>E29*(1+$B9)^-E24</f>
        <v>128120.44460641396</v>
      </c>
      <c r="F30" s="430">
        <f>F29*(1+$B9)^-F24</f>
        <v>177945.06195335274</v>
      </c>
      <c r="G30" s="418">
        <f>SUM(B30:F30)</f>
        <v>10274.690233236033</v>
      </c>
    </row>
    <row r="31" spans="1:7" ht="15.75" x14ac:dyDescent="0.25">
      <c r="A31" s="36" t="s">
        <v>1467</v>
      </c>
      <c r="B31" s="36">
        <f>+B30</f>
        <v>-600000</v>
      </c>
      <c r="C31" s="36">
        <f>+B31+C30</f>
        <v>-439285.71428571432</v>
      </c>
      <c r="D31" s="36">
        <f>+C31+D30</f>
        <v>-295790.81632653065</v>
      </c>
      <c r="E31" s="429">
        <f>+D31+E30</f>
        <v>-167670.3717201167</v>
      </c>
      <c r="F31" s="418">
        <f>+E31+F30</f>
        <v>10274.690233236033</v>
      </c>
    </row>
    <row r="32" spans="1:7" ht="15.75" x14ac:dyDescent="0.25">
      <c r="A32" s="36" t="s">
        <v>1232</v>
      </c>
      <c r="B32" s="428">
        <f>NPV(B9,C29:F29)+B29</f>
        <v>10274.690233235946</v>
      </c>
    </row>
    <row r="33" spans="1:4" ht="15.75" x14ac:dyDescent="0.25">
      <c r="A33" s="36" t="s">
        <v>1466</v>
      </c>
      <c r="B33" s="409">
        <f>-PMT(B9,B5,B32)</f>
        <v>3382.781847155014</v>
      </c>
    </row>
    <row r="34" spans="1:4" ht="15.75" x14ac:dyDescent="0.25">
      <c r="A34" s="36" t="s">
        <v>1465</v>
      </c>
      <c r="B34" s="406">
        <f>IRR(B29:F29)</f>
        <v>0.1275563271405058</v>
      </c>
    </row>
    <row r="35" spans="1:4" ht="15.75" x14ac:dyDescent="0.25"/>
    <row r="36" spans="1:4" ht="15.75" x14ac:dyDescent="0.25"/>
    <row r="37" spans="1:4" ht="15.75" x14ac:dyDescent="0.25">
      <c r="A37" s="37" t="s">
        <v>1464</v>
      </c>
    </row>
    <row r="38" spans="1:4" ht="15.75" x14ac:dyDescent="0.25"/>
    <row r="39" spans="1:4" ht="15.75" x14ac:dyDescent="0.25">
      <c r="A39" s="36" t="s">
        <v>1463</v>
      </c>
      <c r="C39" s="36" t="s">
        <v>1462</v>
      </c>
    </row>
    <row r="40" spans="1:4" ht="15.75" x14ac:dyDescent="0.25">
      <c r="C40" s="36">
        <f>(-E31/F30)</f>
        <v>0.94225920000000063</v>
      </c>
      <c r="D40" s="36">
        <f>+C40*365</f>
        <v>343.92460800000021</v>
      </c>
    </row>
  </sheetData>
  <hyperlinks>
    <hyperlink ref="C1" location="Investeringsteori!A1" display="Investeringsteori!A1" xr:uid="{00000000-0004-0000-2600-000000000000}"/>
  </hyperlink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B0F0"/>
  </sheetPr>
  <dimension ref="B2:E41"/>
  <sheetViews>
    <sheetView topLeftCell="B1" workbookViewId="0">
      <selection activeCell="D2" sqref="D2"/>
    </sheetView>
  </sheetViews>
  <sheetFormatPr defaultColWidth="10.875" defaultRowHeight="15.75" x14ac:dyDescent="0.25"/>
  <cols>
    <col min="1" max="1" width="10.875" style="1"/>
    <col min="2" max="2" width="30.625" style="1" customWidth="1"/>
    <col min="3" max="3" width="14.875" style="1" customWidth="1"/>
    <col min="4" max="16384" width="10.875" style="1"/>
  </cols>
  <sheetData>
    <row r="2" spans="2:5" x14ac:dyDescent="0.25">
      <c r="D2" s="101" t="s">
        <v>1228</v>
      </c>
    </row>
    <row r="4" spans="2:5" x14ac:dyDescent="0.25">
      <c r="B4" s="437" t="s">
        <v>1494</v>
      </c>
      <c r="C4" s="437"/>
      <c r="D4" s="162"/>
      <c r="E4" s="162"/>
    </row>
    <row r="5" spans="2:5" x14ac:dyDescent="0.25">
      <c r="B5" s="438" t="s">
        <v>1495</v>
      </c>
      <c r="C5" s="438"/>
      <c r="D5" s="438"/>
      <c r="E5" s="162"/>
    </row>
    <row r="6" spans="2:5" x14ac:dyDescent="0.25">
      <c r="B6" s="438" t="s">
        <v>1496</v>
      </c>
      <c r="C6" s="438"/>
      <c r="D6" s="438"/>
      <c r="E6" s="438"/>
    </row>
    <row r="7" spans="2:5" x14ac:dyDescent="0.25">
      <c r="B7" s="438"/>
      <c r="C7" s="162"/>
      <c r="D7" s="162"/>
      <c r="E7" s="162"/>
    </row>
    <row r="8" spans="2:5" x14ac:dyDescent="0.25">
      <c r="B8" s="438" t="s">
        <v>1497</v>
      </c>
      <c r="C8" s="439" t="s">
        <v>1498</v>
      </c>
      <c r="D8" s="439" t="s">
        <v>1499</v>
      </c>
      <c r="E8" s="162"/>
    </row>
    <row r="9" spans="2:5" x14ac:dyDescent="0.25">
      <c r="B9" s="440" t="s">
        <v>397</v>
      </c>
      <c r="C9" s="440">
        <v>120</v>
      </c>
      <c r="D9" s="440">
        <v>160</v>
      </c>
      <c r="E9" s="438">
        <v>160</v>
      </c>
    </row>
    <row r="10" spans="2:5" x14ac:dyDescent="0.25">
      <c r="B10" s="438" t="s">
        <v>1500</v>
      </c>
      <c r="C10" s="438">
        <v>25</v>
      </c>
      <c r="D10" s="438">
        <v>22.5</v>
      </c>
      <c r="E10" s="438">
        <v>22.5</v>
      </c>
    </row>
    <row r="11" spans="2:5" x14ac:dyDescent="0.25">
      <c r="B11" s="438" t="s">
        <v>1501</v>
      </c>
      <c r="C11" s="438">
        <v>18</v>
      </c>
      <c r="D11" s="438">
        <v>16.399999999999999</v>
      </c>
      <c r="E11" s="438">
        <v>16.399999999999999</v>
      </c>
    </row>
    <row r="12" spans="2:5" x14ac:dyDescent="0.25">
      <c r="B12" s="441" t="s">
        <v>1502</v>
      </c>
      <c r="C12" s="441">
        <v>20</v>
      </c>
      <c r="D12" s="441">
        <v>24</v>
      </c>
      <c r="E12" s="438">
        <v>24</v>
      </c>
    </row>
    <row r="13" spans="2:5" x14ac:dyDescent="0.25">
      <c r="B13" s="438"/>
      <c r="C13" s="438"/>
      <c r="D13" s="438"/>
      <c r="E13" s="162"/>
    </row>
    <row r="14" spans="2:5" x14ac:dyDescent="0.25">
      <c r="B14" s="442" t="s">
        <v>1503</v>
      </c>
      <c r="C14" s="442">
        <v>0.09</v>
      </c>
      <c r="D14" s="442">
        <v>0.09</v>
      </c>
      <c r="E14" s="162"/>
    </row>
    <row r="15" spans="2:5" x14ac:dyDescent="0.25">
      <c r="B15" s="162"/>
      <c r="C15" s="162"/>
      <c r="D15" s="162"/>
      <c r="E15" s="162"/>
    </row>
    <row r="16" spans="2:5" x14ac:dyDescent="0.25">
      <c r="B16" s="443" t="s">
        <v>1504</v>
      </c>
      <c r="C16" s="443"/>
      <c r="D16" s="443"/>
      <c r="E16" s="162"/>
    </row>
    <row r="17" spans="2:5" x14ac:dyDescent="0.25">
      <c r="B17" s="443"/>
      <c r="C17" s="162"/>
      <c r="D17" s="162"/>
      <c r="E17" s="162"/>
    </row>
    <row r="18" spans="2:5" x14ac:dyDescent="0.25">
      <c r="B18" s="443" t="s">
        <v>1505</v>
      </c>
      <c r="C18" s="443"/>
      <c r="D18" s="443"/>
      <c r="E18" s="162"/>
    </row>
    <row r="19" spans="2:5" x14ac:dyDescent="0.25">
      <c r="B19" s="162"/>
      <c r="C19" s="162"/>
      <c r="D19" s="162"/>
      <c r="E19" s="162"/>
    </row>
    <row r="20" spans="2:5" x14ac:dyDescent="0.25">
      <c r="B20" s="438"/>
      <c r="C20" s="439" t="s">
        <v>1498</v>
      </c>
      <c r="D20" s="439" t="s">
        <v>1499</v>
      </c>
      <c r="E20" s="444" t="s">
        <v>1499</v>
      </c>
    </row>
    <row r="21" spans="2:5" x14ac:dyDescent="0.25">
      <c r="B21" s="442" t="s">
        <v>1506</v>
      </c>
      <c r="C21" s="442">
        <v>15</v>
      </c>
      <c r="D21" s="442">
        <v>15</v>
      </c>
      <c r="E21" s="162">
        <v>20</v>
      </c>
    </row>
    <row r="22" spans="2:5" x14ac:dyDescent="0.25">
      <c r="B22" s="438" t="s">
        <v>1507</v>
      </c>
      <c r="C22" s="438">
        <v>-120</v>
      </c>
      <c r="D22" s="438">
        <v>-160</v>
      </c>
      <c r="E22" s="438">
        <v>-160</v>
      </c>
    </row>
    <row r="23" spans="2:5" x14ac:dyDescent="0.25">
      <c r="B23" s="438" t="s">
        <v>1508</v>
      </c>
      <c r="C23" s="438">
        <v>-201.52</v>
      </c>
      <c r="D23" s="438">
        <v>-181.37</v>
      </c>
      <c r="E23" s="438">
        <v>-205.39</v>
      </c>
    </row>
    <row r="24" spans="2:5" x14ac:dyDescent="0.25">
      <c r="B24" s="438" t="s">
        <v>1509</v>
      </c>
      <c r="C24" s="438">
        <v>-145.09</v>
      </c>
      <c r="D24" s="438">
        <v>-132.19999999999999</v>
      </c>
      <c r="E24" s="438">
        <v>-149.71</v>
      </c>
    </row>
    <row r="25" spans="2:5" x14ac:dyDescent="0.25">
      <c r="B25" s="438" t="s">
        <v>1510</v>
      </c>
      <c r="C25" s="438">
        <v>5.49</v>
      </c>
      <c r="D25" s="438">
        <v>6.59</v>
      </c>
      <c r="E25" s="438">
        <v>4.28</v>
      </c>
    </row>
    <row r="26" spans="2:5" x14ac:dyDescent="0.25">
      <c r="B26" s="438" t="s">
        <v>1511</v>
      </c>
      <c r="C26" s="443">
        <v>-461.12</v>
      </c>
      <c r="D26" s="438">
        <v>-466.97</v>
      </c>
      <c r="E26" s="443">
        <v>-510.82</v>
      </c>
    </row>
    <row r="27" spans="2:5" x14ac:dyDescent="0.25">
      <c r="B27" s="442" t="s">
        <v>1512</v>
      </c>
      <c r="C27" s="442">
        <v>-57.21</v>
      </c>
      <c r="D27" s="442">
        <v>-57.93</v>
      </c>
      <c r="E27" s="442">
        <v>-55.96</v>
      </c>
    </row>
    <row r="28" spans="2:5" x14ac:dyDescent="0.25">
      <c r="B28" s="162"/>
      <c r="C28" s="162"/>
      <c r="D28" s="162"/>
      <c r="E28" s="162"/>
    </row>
    <row r="29" spans="2:5" x14ac:dyDescent="0.25">
      <c r="B29" s="443" t="s">
        <v>1513</v>
      </c>
      <c r="C29" s="443"/>
      <c r="D29" s="443"/>
      <c r="E29" s="443"/>
    </row>
    <row r="30" spans="2:5" x14ac:dyDescent="0.25">
      <c r="B30" s="162"/>
      <c r="C30" s="162"/>
      <c r="D30" s="162"/>
      <c r="E30" s="162"/>
    </row>
    <row r="31" spans="2:5" x14ac:dyDescent="0.25">
      <c r="B31" s="445" t="s">
        <v>1514</v>
      </c>
      <c r="C31" s="446">
        <v>0.05</v>
      </c>
      <c r="D31" s="162">
        <v>4.2942824999999997E-2</v>
      </c>
      <c r="E31" s="447">
        <v>-0.1411</v>
      </c>
    </row>
    <row r="32" spans="2:5" x14ac:dyDescent="0.25">
      <c r="B32" s="162" t="s">
        <v>1515</v>
      </c>
      <c r="C32" s="447">
        <v>3.8100000000000002E-2</v>
      </c>
      <c r="D32" s="162"/>
      <c r="E32" s="162"/>
    </row>
    <row r="33" spans="2:5" x14ac:dyDescent="0.25">
      <c r="B33" s="438"/>
      <c r="C33" s="439" t="s">
        <v>1498</v>
      </c>
      <c r="D33" s="439" t="s">
        <v>1499</v>
      </c>
      <c r="E33" s="162"/>
    </row>
    <row r="34" spans="2:5" x14ac:dyDescent="0.25">
      <c r="B34" s="442" t="s">
        <v>1506</v>
      </c>
      <c r="C34" s="442">
        <v>15</v>
      </c>
      <c r="D34" s="442">
        <v>20</v>
      </c>
      <c r="E34" s="162"/>
    </row>
    <row r="35" spans="2:5" x14ac:dyDescent="0.25">
      <c r="B35" s="438" t="s">
        <v>1507</v>
      </c>
      <c r="C35" s="438">
        <v>-120</v>
      </c>
      <c r="D35" s="438">
        <v>-160</v>
      </c>
      <c r="E35" s="162"/>
    </row>
    <row r="36" spans="2:5" x14ac:dyDescent="0.25">
      <c r="B36" s="438" t="s">
        <v>1508</v>
      </c>
      <c r="C36" s="438">
        <v>-281.7</v>
      </c>
      <c r="D36" s="438">
        <v>-311.01</v>
      </c>
      <c r="E36" s="162"/>
    </row>
    <row r="37" spans="2:5" x14ac:dyDescent="0.25">
      <c r="B37" s="438" t="s">
        <v>1509</v>
      </c>
      <c r="C37" s="438">
        <v>-145.09</v>
      </c>
      <c r="D37" s="438">
        <v>-149.71</v>
      </c>
      <c r="E37" s="162"/>
    </row>
    <row r="38" spans="2:5" x14ac:dyDescent="0.25">
      <c r="B38" s="438" t="s">
        <v>1510</v>
      </c>
      <c r="C38" s="438">
        <v>5.49</v>
      </c>
      <c r="D38" s="438">
        <v>4.28</v>
      </c>
      <c r="E38" s="162"/>
    </row>
    <row r="39" spans="2:5" x14ac:dyDescent="0.25">
      <c r="B39" s="438" t="s">
        <v>1511</v>
      </c>
      <c r="C39" s="438">
        <v>-541.29999999999995</v>
      </c>
      <c r="D39" s="438">
        <v>-616.42999999999995</v>
      </c>
      <c r="E39" s="162"/>
    </row>
    <row r="40" spans="2:5" x14ac:dyDescent="0.25">
      <c r="B40" s="442" t="s">
        <v>1512</v>
      </c>
      <c r="C40" s="442">
        <v>-67.150000000000006</v>
      </c>
      <c r="D40" s="442">
        <v>-67.53</v>
      </c>
      <c r="E40" s="162"/>
    </row>
    <row r="41" spans="2:5" x14ac:dyDescent="0.25">
      <c r="B41" s="448" t="s">
        <v>1516</v>
      </c>
      <c r="C41" s="449">
        <v>0.37</v>
      </c>
      <c r="D41" s="162"/>
      <c r="E41" s="162"/>
    </row>
  </sheetData>
  <hyperlinks>
    <hyperlink ref="D2" location="Investeringsteori!A1" display="Investeringsteori!A1" xr:uid="{00000000-0004-0000-2700-000000000000}"/>
  </hyperlink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70C0"/>
  </sheetPr>
  <dimension ref="B2:J34"/>
  <sheetViews>
    <sheetView workbookViewId="0">
      <selection activeCell="D2" sqref="D2"/>
    </sheetView>
  </sheetViews>
  <sheetFormatPr defaultColWidth="10.875" defaultRowHeight="15.75" x14ac:dyDescent="0.25"/>
  <cols>
    <col min="1" max="1" width="10.875" style="1"/>
    <col min="2" max="2" width="16.375" style="1" customWidth="1"/>
    <col min="3" max="16384" width="10.875" style="1"/>
  </cols>
  <sheetData>
    <row r="2" spans="2:10" x14ac:dyDescent="0.25">
      <c r="D2" s="101" t="s">
        <v>1228</v>
      </c>
    </row>
    <row r="5" spans="2:10" x14ac:dyDescent="0.25">
      <c r="B5" s="425" t="s">
        <v>1541</v>
      </c>
      <c r="C5" s="36"/>
      <c r="D5" s="36"/>
      <c r="E5" s="36"/>
      <c r="F5" s="36"/>
      <c r="G5" s="36"/>
      <c r="H5" s="36"/>
      <c r="I5" s="36"/>
      <c r="J5" s="36"/>
    </row>
    <row r="6" spans="2:10" x14ac:dyDescent="0.25">
      <c r="B6" s="452" t="s">
        <v>1540</v>
      </c>
      <c r="C6" s="452"/>
      <c r="D6" s="452"/>
      <c r="E6" s="452"/>
      <c r="F6" s="452"/>
      <c r="G6" s="452"/>
      <c r="H6" s="452"/>
      <c r="I6" s="452"/>
      <c r="J6" s="452"/>
    </row>
    <row r="7" spans="2:10" x14ac:dyDescent="0.25">
      <c r="B7" s="452" t="s">
        <v>1539</v>
      </c>
      <c r="C7" s="452"/>
      <c r="D7" s="452"/>
      <c r="E7" s="452"/>
      <c r="F7" s="452"/>
      <c r="G7" s="452"/>
      <c r="H7" s="452"/>
      <c r="I7" s="452"/>
      <c r="J7" s="452"/>
    </row>
    <row r="8" spans="2:10" x14ac:dyDescent="0.25">
      <c r="B8" s="452"/>
      <c r="C8" s="452"/>
      <c r="D8" s="452"/>
      <c r="E8" s="452"/>
      <c r="F8" s="452"/>
      <c r="G8" s="452"/>
      <c r="H8" s="452"/>
      <c r="I8" s="452"/>
      <c r="J8" s="452"/>
    </row>
    <row r="9" spans="2:10" x14ac:dyDescent="0.25">
      <c r="B9" s="456" t="s">
        <v>1529</v>
      </c>
      <c r="C9" s="456">
        <v>1</v>
      </c>
      <c r="D9" s="456">
        <v>2</v>
      </c>
      <c r="E9" s="456">
        <v>3</v>
      </c>
      <c r="F9" s="456">
        <v>4</v>
      </c>
      <c r="G9" s="456">
        <v>5</v>
      </c>
      <c r="H9" s="456">
        <v>6</v>
      </c>
      <c r="I9" s="456">
        <v>7</v>
      </c>
      <c r="J9" s="456">
        <v>8</v>
      </c>
    </row>
    <row r="10" spans="2:10" ht="18.75" x14ac:dyDescent="0.35">
      <c r="B10" s="452" t="s">
        <v>1538</v>
      </c>
      <c r="C10" s="452">
        <v>120</v>
      </c>
      <c r="D10" s="452">
        <v>120</v>
      </c>
      <c r="E10" s="452">
        <v>100</v>
      </c>
      <c r="F10" s="452">
        <v>80</v>
      </c>
      <c r="G10" s="452">
        <v>40</v>
      </c>
      <c r="H10" s="452">
        <v>20</v>
      </c>
      <c r="I10" s="452">
        <v>5</v>
      </c>
      <c r="J10" s="452">
        <v>0</v>
      </c>
    </row>
    <row r="11" spans="2:10" ht="18.75" x14ac:dyDescent="0.35">
      <c r="B11" s="452" t="s">
        <v>1537</v>
      </c>
      <c r="C11" s="452">
        <v>120</v>
      </c>
      <c r="D11" s="452">
        <v>100</v>
      </c>
      <c r="E11" s="452">
        <v>80</v>
      </c>
      <c r="F11" s="452">
        <v>60</v>
      </c>
      <c r="G11" s="452">
        <v>40</v>
      </c>
      <c r="H11" s="452">
        <v>20</v>
      </c>
      <c r="I11" s="452">
        <v>0</v>
      </c>
      <c r="J11" s="452">
        <v>0</v>
      </c>
    </row>
    <row r="12" spans="2:10" x14ac:dyDescent="0.25">
      <c r="B12" s="452"/>
      <c r="C12" s="452"/>
      <c r="D12" s="452"/>
      <c r="E12" s="452"/>
      <c r="F12" s="452"/>
      <c r="G12" s="452"/>
      <c r="H12" s="452"/>
      <c r="I12" s="452"/>
      <c r="J12" s="452"/>
    </row>
    <row r="13" spans="2:10" x14ac:dyDescent="0.25">
      <c r="B13" s="452"/>
      <c r="C13" s="452"/>
      <c r="D13" s="452"/>
      <c r="E13" s="452"/>
      <c r="F13" s="452"/>
      <c r="G13" s="452"/>
      <c r="H13" s="452"/>
      <c r="I13" s="452"/>
      <c r="J13" s="452"/>
    </row>
    <row r="14" spans="2:10" x14ac:dyDescent="0.25">
      <c r="B14" s="459" t="s">
        <v>1536</v>
      </c>
      <c r="C14" s="452"/>
      <c r="D14" s="452"/>
      <c r="E14" s="452"/>
      <c r="F14" s="452"/>
      <c r="G14" s="452"/>
      <c r="H14" s="452"/>
      <c r="I14" s="452"/>
      <c r="J14" s="452"/>
    </row>
    <row r="15" spans="2:10" x14ac:dyDescent="0.25">
      <c r="B15" s="459"/>
      <c r="C15" s="452"/>
      <c r="D15" s="452"/>
      <c r="E15" s="452"/>
      <c r="F15" s="452"/>
      <c r="G15" s="452"/>
      <c r="H15" s="452"/>
      <c r="I15" s="452"/>
      <c r="J15" s="452"/>
    </row>
    <row r="16" spans="2:10" x14ac:dyDescent="0.25">
      <c r="B16" s="456" t="s">
        <v>1535</v>
      </c>
      <c r="C16" s="456">
        <v>0.1</v>
      </c>
      <c r="D16" s="452"/>
      <c r="E16" s="452"/>
      <c r="F16" s="452"/>
      <c r="G16" s="452"/>
      <c r="H16" s="452"/>
      <c r="I16" s="452"/>
      <c r="J16" s="452"/>
    </row>
    <row r="17" spans="2:10" x14ac:dyDescent="0.25">
      <c r="B17" s="456" t="s">
        <v>1529</v>
      </c>
      <c r="C17" s="456">
        <v>1</v>
      </c>
      <c r="D17" s="456">
        <v>2</v>
      </c>
      <c r="E17" s="456">
        <v>3</v>
      </c>
      <c r="F17" s="456">
        <v>4</v>
      </c>
      <c r="G17" s="457">
        <v>5</v>
      </c>
      <c r="H17" s="456">
        <v>6</v>
      </c>
      <c r="I17" s="456">
        <v>7</v>
      </c>
      <c r="J17" s="456">
        <v>8</v>
      </c>
    </row>
    <row r="18" spans="2:10" x14ac:dyDescent="0.25">
      <c r="B18" s="452" t="s">
        <v>1527</v>
      </c>
      <c r="C18" s="450">
        <f t="shared" ref="C18:J18" si="0">C10*(1+$C16)^-C17</f>
        <v>109.09090909090909</v>
      </c>
      <c r="D18" s="450">
        <f t="shared" si="0"/>
        <v>99.173553719008254</v>
      </c>
      <c r="E18" s="450">
        <f t="shared" si="0"/>
        <v>75.131480090157751</v>
      </c>
      <c r="F18" s="450">
        <f t="shared" si="0"/>
        <v>54.64107642920564</v>
      </c>
      <c r="G18" s="451">
        <f t="shared" si="0"/>
        <v>24.836852922366198</v>
      </c>
      <c r="H18" s="450">
        <f t="shared" si="0"/>
        <v>11.289478601075544</v>
      </c>
      <c r="I18" s="450">
        <f t="shared" si="0"/>
        <v>2.5657905911535321</v>
      </c>
      <c r="J18" s="450">
        <f t="shared" si="0"/>
        <v>0</v>
      </c>
    </row>
    <row r="19" spans="2:10" x14ac:dyDescent="0.25">
      <c r="B19" s="452" t="s">
        <v>1526</v>
      </c>
      <c r="C19" s="450">
        <f>+C18</f>
        <v>109.09090909090909</v>
      </c>
      <c r="D19" s="450">
        <f t="shared" ref="D19:J19" si="1">+C19+D18</f>
        <v>208.26446280991735</v>
      </c>
      <c r="E19" s="450">
        <f t="shared" si="1"/>
        <v>283.39594290007511</v>
      </c>
      <c r="F19" s="450">
        <f t="shared" si="1"/>
        <v>338.03701932928072</v>
      </c>
      <c r="G19" s="451">
        <f t="shared" si="1"/>
        <v>362.8738722516469</v>
      </c>
      <c r="H19" s="450">
        <f t="shared" si="1"/>
        <v>374.16335085272243</v>
      </c>
      <c r="I19" s="450">
        <f t="shared" si="1"/>
        <v>376.72914144387596</v>
      </c>
      <c r="J19" s="450">
        <f t="shared" si="1"/>
        <v>376.72914144387596</v>
      </c>
    </row>
    <row r="20" spans="2:10" x14ac:dyDescent="0.25">
      <c r="B20" s="452" t="s">
        <v>1534</v>
      </c>
      <c r="C20" s="450">
        <f t="shared" ref="C20:J20" si="2">C11*(1+$C16)^-C17</f>
        <v>109.09090909090909</v>
      </c>
      <c r="D20" s="450">
        <f t="shared" si="2"/>
        <v>82.644628099173545</v>
      </c>
      <c r="E20" s="450">
        <f t="shared" si="2"/>
        <v>60.105184072126207</v>
      </c>
      <c r="F20" s="450">
        <f t="shared" si="2"/>
        <v>40.98080732190423</v>
      </c>
      <c r="G20" s="451">
        <f t="shared" si="2"/>
        <v>24.836852922366198</v>
      </c>
      <c r="H20" s="450">
        <f t="shared" si="2"/>
        <v>11.289478601075544</v>
      </c>
      <c r="I20" s="450">
        <f t="shared" si="2"/>
        <v>0</v>
      </c>
      <c r="J20" s="450">
        <f t="shared" si="2"/>
        <v>0</v>
      </c>
    </row>
    <row r="21" spans="2:10" x14ac:dyDescent="0.25">
      <c r="B21" s="452" t="s">
        <v>1533</v>
      </c>
      <c r="C21" s="450">
        <f t="shared" ref="C21:J21" si="3">+SUM(C19:C20)</f>
        <v>218.18181818181819</v>
      </c>
      <c r="D21" s="450">
        <f t="shared" si="3"/>
        <v>290.90909090909088</v>
      </c>
      <c r="E21" s="450">
        <f t="shared" si="3"/>
        <v>343.50112697220129</v>
      </c>
      <c r="F21" s="450">
        <f t="shared" si="3"/>
        <v>379.01782665118498</v>
      </c>
      <c r="G21" s="451">
        <f t="shared" si="3"/>
        <v>387.71072517401308</v>
      </c>
      <c r="H21" s="450">
        <f t="shared" si="3"/>
        <v>385.45282945379796</v>
      </c>
      <c r="I21" s="450">
        <f t="shared" si="3"/>
        <v>376.72914144387596</v>
      </c>
      <c r="J21" s="450">
        <f t="shared" si="3"/>
        <v>376.72914144387596</v>
      </c>
    </row>
    <row r="22" spans="2:10" x14ac:dyDescent="0.25">
      <c r="B22" s="36"/>
      <c r="C22" s="36"/>
      <c r="D22" s="36"/>
      <c r="E22" s="36"/>
      <c r="F22" s="36"/>
      <c r="G22" s="36"/>
      <c r="H22" s="36"/>
      <c r="I22" s="36"/>
      <c r="J22" s="36"/>
    </row>
    <row r="23" spans="2:10" x14ac:dyDescent="0.25">
      <c r="B23" s="458" t="s">
        <v>1532</v>
      </c>
      <c r="C23" s="36"/>
      <c r="D23" s="36"/>
      <c r="E23" s="36"/>
      <c r="F23" s="36"/>
      <c r="G23" s="36"/>
      <c r="H23" s="36"/>
      <c r="I23" s="36"/>
      <c r="J23" s="36"/>
    </row>
    <row r="24" spans="2:10" x14ac:dyDescent="0.25">
      <c r="B24" s="458" t="s">
        <v>1531</v>
      </c>
      <c r="C24" s="36"/>
      <c r="D24" s="36"/>
      <c r="E24" s="36"/>
      <c r="F24" s="36"/>
      <c r="G24" s="36"/>
      <c r="H24" s="36"/>
      <c r="I24" s="36"/>
      <c r="J24" s="36"/>
    </row>
    <row r="25" spans="2:10" x14ac:dyDescent="0.25">
      <c r="B25" s="458"/>
      <c r="C25" s="36"/>
      <c r="D25" s="36"/>
      <c r="E25" s="36"/>
      <c r="F25" s="36"/>
      <c r="G25" s="36"/>
      <c r="H25" s="36"/>
      <c r="I25" s="36"/>
      <c r="J25" s="36"/>
    </row>
    <row r="26" spans="2:10" x14ac:dyDescent="0.25">
      <c r="B26" s="456" t="s">
        <v>1489</v>
      </c>
      <c r="C26" s="456">
        <v>100</v>
      </c>
      <c r="D26" s="455"/>
      <c r="E26" s="455"/>
      <c r="F26" s="455"/>
      <c r="G26" s="455"/>
      <c r="H26" s="455"/>
      <c r="I26" s="455"/>
      <c r="J26" s="455"/>
    </row>
    <row r="27" spans="2:10" x14ac:dyDescent="0.25">
      <c r="B27" s="452" t="s">
        <v>1530</v>
      </c>
      <c r="C27" s="452">
        <v>0.1</v>
      </c>
      <c r="D27" s="452"/>
      <c r="E27" s="452"/>
      <c r="F27" s="452"/>
      <c r="G27" s="452"/>
      <c r="H27" s="452"/>
      <c r="I27" s="452"/>
      <c r="J27" s="452"/>
    </row>
    <row r="28" spans="2:10" x14ac:dyDescent="0.25">
      <c r="B28" s="456" t="s">
        <v>1529</v>
      </c>
      <c r="C28" s="456">
        <v>1</v>
      </c>
      <c r="D28" s="456">
        <v>2</v>
      </c>
      <c r="E28" s="456">
        <v>3</v>
      </c>
      <c r="F28" s="456">
        <v>4</v>
      </c>
      <c r="G28" s="456">
        <v>5</v>
      </c>
      <c r="H28" s="457">
        <v>6</v>
      </c>
      <c r="I28" s="456">
        <v>7</v>
      </c>
      <c r="J28" s="456">
        <v>8</v>
      </c>
    </row>
    <row r="29" spans="2:10" x14ac:dyDescent="0.25">
      <c r="B29" s="455" t="s">
        <v>1528</v>
      </c>
      <c r="C29" s="453">
        <f t="shared" ref="C29:J29" si="4">C10*(1+0.5)</f>
        <v>180</v>
      </c>
      <c r="D29" s="453">
        <f t="shared" si="4"/>
        <v>180</v>
      </c>
      <c r="E29" s="453">
        <f t="shared" si="4"/>
        <v>150</v>
      </c>
      <c r="F29" s="453">
        <f t="shared" si="4"/>
        <v>120</v>
      </c>
      <c r="G29" s="453">
        <f t="shared" si="4"/>
        <v>60</v>
      </c>
      <c r="H29" s="454">
        <f t="shared" si="4"/>
        <v>30</v>
      </c>
      <c r="I29" s="453">
        <f t="shared" si="4"/>
        <v>7.5</v>
      </c>
      <c r="J29" s="453">
        <f t="shared" si="4"/>
        <v>0</v>
      </c>
    </row>
    <row r="30" spans="2:10" x14ac:dyDescent="0.25">
      <c r="B30" s="455" t="s">
        <v>1527</v>
      </c>
      <c r="C30" s="453">
        <f t="shared" ref="C30:J30" si="5">+C29*(1+$C27)^-C28</f>
        <v>163.63636363636363</v>
      </c>
      <c r="D30" s="453">
        <f t="shared" si="5"/>
        <v>148.76033057851237</v>
      </c>
      <c r="E30" s="453">
        <f t="shared" si="5"/>
        <v>112.69722013523663</v>
      </c>
      <c r="F30" s="453">
        <f t="shared" si="5"/>
        <v>81.96161464380846</v>
      </c>
      <c r="G30" s="453">
        <f t="shared" si="5"/>
        <v>37.255279383549293</v>
      </c>
      <c r="H30" s="454">
        <f t="shared" si="5"/>
        <v>16.934217901613316</v>
      </c>
      <c r="I30" s="453">
        <f t="shared" si="5"/>
        <v>3.8486858867302982</v>
      </c>
      <c r="J30" s="453">
        <f t="shared" si="5"/>
        <v>0</v>
      </c>
    </row>
    <row r="31" spans="2:10" x14ac:dyDescent="0.25">
      <c r="B31" s="452" t="s">
        <v>1526</v>
      </c>
      <c r="C31" s="450">
        <f>+C30</f>
        <v>163.63636363636363</v>
      </c>
      <c r="D31" s="450">
        <f t="shared" ref="D31:J31" si="6">+C31+D30</f>
        <v>312.39669421487599</v>
      </c>
      <c r="E31" s="450">
        <f t="shared" si="6"/>
        <v>425.09391435011264</v>
      </c>
      <c r="F31" s="450">
        <f t="shared" si="6"/>
        <v>507.05552899392109</v>
      </c>
      <c r="G31" s="450">
        <f t="shared" si="6"/>
        <v>544.31080837747038</v>
      </c>
      <c r="H31" s="451">
        <f t="shared" si="6"/>
        <v>561.24502627908373</v>
      </c>
      <c r="I31" s="450">
        <f t="shared" si="6"/>
        <v>565.09371216581405</v>
      </c>
      <c r="J31" s="450">
        <f t="shared" si="6"/>
        <v>565.09371216581405</v>
      </c>
    </row>
    <row r="32" spans="2:10" x14ac:dyDescent="0.25">
      <c r="B32" s="452" t="s">
        <v>1525</v>
      </c>
      <c r="C32" s="450">
        <f t="shared" ref="C32:J32" si="7">C20</f>
        <v>109.09090909090909</v>
      </c>
      <c r="D32" s="450">
        <f t="shared" si="7"/>
        <v>82.644628099173545</v>
      </c>
      <c r="E32" s="450">
        <f t="shared" si="7"/>
        <v>60.105184072126207</v>
      </c>
      <c r="F32" s="450">
        <f t="shared" si="7"/>
        <v>40.98080732190423</v>
      </c>
      <c r="G32" s="450">
        <f t="shared" si="7"/>
        <v>24.836852922366198</v>
      </c>
      <c r="H32" s="451">
        <f t="shared" si="7"/>
        <v>11.289478601075544</v>
      </c>
      <c r="I32" s="450">
        <f t="shared" si="7"/>
        <v>0</v>
      </c>
      <c r="J32" s="450">
        <f t="shared" si="7"/>
        <v>0</v>
      </c>
    </row>
    <row r="33" spans="2:10" x14ac:dyDescent="0.25">
      <c r="B33" s="452" t="s">
        <v>1524</v>
      </c>
      <c r="C33" s="450">
        <f t="shared" ref="C33:J33" si="8">+SUM(C31:C32)</f>
        <v>272.72727272727275</v>
      </c>
      <c r="D33" s="450">
        <f t="shared" si="8"/>
        <v>395.04132231404952</v>
      </c>
      <c r="E33" s="450">
        <f t="shared" si="8"/>
        <v>485.19909842223888</v>
      </c>
      <c r="F33" s="450">
        <f t="shared" si="8"/>
        <v>548.03633631582534</v>
      </c>
      <c r="G33" s="450">
        <f t="shared" si="8"/>
        <v>569.14766129983661</v>
      </c>
      <c r="H33" s="451">
        <f t="shared" si="8"/>
        <v>572.53450488015926</v>
      </c>
      <c r="I33" s="450">
        <f t="shared" si="8"/>
        <v>565.09371216581405</v>
      </c>
      <c r="J33" s="450">
        <f t="shared" si="8"/>
        <v>565.09371216581405</v>
      </c>
    </row>
    <row r="34" spans="2:10" x14ac:dyDescent="0.25">
      <c r="B34" s="36"/>
      <c r="C34" s="36"/>
      <c r="D34" s="36"/>
      <c r="E34" s="36"/>
      <c r="F34" s="36"/>
      <c r="G34" s="36"/>
      <c r="H34" s="36"/>
      <c r="I34" s="36"/>
      <c r="J34" s="36"/>
    </row>
  </sheetData>
  <hyperlinks>
    <hyperlink ref="D2" location="Investeringsteori!A1" display="Investeringsteori!A1" xr:uid="{00000000-0004-0000-2800-000000000000}"/>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B0F0"/>
  </sheetPr>
  <dimension ref="B2:R70"/>
  <sheetViews>
    <sheetView topLeftCell="P1" workbookViewId="0">
      <selection activeCell="Z31" sqref="Z31"/>
    </sheetView>
  </sheetViews>
  <sheetFormatPr defaultColWidth="10.875" defaultRowHeight="15.75" x14ac:dyDescent="0.25"/>
  <cols>
    <col min="1" max="1" width="10.875" style="1"/>
    <col min="2" max="2" width="13.625" style="1" customWidth="1"/>
    <col min="3" max="3" width="14" style="1" bestFit="1" customWidth="1"/>
    <col min="4" max="4" width="12.625" style="1" bestFit="1" customWidth="1"/>
    <col min="5" max="5" width="15.125" style="1" bestFit="1" customWidth="1"/>
    <col min="6" max="7" width="10.875" style="1"/>
    <col min="8" max="8" width="10.875" style="11"/>
    <col min="9" max="16384" width="10.875" style="1"/>
  </cols>
  <sheetData>
    <row r="2" spans="2:18" x14ac:dyDescent="0.25">
      <c r="G2" s="101" t="s">
        <v>1228</v>
      </c>
    </row>
    <row r="4" spans="2:18" x14ac:dyDescent="0.25">
      <c r="B4" s="278" t="s">
        <v>1590</v>
      </c>
      <c r="I4" s="278" t="s">
        <v>1591</v>
      </c>
    </row>
    <row r="5" spans="2:18" x14ac:dyDescent="0.25">
      <c r="B5" s="463" t="s">
        <v>1552</v>
      </c>
      <c r="I5" s="271" t="s">
        <v>1555</v>
      </c>
      <c r="J5" s="271"/>
      <c r="K5" s="271"/>
      <c r="L5" s="270"/>
      <c r="M5" s="464"/>
      <c r="N5" s="270"/>
      <c r="O5" s="270"/>
      <c r="P5" s="270"/>
      <c r="Q5" s="270"/>
      <c r="R5" s="270"/>
    </row>
    <row r="6" spans="2:18" x14ac:dyDescent="0.25">
      <c r="B6" s="1" t="s">
        <v>1551</v>
      </c>
      <c r="I6" s="270" t="s">
        <v>1556</v>
      </c>
      <c r="J6" s="270"/>
      <c r="K6" s="270"/>
      <c r="L6" s="270"/>
      <c r="M6" s="270"/>
      <c r="N6" s="270"/>
      <c r="O6" s="270"/>
      <c r="P6" s="270"/>
      <c r="Q6" s="270"/>
      <c r="R6" s="270"/>
    </row>
    <row r="7" spans="2:18" x14ac:dyDescent="0.25">
      <c r="B7" s="1" t="s">
        <v>1550</v>
      </c>
      <c r="I7" s="270"/>
      <c r="J7" s="270"/>
      <c r="K7" s="270"/>
      <c r="L7" s="270"/>
      <c r="M7" s="270"/>
      <c r="N7" s="270"/>
      <c r="O7" s="270"/>
      <c r="P7" s="270"/>
      <c r="Q7" s="270"/>
      <c r="R7" s="270"/>
    </row>
    <row r="8" spans="2:18" x14ac:dyDescent="0.25">
      <c r="I8" s="270" t="s">
        <v>1557</v>
      </c>
      <c r="J8" s="270"/>
      <c r="K8" s="270"/>
      <c r="L8" s="270"/>
      <c r="M8" s="270"/>
      <c r="N8" s="270"/>
      <c r="O8" s="270"/>
      <c r="P8" s="270"/>
      <c r="Q8" s="270"/>
      <c r="R8" s="270"/>
    </row>
    <row r="9" spans="2:18" x14ac:dyDescent="0.25">
      <c r="B9" s="1" t="s">
        <v>1549</v>
      </c>
      <c r="I9" s="270" t="s">
        <v>1558</v>
      </c>
      <c r="J9" s="270"/>
      <c r="K9" s="270"/>
      <c r="L9" s="270"/>
      <c r="M9" s="270"/>
      <c r="N9" s="270"/>
      <c r="O9" s="270"/>
      <c r="P9" s="270"/>
      <c r="Q9" s="270"/>
      <c r="R9" s="270"/>
    </row>
    <row r="10" spans="2:18" x14ac:dyDescent="0.25">
      <c r="I10" s="270"/>
      <c r="J10" s="270"/>
      <c r="K10" s="270"/>
      <c r="L10" s="270"/>
      <c r="M10" s="270"/>
      <c r="N10" s="270"/>
      <c r="O10" s="270"/>
      <c r="P10" s="270"/>
      <c r="Q10" s="270"/>
      <c r="R10" s="270"/>
    </row>
    <row r="11" spans="2:18" x14ac:dyDescent="0.25">
      <c r="B11" s="1" t="s">
        <v>1548</v>
      </c>
      <c r="I11" s="270"/>
      <c r="J11" s="270"/>
      <c r="K11" s="270"/>
      <c r="L11" s="270" t="s">
        <v>1377</v>
      </c>
      <c r="M11" s="465">
        <v>0.12</v>
      </c>
      <c r="N11" s="270"/>
      <c r="O11" s="270"/>
      <c r="P11" s="270"/>
      <c r="Q11" s="270"/>
      <c r="R11" s="270"/>
    </row>
    <row r="12" spans="2:18" x14ac:dyDescent="0.25">
      <c r="I12" s="270" t="s">
        <v>1559</v>
      </c>
      <c r="J12" s="270"/>
      <c r="K12" s="270"/>
      <c r="L12" s="270"/>
      <c r="M12" s="270"/>
      <c r="N12" s="270"/>
      <c r="O12" s="270"/>
      <c r="P12" s="270"/>
      <c r="Q12" s="270"/>
      <c r="R12" s="270"/>
    </row>
    <row r="13" spans="2:18" x14ac:dyDescent="0.25">
      <c r="I13" s="270" t="s">
        <v>1560</v>
      </c>
      <c r="J13" s="270"/>
      <c r="K13" s="270"/>
      <c r="L13" s="270"/>
      <c r="M13" s="270"/>
      <c r="N13" s="270"/>
      <c r="O13" s="270"/>
      <c r="P13" s="270"/>
      <c r="Q13" s="270"/>
      <c r="R13" s="270"/>
    </row>
    <row r="14" spans="2:18" x14ac:dyDescent="0.25">
      <c r="D14" s="1" t="s">
        <v>1063</v>
      </c>
      <c r="E14" s="1" t="s">
        <v>1547</v>
      </c>
      <c r="I14" s="270" t="s">
        <v>1561</v>
      </c>
      <c r="J14" s="270"/>
      <c r="K14" s="270"/>
      <c r="L14" s="270" t="s">
        <v>1562</v>
      </c>
      <c r="M14" s="270" t="s">
        <v>1563</v>
      </c>
      <c r="N14" s="270" t="s">
        <v>1189</v>
      </c>
      <c r="O14" s="270" t="s">
        <v>1564</v>
      </c>
      <c r="P14" s="270"/>
      <c r="Q14" s="270"/>
      <c r="R14" s="465"/>
    </row>
    <row r="15" spans="2:18" x14ac:dyDescent="0.25">
      <c r="B15" s="1">
        <v>0</v>
      </c>
      <c r="C15" s="1">
        <v>-650000</v>
      </c>
      <c r="D15" s="1">
        <f>+C15*(1+0.14)^-B15</f>
        <v>-650000</v>
      </c>
      <c r="E15" s="1">
        <f>+C15*(1+0.14)^B15</f>
        <v>-650000</v>
      </c>
      <c r="I15" s="270" t="s">
        <v>1565</v>
      </c>
      <c r="J15" s="270"/>
      <c r="K15" s="270"/>
      <c r="L15" s="270">
        <v>0</v>
      </c>
      <c r="M15" s="466">
        <v>-263400</v>
      </c>
      <c r="N15" s="466">
        <v>-263400</v>
      </c>
      <c r="O15" s="466">
        <v>-263400</v>
      </c>
      <c r="P15" s="270"/>
      <c r="Q15" s="270"/>
      <c r="R15" s="270"/>
    </row>
    <row r="16" spans="2:18" x14ac:dyDescent="0.25">
      <c r="B16" s="1">
        <v>1</v>
      </c>
      <c r="C16" s="1">
        <v>275000</v>
      </c>
      <c r="D16" s="1">
        <f>+C16*(1+0.14)^-B16</f>
        <v>241228.0701754386</v>
      </c>
      <c r="E16" s="1">
        <f>+C16*(1+0.14)^B16</f>
        <v>313500.00000000006</v>
      </c>
      <c r="I16" s="270" t="s">
        <v>1566</v>
      </c>
      <c r="J16" s="270"/>
      <c r="K16" s="270"/>
      <c r="L16" s="270">
        <v>1</v>
      </c>
      <c r="M16" s="466">
        <v>85000</v>
      </c>
      <c r="N16" s="466">
        <v>75893</v>
      </c>
      <c r="O16" s="466">
        <v>-187507</v>
      </c>
      <c r="P16" s="270"/>
      <c r="Q16" s="270"/>
      <c r="R16" s="270"/>
    </row>
    <row r="17" spans="2:18" x14ac:dyDescent="0.25">
      <c r="B17" s="1">
        <v>2</v>
      </c>
      <c r="C17" s="1">
        <v>275000</v>
      </c>
      <c r="D17" s="1">
        <f>+C17*(1+0.14)^-B17</f>
        <v>211603.57032933205</v>
      </c>
      <c r="E17" s="1">
        <f>+C17*(1+0.14)^B17</f>
        <v>357390.00000000006</v>
      </c>
      <c r="I17" s="270"/>
      <c r="J17" s="270"/>
      <c r="K17" s="270"/>
      <c r="L17" s="270">
        <v>2</v>
      </c>
      <c r="M17" s="466">
        <v>85000</v>
      </c>
      <c r="N17" s="466">
        <v>67761</v>
      </c>
      <c r="O17" s="466">
        <v>-119746</v>
      </c>
      <c r="P17" s="270"/>
      <c r="Q17" s="270"/>
      <c r="R17" s="270"/>
    </row>
    <row r="18" spans="2:18" x14ac:dyDescent="0.25">
      <c r="B18" s="1">
        <v>3</v>
      </c>
      <c r="C18" s="1">
        <v>275000</v>
      </c>
      <c r="D18" s="1">
        <f>+C18*(1+0.14)^-B18</f>
        <v>185617.16695555442</v>
      </c>
      <c r="E18" s="1">
        <f>+C18*(1+0.14)^B18</f>
        <v>407424.60000000009</v>
      </c>
      <c r="I18" s="270"/>
      <c r="J18" s="270"/>
      <c r="K18" s="270"/>
      <c r="L18" s="270">
        <v>3</v>
      </c>
      <c r="M18" s="466">
        <v>85000</v>
      </c>
      <c r="N18" s="466">
        <v>60501</v>
      </c>
      <c r="O18" s="466">
        <v>-59244</v>
      </c>
      <c r="P18" s="270"/>
      <c r="Q18" s="270"/>
      <c r="R18" s="270"/>
    </row>
    <row r="19" spans="2:18" x14ac:dyDescent="0.25">
      <c r="B19" s="1">
        <v>4</v>
      </c>
      <c r="C19" s="1">
        <v>275000</v>
      </c>
      <c r="D19" s="1">
        <f>+C19*(1+0.14)^-B19</f>
        <v>162822.07627680208</v>
      </c>
      <c r="E19" s="1">
        <f>+C19</f>
        <v>275000</v>
      </c>
      <c r="I19" s="270"/>
      <c r="J19" s="270"/>
      <c r="K19" s="270"/>
      <c r="L19" s="270">
        <v>4</v>
      </c>
      <c r="M19" s="466">
        <v>85000</v>
      </c>
      <c r="N19" s="466">
        <v>54019</v>
      </c>
      <c r="O19" s="467">
        <v>-5225</v>
      </c>
      <c r="P19" s="270"/>
      <c r="Q19" s="270"/>
      <c r="R19" s="270"/>
    </row>
    <row r="20" spans="2:18" x14ac:dyDescent="0.25">
      <c r="D20" s="462">
        <f>SUM(D16:D19)</f>
        <v>801270.88373712718</v>
      </c>
      <c r="E20" s="461">
        <f>SUM(E16:E19)</f>
        <v>1353314.6</v>
      </c>
      <c r="I20" s="270"/>
      <c r="J20" s="270"/>
      <c r="K20" s="270"/>
      <c r="L20" s="270">
        <v>5</v>
      </c>
      <c r="M20" s="466">
        <v>85000</v>
      </c>
      <c r="N20" s="467">
        <v>48231</v>
      </c>
      <c r="O20" s="466">
        <v>43006</v>
      </c>
      <c r="P20" s="270"/>
      <c r="Q20" s="270"/>
      <c r="R20" s="270"/>
    </row>
    <row r="21" spans="2:18" x14ac:dyDescent="0.25">
      <c r="B21" s="1" t="s">
        <v>1465</v>
      </c>
      <c r="C21" s="393">
        <f>+IRR(C15:C19)</f>
        <v>0.24951591055293987</v>
      </c>
      <c r="I21" s="270"/>
      <c r="J21" s="270"/>
      <c r="K21" s="270"/>
      <c r="L21" s="270">
        <v>6</v>
      </c>
      <c r="M21" s="466">
        <v>85000</v>
      </c>
      <c r="N21" s="466">
        <v>43064</v>
      </c>
      <c r="O21" s="466">
        <v>86070</v>
      </c>
      <c r="P21" s="270"/>
      <c r="Q21" s="270"/>
      <c r="R21" s="270"/>
    </row>
    <row r="22" spans="2:18" x14ac:dyDescent="0.25">
      <c r="I22" s="270"/>
      <c r="J22" s="270"/>
      <c r="K22" s="270"/>
      <c r="L22" s="270"/>
      <c r="M22" s="466"/>
      <c r="N22" s="466"/>
      <c r="O22" s="466"/>
      <c r="P22" s="270"/>
      <c r="Q22" s="270"/>
      <c r="R22" s="270"/>
    </row>
    <row r="23" spans="2:18" x14ac:dyDescent="0.25">
      <c r="B23" s="1" t="s">
        <v>1425</v>
      </c>
      <c r="C23" s="375">
        <f>+NPV(0.14,C16:C19)</f>
        <v>801270.88373712706</v>
      </c>
      <c r="E23" s="375"/>
      <c r="I23" s="270"/>
      <c r="J23" s="270"/>
      <c r="K23" s="270"/>
      <c r="L23" s="270"/>
      <c r="M23" s="466"/>
      <c r="N23" s="466"/>
      <c r="O23" s="466"/>
      <c r="P23" s="270"/>
      <c r="Q23" s="270"/>
      <c r="R23" s="270"/>
    </row>
    <row r="24" spans="2:18" x14ac:dyDescent="0.25">
      <c r="B24" s="1" t="s">
        <v>1546</v>
      </c>
      <c r="C24" s="375">
        <f>-FV(0.14,4,,C23)</f>
        <v>1353314.6</v>
      </c>
      <c r="I24" s="270"/>
      <c r="J24" s="270"/>
      <c r="K24" s="270"/>
      <c r="L24" s="465"/>
      <c r="M24" s="270"/>
      <c r="N24" s="468" t="s">
        <v>1567</v>
      </c>
      <c r="O24" s="468" t="s">
        <v>1568</v>
      </c>
      <c r="P24" s="270"/>
      <c r="Q24" s="270"/>
      <c r="R24" s="270"/>
    </row>
    <row r="25" spans="2:18" x14ac:dyDescent="0.25">
      <c r="E25" s="1" t="s">
        <v>1545</v>
      </c>
      <c r="F25" s="393"/>
      <c r="I25" s="270"/>
      <c r="J25" s="270"/>
      <c r="K25" s="270"/>
      <c r="L25" s="270" t="s">
        <v>1465</v>
      </c>
      <c r="M25" s="469">
        <v>0.2291</v>
      </c>
      <c r="N25" s="270" t="s">
        <v>1569</v>
      </c>
      <c r="O25" s="270" t="s">
        <v>1570</v>
      </c>
      <c r="P25" s="270"/>
      <c r="Q25" s="270"/>
      <c r="R25" s="270"/>
    </row>
    <row r="26" spans="2:18" x14ac:dyDescent="0.25">
      <c r="B26" s="1" t="s">
        <v>1544</v>
      </c>
      <c r="C26" s="1">
        <f>+(C24/-C15)^(1/4)-1</f>
        <v>0.20121667579561997</v>
      </c>
      <c r="E26" s="460">
        <f>+MIRR(C15:C19,0.14,0.14)</f>
        <v>0.20121667579561997</v>
      </c>
      <c r="I26" s="270"/>
      <c r="J26" s="270"/>
      <c r="K26" s="270"/>
      <c r="L26" s="470" t="s">
        <v>1232</v>
      </c>
      <c r="M26" s="471">
        <v>86069.62</v>
      </c>
      <c r="N26" s="270" t="s">
        <v>1571</v>
      </c>
      <c r="O26" s="270" t="s">
        <v>1572</v>
      </c>
      <c r="P26" s="270"/>
      <c r="Q26" s="270"/>
      <c r="R26" s="270"/>
    </row>
    <row r="27" spans="2:18" x14ac:dyDescent="0.25">
      <c r="I27" s="270"/>
      <c r="J27" s="270"/>
      <c r="K27" s="270"/>
      <c r="L27" s="472" t="s">
        <v>1573</v>
      </c>
      <c r="M27" s="473" t="s">
        <v>1574</v>
      </c>
      <c r="N27" s="270" t="s">
        <v>1575</v>
      </c>
      <c r="O27" s="270" t="s">
        <v>1576</v>
      </c>
      <c r="P27" s="270"/>
      <c r="Q27" s="270"/>
      <c r="R27" s="270"/>
    </row>
    <row r="28" spans="2:18" x14ac:dyDescent="0.25">
      <c r="B28" s="1" t="s">
        <v>1543</v>
      </c>
      <c r="C28" s="375">
        <f>-FV(0.14,4,C16)</f>
        <v>1353314.6000000015</v>
      </c>
      <c r="I28" s="270"/>
      <c r="J28" s="270"/>
      <c r="K28" s="270"/>
      <c r="L28" s="270" t="s">
        <v>1577</v>
      </c>
      <c r="M28" s="471">
        <v>3.1</v>
      </c>
      <c r="N28" s="270" t="s">
        <v>1578</v>
      </c>
      <c r="O28" s="270" t="s">
        <v>1578</v>
      </c>
      <c r="P28" s="270"/>
      <c r="Q28" s="270"/>
      <c r="R28" s="270"/>
    </row>
    <row r="29" spans="2:18" x14ac:dyDescent="0.25">
      <c r="I29" s="270"/>
      <c r="J29" s="270"/>
      <c r="K29" s="270"/>
      <c r="L29" s="474" t="s">
        <v>1579</v>
      </c>
      <c r="M29" s="474">
        <v>4.1079999999999997</v>
      </c>
      <c r="N29" s="270" t="s">
        <v>1580</v>
      </c>
      <c r="O29" s="270" t="s">
        <v>1580</v>
      </c>
      <c r="P29" s="270"/>
      <c r="Q29" s="270"/>
      <c r="R29" s="270"/>
    </row>
    <row r="30" spans="2:18" x14ac:dyDescent="0.25">
      <c r="B30" s="1">
        <f>+C23/-C15</f>
        <v>1.2327244365186569</v>
      </c>
      <c r="I30" s="270"/>
      <c r="J30" s="270"/>
      <c r="K30" s="270"/>
      <c r="L30" s="475" t="s">
        <v>1581</v>
      </c>
      <c r="M30" s="471">
        <v>1.33</v>
      </c>
      <c r="N30" s="270" t="s">
        <v>1582</v>
      </c>
      <c r="O30" s="270" t="s">
        <v>1583</v>
      </c>
      <c r="P30" s="270"/>
      <c r="Q30" s="270"/>
      <c r="R30" s="270"/>
    </row>
    <row r="31" spans="2:18" x14ac:dyDescent="0.25">
      <c r="I31" s="270"/>
      <c r="J31" s="270"/>
      <c r="K31" s="270"/>
      <c r="L31" s="270"/>
      <c r="M31" s="270"/>
      <c r="N31" s="270"/>
      <c r="O31" s="270"/>
      <c r="P31" s="270"/>
      <c r="Q31" s="270"/>
      <c r="R31" s="270"/>
    </row>
    <row r="32" spans="2:18" x14ac:dyDescent="0.25">
      <c r="I32" s="270"/>
      <c r="J32" s="270"/>
      <c r="K32" s="270"/>
      <c r="L32" s="476" t="s">
        <v>1544</v>
      </c>
      <c r="M32" s="469">
        <v>0.17399999999999999</v>
      </c>
      <c r="N32" s="477" t="s">
        <v>1584</v>
      </c>
      <c r="O32" s="270" t="s">
        <v>1585</v>
      </c>
      <c r="P32" s="270"/>
      <c r="Q32" s="270"/>
      <c r="R32" s="270"/>
    </row>
    <row r="33" spans="9:18" x14ac:dyDescent="0.25">
      <c r="I33" s="270"/>
      <c r="J33" s="270"/>
      <c r="K33" s="270"/>
      <c r="L33" s="478"/>
      <c r="M33" s="270"/>
      <c r="N33" s="270"/>
      <c r="O33" s="270"/>
      <c r="P33" s="270"/>
      <c r="Q33" s="270"/>
      <c r="R33" s="270"/>
    </row>
    <row r="34" spans="9:18" x14ac:dyDescent="0.25">
      <c r="I34" s="270"/>
      <c r="J34" s="270"/>
      <c r="K34" s="270"/>
      <c r="L34" s="270"/>
      <c r="M34" s="270"/>
      <c r="N34" s="270"/>
      <c r="O34" s="270"/>
      <c r="P34" s="270"/>
      <c r="Q34" s="270"/>
      <c r="R34" s="270"/>
    </row>
    <row r="35" spans="9:18" x14ac:dyDescent="0.25">
      <c r="I35" s="270"/>
      <c r="J35" s="270"/>
      <c r="K35" s="270"/>
      <c r="L35" s="474"/>
      <c r="M35" s="270"/>
      <c r="N35" s="270"/>
      <c r="O35" s="270"/>
      <c r="P35" s="270"/>
      <c r="Q35" s="270"/>
      <c r="R35" s="270"/>
    </row>
    <row r="36" spans="9:18" x14ac:dyDescent="0.25">
      <c r="I36" s="270"/>
      <c r="J36" s="270"/>
      <c r="K36" s="270"/>
      <c r="L36" s="270"/>
      <c r="M36" s="270"/>
      <c r="N36" s="270"/>
      <c r="O36" s="270"/>
      <c r="P36" s="270"/>
      <c r="Q36" s="270"/>
      <c r="R36" s="270"/>
    </row>
    <row r="37" spans="9:18" x14ac:dyDescent="0.25">
      <c r="I37" s="270"/>
      <c r="J37" s="270"/>
      <c r="K37" s="270"/>
      <c r="L37" s="270"/>
      <c r="M37" s="270"/>
      <c r="N37" s="270"/>
      <c r="O37" s="270"/>
      <c r="P37" s="270"/>
      <c r="Q37" s="270"/>
      <c r="R37" s="270"/>
    </row>
    <row r="38" spans="9:18" x14ac:dyDescent="0.25">
      <c r="I38" s="270"/>
      <c r="J38" s="270"/>
      <c r="K38" s="270"/>
      <c r="L38" s="270"/>
      <c r="M38" s="270"/>
      <c r="N38" s="270"/>
      <c r="O38" s="270"/>
      <c r="P38" s="270"/>
      <c r="Q38" s="270"/>
      <c r="R38" s="270"/>
    </row>
    <row r="39" spans="9:18" x14ac:dyDescent="0.25">
      <c r="I39" s="270"/>
      <c r="J39" s="270"/>
      <c r="K39" s="270"/>
      <c r="L39" s="270"/>
      <c r="M39" s="270"/>
      <c r="N39" s="270"/>
      <c r="O39" s="270"/>
      <c r="P39" s="270"/>
      <c r="Q39" s="270"/>
      <c r="R39" s="270"/>
    </row>
    <row r="40" spans="9:18" x14ac:dyDescent="0.25">
      <c r="I40" s="270"/>
      <c r="J40" s="270"/>
      <c r="K40" s="270"/>
      <c r="L40" s="270"/>
      <c r="M40" s="270"/>
      <c r="N40" s="270"/>
      <c r="O40" s="270"/>
      <c r="P40" s="270"/>
      <c r="Q40" s="270"/>
      <c r="R40" s="270"/>
    </row>
    <row r="41" spans="9:18" x14ac:dyDescent="0.25">
      <c r="I41" s="270"/>
      <c r="J41" s="270"/>
      <c r="K41" s="270"/>
      <c r="L41" s="270"/>
      <c r="M41" s="270"/>
      <c r="N41" s="270"/>
      <c r="O41" s="270"/>
      <c r="P41" s="270"/>
      <c r="Q41" s="270"/>
      <c r="R41" s="270"/>
    </row>
    <row r="42" spans="9:18" x14ac:dyDescent="0.25">
      <c r="I42" s="270"/>
      <c r="J42" s="270"/>
      <c r="K42" s="270"/>
      <c r="L42" s="270"/>
      <c r="M42" s="270"/>
      <c r="N42" s="270"/>
      <c r="O42" s="270"/>
      <c r="P42" s="270"/>
      <c r="Q42" s="270"/>
      <c r="R42" s="270"/>
    </row>
    <row r="43" spans="9:18" x14ac:dyDescent="0.25">
      <c r="I43" s="270"/>
      <c r="J43" s="270"/>
      <c r="K43" s="270"/>
      <c r="L43" s="270"/>
      <c r="M43" s="270"/>
      <c r="N43" s="270"/>
      <c r="O43" s="270"/>
      <c r="P43" s="270"/>
      <c r="Q43" s="270"/>
      <c r="R43" s="270"/>
    </row>
    <row r="44" spans="9:18" x14ac:dyDescent="0.25">
      <c r="I44" s="270"/>
      <c r="J44" s="270"/>
      <c r="K44" s="270"/>
      <c r="L44" s="270"/>
      <c r="M44" s="270"/>
      <c r="N44" s="270"/>
      <c r="O44" s="270"/>
      <c r="P44" s="270"/>
      <c r="Q44" s="270"/>
      <c r="R44" s="270"/>
    </row>
    <row r="45" spans="9:18" x14ac:dyDescent="0.25">
      <c r="I45" s="270"/>
      <c r="J45" s="270"/>
      <c r="K45" s="270"/>
      <c r="L45" s="270"/>
      <c r="M45" s="270"/>
      <c r="N45" s="270"/>
      <c r="O45" s="270"/>
      <c r="P45" s="270"/>
      <c r="Q45" s="270"/>
      <c r="R45" s="270"/>
    </row>
    <row r="46" spans="9:18" x14ac:dyDescent="0.25">
      <c r="I46" s="270"/>
      <c r="J46" s="270"/>
      <c r="K46" s="270"/>
      <c r="L46" s="270"/>
      <c r="M46" s="270"/>
      <c r="N46" s="270"/>
      <c r="O46" s="270"/>
      <c r="P46" s="270"/>
      <c r="Q46" s="270"/>
      <c r="R46" s="270"/>
    </row>
    <row r="47" spans="9:18" x14ac:dyDescent="0.25">
      <c r="I47" s="270"/>
      <c r="J47" s="270"/>
      <c r="K47" s="270"/>
      <c r="L47" s="270"/>
      <c r="M47" s="270"/>
      <c r="N47" s="270"/>
      <c r="O47" s="270"/>
      <c r="P47" s="270"/>
      <c r="Q47" s="270"/>
      <c r="R47" s="270"/>
    </row>
    <row r="48" spans="9:18" x14ac:dyDescent="0.25">
      <c r="I48" s="270"/>
      <c r="J48" s="270"/>
      <c r="K48" s="270"/>
      <c r="L48" s="270"/>
      <c r="M48" s="270"/>
      <c r="N48" s="270"/>
      <c r="O48" s="270"/>
      <c r="P48" s="270"/>
      <c r="Q48" s="270"/>
      <c r="R48" s="270"/>
    </row>
    <row r="49" spans="9:18" x14ac:dyDescent="0.25">
      <c r="I49" s="270"/>
      <c r="J49" s="270"/>
      <c r="K49" s="270"/>
      <c r="L49" s="270"/>
      <c r="M49" s="270"/>
      <c r="N49" s="270"/>
      <c r="O49" s="270"/>
      <c r="P49" s="270"/>
      <c r="Q49" s="270"/>
      <c r="R49" s="270"/>
    </row>
    <row r="50" spans="9:18" x14ac:dyDescent="0.25">
      <c r="I50" s="270"/>
      <c r="J50" s="270"/>
      <c r="K50" s="270"/>
      <c r="L50" s="270"/>
      <c r="M50" s="270"/>
      <c r="N50" s="270"/>
      <c r="O50" s="270"/>
      <c r="P50" s="270"/>
      <c r="Q50" s="270"/>
      <c r="R50" s="270"/>
    </row>
    <row r="51" spans="9:18" x14ac:dyDescent="0.25">
      <c r="I51" s="270"/>
      <c r="J51" s="270"/>
      <c r="K51" s="270"/>
      <c r="L51" s="270"/>
      <c r="M51" s="270"/>
      <c r="N51" s="270"/>
      <c r="O51" s="270"/>
      <c r="P51" s="270"/>
      <c r="Q51" s="270"/>
      <c r="R51" s="270"/>
    </row>
    <row r="52" spans="9:18" x14ac:dyDescent="0.25">
      <c r="I52" s="270"/>
      <c r="J52" s="270"/>
      <c r="K52" s="270"/>
      <c r="L52" s="270"/>
      <c r="M52" s="270"/>
      <c r="N52" s="270"/>
      <c r="O52" s="270"/>
      <c r="P52" s="270"/>
      <c r="Q52" s="270"/>
      <c r="R52" s="270"/>
    </row>
    <row r="53" spans="9:18" x14ac:dyDescent="0.25">
      <c r="I53" s="270"/>
      <c r="J53" s="270"/>
      <c r="K53" s="270"/>
      <c r="L53" s="270"/>
      <c r="M53" s="270"/>
      <c r="N53" s="479"/>
      <c r="O53" s="270"/>
      <c r="P53" s="270"/>
      <c r="Q53" s="270"/>
      <c r="R53" s="270"/>
    </row>
    <row r="54" spans="9:18" x14ac:dyDescent="0.25">
      <c r="I54" s="270"/>
      <c r="J54" s="270"/>
      <c r="K54" s="270"/>
      <c r="L54" s="270"/>
      <c r="M54" s="270">
        <v>0</v>
      </c>
      <c r="N54" s="270">
        <v>-195</v>
      </c>
      <c r="O54" s="270"/>
      <c r="P54" s="270">
        <v>0</v>
      </c>
      <c r="Q54" s="270">
        <v>-263400</v>
      </c>
      <c r="R54" s="270"/>
    </row>
    <row r="55" spans="9:18" x14ac:dyDescent="0.25">
      <c r="I55" s="270"/>
      <c r="J55" s="270"/>
      <c r="K55" s="270"/>
      <c r="L55" s="270"/>
      <c r="M55" s="270">
        <v>1</v>
      </c>
      <c r="N55" s="270">
        <v>121</v>
      </c>
      <c r="O55" s="270"/>
      <c r="P55" s="270">
        <v>1</v>
      </c>
      <c r="Q55" s="270">
        <v>85000</v>
      </c>
      <c r="R55" s="270"/>
    </row>
    <row r="56" spans="9:18" x14ac:dyDescent="0.25">
      <c r="I56" s="270"/>
      <c r="J56" s="270"/>
      <c r="K56" s="270"/>
      <c r="L56" s="270"/>
      <c r="M56" s="270">
        <v>2</v>
      </c>
      <c r="N56" s="270">
        <v>131</v>
      </c>
      <c r="O56" s="270"/>
      <c r="P56" s="270">
        <v>2</v>
      </c>
      <c r="Q56" s="270">
        <v>85000</v>
      </c>
      <c r="R56" s="270"/>
    </row>
    <row r="57" spans="9:18" x14ac:dyDescent="0.25">
      <c r="I57" s="270"/>
      <c r="J57" s="270"/>
      <c r="K57" s="465"/>
      <c r="L57" s="479"/>
      <c r="M57" s="270"/>
      <c r="N57" s="270"/>
      <c r="O57" s="270"/>
      <c r="P57" s="270">
        <v>3</v>
      </c>
      <c r="Q57" s="270">
        <v>85000</v>
      </c>
      <c r="R57" s="270"/>
    </row>
    <row r="58" spans="9:18" x14ac:dyDescent="0.25">
      <c r="I58" s="270"/>
      <c r="J58" s="270"/>
      <c r="K58" s="270"/>
      <c r="L58" s="270"/>
      <c r="M58" s="270" t="s">
        <v>1465</v>
      </c>
      <c r="N58" s="478">
        <v>0.18664</v>
      </c>
      <c r="O58" s="270"/>
      <c r="P58" s="270">
        <v>4</v>
      </c>
      <c r="Q58" s="270">
        <v>85000</v>
      </c>
      <c r="R58" s="270"/>
    </row>
    <row r="59" spans="9:18" x14ac:dyDescent="0.25">
      <c r="I59" s="270"/>
      <c r="J59" s="270"/>
      <c r="K59" s="270"/>
      <c r="L59" s="270"/>
      <c r="M59" s="270"/>
      <c r="N59" s="270"/>
      <c r="O59" s="270"/>
      <c r="P59" s="270">
        <v>5</v>
      </c>
      <c r="Q59" s="270">
        <v>85000</v>
      </c>
      <c r="R59" s="270"/>
    </row>
    <row r="60" spans="9:18" x14ac:dyDescent="0.25">
      <c r="I60" s="270"/>
      <c r="J60" s="270"/>
      <c r="K60" s="270"/>
      <c r="L60" s="270"/>
      <c r="M60" s="270" t="s">
        <v>1586</v>
      </c>
      <c r="N60" s="270">
        <v>266.52</v>
      </c>
      <c r="O60" s="270"/>
      <c r="P60" s="270">
        <v>6</v>
      </c>
      <c r="Q60" s="270">
        <v>85000</v>
      </c>
      <c r="R60" s="270"/>
    </row>
    <row r="61" spans="9:18" x14ac:dyDescent="0.25">
      <c r="I61" s="270"/>
      <c r="J61" s="270"/>
      <c r="K61" s="270"/>
      <c r="L61" s="270"/>
      <c r="M61" s="270"/>
      <c r="N61" s="270"/>
      <c r="O61" s="270"/>
      <c r="P61" s="270"/>
      <c r="Q61" s="270"/>
      <c r="R61" s="270"/>
    </row>
    <row r="62" spans="9:18" x14ac:dyDescent="0.25">
      <c r="I62" s="270"/>
      <c r="J62" s="270"/>
      <c r="K62" s="270"/>
      <c r="L62" s="270"/>
      <c r="M62" s="270">
        <v>0.16908906000000001</v>
      </c>
      <c r="N62" s="270"/>
      <c r="O62" s="270"/>
      <c r="P62" s="270" t="s">
        <v>1465</v>
      </c>
      <c r="Q62" s="469">
        <v>0.2291</v>
      </c>
      <c r="R62" s="469">
        <v>0.17399999999999999</v>
      </c>
    </row>
    <row r="63" spans="9:18" x14ac:dyDescent="0.25">
      <c r="I63" s="270"/>
      <c r="J63" s="270"/>
      <c r="K63" s="270"/>
      <c r="L63" s="270"/>
      <c r="M63" s="270"/>
      <c r="N63" s="270"/>
      <c r="O63" s="270"/>
      <c r="P63" s="270"/>
      <c r="Q63" s="270"/>
      <c r="R63" s="270"/>
    </row>
    <row r="64" spans="9:18" x14ac:dyDescent="0.25">
      <c r="I64" s="270"/>
      <c r="J64" s="270"/>
      <c r="K64" s="270"/>
      <c r="L64" s="270"/>
      <c r="M64" s="270"/>
      <c r="N64" s="270"/>
      <c r="O64" s="270"/>
      <c r="P64" s="270" t="s">
        <v>1587</v>
      </c>
      <c r="Q64" s="480">
        <v>689791</v>
      </c>
      <c r="R64" s="270"/>
    </row>
    <row r="65" spans="9:18" x14ac:dyDescent="0.25">
      <c r="I65" s="270"/>
      <c r="J65" s="270"/>
      <c r="K65" s="270"/>
      <c r="L65" s="270"/>
      <c r="M65" s="270"/>
      <c r="N65" s="270"/>
      <c r="O65" s="270"/>
      <c r="P65" s="479"/>
      <c r="Q65" s="270"/>
      <c r="R65" s="270"/>
    </row>
    <row r="66" spans="9:18" x14ac:dyDescent="0.25">
      <c r="I66" s="270"/>
      <c r="J66" s="270"/>
      <c r="K66" s="270"/>
      <c r="L66" s="270"/>
      <c r="M66" s="270"/>
      <c r="N66" s="270"/>
      <c r="O66" s="270"/>
      <c r="P66" s="270" t="s">
        <v>1425</v>
      </c>
      <c r="Q66" s="479" t="s">
        <v>1588</v>
      </c>
      <c r="R66" s="270"/>
    </row>
    <row r="67" spans="9:18" x14ac:dyDescent="0.25">
      <c r="I67" s="270"/>
      <c r="J67" s="270"/>
      <c r="K67" s="270"/>
      <c r="L67" s="270"/>
      <c r="M67" s="270"/>
      <c r="N67" s="270"/>
      <c r="O67" s="270"/>
      <c r="P67" s="270"/>
      <c r="Q67" s="270"/>
      <c r="R67" s="270"/>
    </row>
    <row r="68" spans="9:18" x14ac:dyDescent="0.25">
      <c r="I68" s="270"/>
      <c r="J68" s="270"/>
      <c r="K68" s="270"/>
      <c r="L68" s="270"/>
      <c r="M68" s="270"/>
      <c r="N68" s="270"/>
      <c r="O68" s="270"/>
      <c r="P68" s="270" t="s">
        <v>1544</v>
      </c>
      <c r="Q68" s="270">
        <v>0.174041998</v>
      </c>
      <c r="R68" s="270"/>
    </row>
    <row r="69" spans="9:18" x14ac:dyDescent="0.25">
      <c r="I69" s="270"/>
      <c r="J69" s="270"/>
      <c r="K69" s="270"/>
      <c r="L69" s="270"/>
      <c r="M69" s="270"/>
      <c r="N69" s="270"/>
      <c r="O69" s="270"/>
      <c r="P69" s="479" t="s">
        <v>1589</v>
      </c>
      <c r="Q69" s="270"/>
      <c r="R69" s="270"/>
    </row>
    <row r="70" spans="9:18" x14ac:dyDescent="0.25">
      <c r="I70" s="270"/>
      <c r="J70" s="270"/>
      <c r="K70" s="270"/>
      <c r="L70" s="270"/>
      <c r="M70" s="270"/>
      <c r="N70" s="270"/>
      <c r="O70" s="270"/>
      <c r="P70" s="479" t="s">
        <v>1589</v>
      </c>
      <c r="Q70" s="270"/>
      <c r="R70" s="270"/>
    </row>
  </sheetData>
  <hyperlinks>
    <hyperlink ref="G2" location="Investeringsteori!A1" display="Investeringsteori!A1" xr:uid="{00000000-0004-0000-2900-000000000000}"/>
  </hyperlinks>
  <pageMargins left="0.75" right="0.75" top="1" bottom="1" header="0.5" footer="0.5"/>
  <pageSetup paperSize="9" orientation="portrait" horizontalDpi="4294967292" verticalDpi="429496729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B0F0"/>
  </sheetPr>
  <dimension ref="B3:Q48"/>
  <sheetViews>
    <sheetView topLeftCell="A10" zoomScale="75" workbookViewId="0">
      <selection activeCell="A52" sqref="A52:XFD52"/>
    </sheetView>
  </sheetViews>
  <sheetFormatPr defaultColWidth="10.875" defaultRowHeight="15.75" x14ac:dyDescent="0.25"/>
  <cols>
    <col min="1" max="1" width="10.875" style="1"/>
    <col min="2" max="2" width="46.875" style="1" customWidth="1"/>
    <col min="3" max="3" width="15.125" style="1" bestFit="1" customWidth="1"/>
    <col min="4" max="4" width="10.875" style="1"/>
    <col min="5" max="6" width="15.125" style="1" bestFit="1" customWidth="1"/>
    <col min="7" max="12" width="13.625" style="1" bestFit="1" customWidth="1"/>
    <col min="13" max="13" width="10.875" style="1"/>
    <col min="14" max="14" width="37.375" style="1" bestFit="1" customWidth="1"/>
    <col min="15" max="15" width="13.625" style="1" bestFit="1" customWidth="1"/>
    <col min="16" max="16" width="17.875" style="1" bestFit="1" customWidth="1"/>
    <col min="17" max="17" width="18.375" style="1" bestFit="1" customWidth="1"/>
    <col min="18" max="16384" width="10.875" style="1"/>
  </cols>
  <sheetData>
    <row r="3" spans="2:12" x14ac:dyDescent="0.25">
      <c r="B3" s="101" t="s">
        <v>1228</v>
      </c>
    </row>
    <row r="8" spans="2:12" x14ac:dyDescent="0.25">
      <c r="B8" s="1" t="s">
        <v>1217</v>
      </c>
    </row>
    <row r="9" spans="2:12" x14ac:dyDescent="0.25">
      <c r="B9" s="377" t="s">
        <v>1104</v>
      </c>
      <c r="C9" s="384">
        <v>7</v>
      </c>
      <c r="D9" s="385"/>
      <c r="L9" s="386"/>
    </row>
    <row r="10" spans="2:12" x14ac:dyDescent="0.25">
      <c r="B10" s="377" t="s">
        <v>1216</v>
      </c>
      <c r="C10" s="398">
        <v>20000</v>
      </c>
      <c r="D10" s="385" t="s">
        <v>1215</v>
      </c>
      <c r="G10" s="397"/>
    </row>
    <row r="11" spans="2:12" x14ac:dyDescent="0.25">
      <c r="B11" s="377" t="s">
        <v>1214</v>
      </c>
      <c r="C11" s="384">
        <v>39.5</v>
      </c>
      <c r="D11" s="385" t="s">
        <v>1213</v>
      </c>
    </row>
    <row r="12" spans="2:12" x14ac:dyDescent="0.25">
      <c r="B12" s="377" t="s">
        <v>1212</v>
      </c>
      <c r="C12" s="392">
        <v>1023</v>
      </c>
      <c r="D12" s="13" t="s">
        <v>1211</v>
      </c>
    </row>
    <row r="13" spans="2:12" x14ac:dyDescent="0.25">
      <c r="B13" s="377" t="s">
        <v>1210</v>
      </c>
      <c r="C13" s="10">
        <v>223.5</v>
      </c>
      <c r="D13" s="385" t="s">
        <v>1209</v>
      </c>
    </row>
    <row r="14" spans="2:12" x14ac:dyDescent="0.25">
      <c r="B14" s="384" t="s">
        <v>1208</v>
      </c>
      <c r="C14" s="396">
        <v>0.08</v>
      </c>
      <c r="D14" s="385"/>
      <c r="F14" s="278"/>
    </row>
    <row r="15" spans="2:12" x14ac:dyDescent="0.25">
      <c r="B15" s="278" t="s">
        <v>1207</v>
      </c>
      <c r="C15" s="278"/>
      <c r="D15" s="278"/>
      <c r="E15" s="278"/>
    </row>
    <row r="17" spans="2:17" x14ac:dyDescent="0.25">
      <c r="B17" s="278" t="s">
        <v>1206</v>
      </c>
      <c r="D17" s="377" t="s">
        <v>1202</v>
      </c>
      <c r="E17" s="377">
        <v>0</v>
      </c>
      <c r="F17" s="377">
        <v>1</v>
      </c>
      <c r="G17" s="377">
        <v>2</v>
      </c>
      <c r="H17" s="377">
        <v>3</v>
      </c>
      <c r="I17" s="377">
        <v>4</v>
      </c>
      <c r="J17" s="377">
        <v>5</v>
      </c>
      <c r="K17" s="377">
        <v>6</v>
      </c>
      <c r="L17" s="377">
        <v>7</v>
      </c>
    </row>
    <row r="18" spans="2:17" x14ac:dyDescent="0.25">
      <c r="B18" s="377" t="s">
        <v>1201</v>
      </c>
      <c r="C18" s="379">
        <v>859400</v>
      </c>
      <c r="D18" s="11" t="s">
        <v>1200</v>
      </c>
      <c r="E18" s="391">
        <f>-C18</f>
        <v>-859400</v>
      </c>
      <c r="F18" s="391">
        <v>0</v>
      </c>
      <c r="G18" s="391">
        <f t="shared" ref="G18:L18" si="0">F18</f>
        <v>0</v>
      </c>
      <c r="H18" s="391">
        <f t="shared" si="0"/>
        <v>0</v>
      </c>
      <c r="I18" s="391">
        <f t="shared" si="0"/>
        <v>0</v>
      </c>
      <c r="J18" s="391">
        <f t="shared" si="0"/>
        <v>0</v>
      </c>
      <c r="K18" s="391">
        <f t="shared" si="0"/>
        <v>0</v>
      </c>
      <c r="L18" s="395">
        <f t="shared" si="0"/>
        <v>0</v>
      </c>
    </row>
    <row r="19" spans="2:17" x14ac:dyDescent="0.25">
      <c r="B19" s="377" t="s">
        <v>1199</v>
      </c>
      <c r="C19" s="380">
        <v>14000</v>
      </c>
      <c r="D19" s="11" t="s">
        <v>1198</v>
      </c>
      <c r="E19" s="390">
        <v>0</v>
      </c>
      <c r="F19" s="390">
        <f t="shared" ref="F19:L19" si="1">$C$19*$C$11</f>
        <v>553000</v>
      </c>
      <c r="G19" s="390">
        <f t="shared" si="1"/>
        <v>553000</v>
      </c>
      <c r="H19" s="390">
        <f t="shared" si="1"/>
        <v>553000</v>
      </c>
      <c r="I19" s="390">
        <f t="shared" si="1"/>
        <v>553000</v>
      </c>
      <c r="J19" s="390">
        <f t="shared" si="1"/>
        <v>553000</v>
      </c>
      <c r="K19" s="390">
        <f t="shared" si="1"/>
        <v>553000</v>
      </c>
      <c r="L19" s="395">
        <f t="shared" si="1"/>
        <v>553000</v>
      </c>
    </row>
    <row r="20" spans="2:17" x14ac:dyDescent="0.25">
      <c r="B20" s="377" t="s">
        <v>1204</v>
      </c>
      <c r="C20" s="379">
        <f>O32</f>
        <v>5.32</v>
      </c>
      <c r="D20" s="11" t="s">
        <v>1196</v>
      </c>
      <c r="E20" s="390">
        <v>0</v>
      </c>
      <c r="F20" s="390">
        <f t="shared" ref="F20:L20" si="2">-($C$20*$C$19)</f>
        <v>-74480</v>
      </c>
      <c r="G20" s="390">
        <f t="shared" si="2"/>
        <v>-74480</v>
      </c>
      <c r="H20" s="390">
        <f t="shared" si="2"/>
        <v>-74480</v>
      </c>
      <c r="I20" s="390">
        <f t="shared" si="2"/>
        <v>-74480</v>
      </c>
      <c r="J20" s="390">
        <f t="shared" si="2"/>
        <v>-74480</v>
      </c>
      <c r="K20" s="390">
        <f t="shared" si="2"/>
        <v>-74480</v>
      </c>
      <c r="L20" s="395">
        <f t="shared" si="2"/>
        <v>-74480</v>
      </c>
    </row>
    <row r="21" spans="2:17" x14ac:dyDescent="0.25">
      <c r="B21" s="377" t="s">
        <v>1195</v>
      </c>
      <c r="C21" s="377">
        <v>78</v>
      </c>
      <c r="D21" s="11" t="s">
        <v>1194</v>
      </c>
      <c r="E21" s="390">
        <v>0</v>
      </c>
      <c r="F21" s="390">
        <f t="shared" ref="F21:L21" si="3">-($C$21*$C$12)</f>
        <v>-79794</v>
      </c>
      <c r="G21" s="390">
        <f t="shared" si="3"/>
        <v>-79794</v>
      </c>
      <c r="H21" s="390">
        <f t="shared" si="3"/>
        <v>-79794</v>
      </c>
      <c r="I21" s="390">
        <f t="shared" si="3"/>
        <v>-79794</v>
      </c>
      <c r="J21" s="390">
        <f t="shared" si="3"/>
        <v>-79794</v>
      </c>
      <c r="K21" s="390">
        <f t="shared" si="3"/>
        <v>-79794</v>
      </c>
      <c r="L21" s="395">
        <f t="shared" si="3"/>
        <v>-79794</v>
      </c>
    </row>
    <row r="22" spans="2:17" x14ac:dyDescent="0.25">
      <c r="B22" s="377" t="s">
        <v>1193</v>
      </c>
      <c r="C22" s="377">
        <v>600</v>
      </c>
      <c r="D22" s="11" t="s">
        <v>779</v>
      </c>
      <c r="E22" s="390">
        <v>0</v>
      </c>
      <c r="F22" s="390">
        <f t="shared" ref="F22:L22" si="4">-($C$22*$C$13)</f>
        <v>-134100</v>
      </c>
      <c r="G22" s="390">
        <f t="shared" si="4"/>
        <v>-134100</v>
      </c>
      <c r="H22" s="390">
        <f t="shared" si="4"/>
        <v>-134100</v>
      </c>
      <c r="I22" s="390">
        <f t="shared" si="4"/>
        <v>-134100</v>
      </c>
      <c r="J22" s="390">
        <f t="shared" si="4"/>
        <v>-134100</v>
      </c>
      <c r="K22" s="390">
        <f t="shared" si="4"/>
        <v>-134100</v>
      </c>
      <c r="L22" s="395">
        <f t="shared" si="4"/>
        <v>-134100</v>
      </c>
    </row>
    <row r="23" spans="2:17" x14ac:dyDescent="0.25">
      <c r="B23" s="377" t="s">
        <v>1192</v>
      </c>
      <c r="C23" s="379">
        <v>50000</v>
      </c>
      <c r="D23" s="88" t="s">
        <v>1191</v>
      </c>
      <c r="E23" s="389">
        <v>0</v>
      </c>
      <c r="F23" s="389">
        <v>0</v>
      </c>
      <c r="G23" s="389">
        <v>0</v>
      </c>
      <c r="H23" s="389">
        <v>0</v>
      </c>
      <c r="I23" s="389">
        <v>0</v>
      </c>
      <c r="J23" s="389">
        <v>0</v>
      </c>
      <c r="K23" s="389">
        <v>0</v>
      </c>
      <c r="L23" s="394">
        <f>C23</f>
        <v>50000</v>
      </c>
    </row>
    <row r="24" spans="2:17" x14ac:dyDescent="0.25">
      <c r="D24" s="278" t="s">
        <v>1190</v>
      </c>
      <c r="E24" s="386">
        <f t="shared" ref="E24:L24" si="5">SUM(E18:E23)</f>
        <v>-859400</v>
      </c>
      <c r="F24" s="386">
        <f t="shared" si="5"/>
        <v>264626</v>
      </c>
      <c r="G24" s="386">
        <f t="shared" si="5"/>
        <v>264626</v>
      </c>
      <c r="H24" s="386">
        <f t="shared" si="5"/>
        <v>264626</v>
      </c>
      <c r="I24" s="386">
        <f t="shared" si="5"/>
        <v>264626</v>
      </c>
      <c r="J24" s="386">
        <f t="shared" si="5"/>
        <v>264626</v>
      </c>
      <c r="K24" s="386">
        <f t="shared" si="5"/>
        <v>264626</v>
      </c>
      <c r="L24" s="386">
        <f t="shared" si="5"/>
        <v>314626</v>
      </c>
    </row>
    <row r="25" spans="2:17" x14ac:dyDescent="0.25">
      <c r="D25" s="278" t="s">
        <v>1189</v>
      </c>
      <c r="E25" s="386">
        <f t="shared" ref="E25:L25" si="6">E24/(1+$C$14)^E17</f>
        <v>-859400</v>
      </c>
      <c r="F25" s="386">
        <f t="shared" si="6"/>
        <v>245024.07407407404</v>
      </c>
      <c r="G25" s="386">
        <f t="shared" si="6"/>
        <v>226874.14266117968</v>
      </c>
      <c r="H25" s="386">
        <f t="shared" si="6"/>
        <v>210068.6506122034</v>
      </c>
      <c r="I25" s="386">
        <f t="shared" si="6"/>
        <v>194508.00982611423</v>
      </c>
      <c r="J25" s="386">
        <f t="shared" si="6"/>
        <v>180100.00909825391</v>
      </c>
      <c r="K25" s="386">
        <f t="shared" si="6"/>
        <v>166759.26768356844</v>
      </c>
      <c r="L25" s="386">
        <f t="shared" si="6"/>
        <v>183581.24909974411</v>
      </c>
    </row>
    <row r="26" spans="2:17" x14ac:dyDescent="0.25">
      <c r="D26" s="278" t="s">
        <v>1188</v>
      </c>
      <c r="E26" s="386">
        <f>E25</f>
        <v>-859400</v>
      </c>
      <c r="F26" s="386">
        <f t="shared" ref="F26:L26" si="7">F25+E26</f>
        <v>-614375.92592592596</v>
      </c>
      <c r="G26" s="386">
        <f t="shared" si="7"/>
        <v>-387501.78326474631</v>
      </c>
      <c r="H26" s="386">
        <f t="shared" si="7"/>
        <v>-177433.1326525429</v>
      </c>
      <c r="I26" s="386">
        <f t="shared" si="7"/>
        <v>17074.877173571324</v>
      </c>
      <c r="J26" s="386">
        <f t="shared" si="7"/>
        <v>197174.88627182523</v>
      </c>
      <c r="K26" s="386">
        <f t="shared" si="7"/>
        <v>363934.1539553937</v>
      </c>
      <c r="L26" s="386">
        <f t="shared" si="7"/>
        <v>547515.40305513784</v>
      </c>
    </row>
    <row r="27" spans="2:17" x14ac:dyDescent="0.25">
      <c r="D27" s="278" t="s">
        <v>1187</v>
      </c>
      <c r="E27" s="386">
        <f>L26</f>
        <v>547515.40305513784</v>
      </c>
      <c r="F27" s="386"/>
      <c r="G27" s="386"/>
      <c r="H27" s="386"/>
      <c r="I27" s="386"/>
      <c r="J27" s="386"/>
      <c r="K27" s="386"/>
      <c r="L27" s="386"/>
    </row>
    <row r="28" spans="2:17" x14ac:dyDescent="0.25">
      <c r="D28" s="1" t="s">
        <v>1186</v>
      </c>
      <c r="E28" s="386">
        <f>NPV(C14,F24:L24)+E24</f>
        <v>547515.40305513795</v>
      </c>
      <c r="F28" s="386"/>
      <c r="G28" s="386"/>
      <c r="H28" s="386"/>
      <c r="I28" s="386"/>
      <c r="J28" s="386"/>
      <c r="K28" s="386"/>
      <c r="L28" s="386"/>
    </row>
    <row r="29" spans="2:17" x14ac:dyDescent="0.25">
      <c r="D29" s="278" t="s">
        <v>1185</v>
      </c>
      <c r="E29" s="393">
        <f>IRR(E24:L24)</f>
        <v>0.24433556180890514</v>
      </c>
    </row>
    <row r="30" spans="2:17" x14ac:dyDescent="0.25">
      <c r="D30" s="278" t="s">
        <v>1184</v>
      </c>
      <c r="E30" s="386">
        <f>-FV(C14,C9,,E27)</f>
        <v>938345.18528649618</v>
      </c>
      <c r="N30" s="218"/>
      <c r="O30" s="218"/>
      <c r="P30" s="218"/>
      <c r="Q30" s="218"/>
    </row>
    <row r="31" spans="2:17" x14ac:dyDescent="0.25">
      <c r="N31" s="218"/>
      <c r="O31" s="218" t="s">
        <v>1602</v>
      </c>
      <c r="P31" s="218" t="s">
        <v>1601</v>
      </c>
      <c r="Q31" s="218" t="s">
        <v>1600</v>
      </c>
    </row>
    <row r="32" spans="2:17" x14ac:dyDescent="0.25">
      <c r="N32" s="482" t="s">
        <v>1599</v>
      </c>
      <c r="O32" s="481">
        <v>5.32</v>
      </c>
      <c r="P32" s="481">
        <f>O32*1.2</f>
        <v>6.3840000000000003</v>
      </c>
      <c r="Q32" s="481">
        <f>O32*0.8</f>
        <v>4.2560000000000002</v>
      </c>
    </row>
    <row r="33" spans="2:17" x14ac:dyDescent="0.25">
      <c r="N33" s="482" t="s">
        <v>1598</v>
      </c>
      <c r="O33" s="481">
        <v>3.43</v>
      </c>
      <c r="P33" s="481">
        <f>O33*1.2</f>
        <v>4.1159999999999997</v>
      </c>
      <c r="Q33" s="481">
        <f>O33*0.8</f>
        <v>2.7440000000000002</v>
      </c>
    </row>
    <row r="34" spans="2:17" x14ac:dyDescent="0.25">
      <c r="F34" s="1">
        <v>36000</v>
      </c>
      <c r="G34" s="383">
        <v>4000</v>
      </c>
      <c r="H34" s="1">
        <v>20000</v>
      </c>
      <c r="N34" s="218" t="s">
        <v>1597</v>
      </c>
      <c r="O34" s="481">
        <f t="shared" ref="O34:Q35" si="8">O40</f>
        <v>547515.40305513795</v>
      </c>
      <c r="P34" s="481">
        <f t="shared" si="8"/>
        <v>469961.31465294724</v>
      </c>
      <c r="Q34" s="481">
        <f t="shared" si="8"/>
        <v>625069.49145732843</v>
      </c>
    </row>
    <row r="35" spans="2:17" x14ac:dyDescent="0.25">
      <c r="B35" s="278" t="s">
        <v>1203</v>
      </c>
      <c r="D35" s="377" t="s">
        <v>1202</v>
      </c>
      <c r="E35" s="377">
        <v>0</v>
      </c>
      <c r="F35" s="377">
        <v>1</v>
      </c>
      <c r="G35" s="377">
        <v>2</v>
      </c>
      <c r="H35" s="377">
        <v>3</v>
      </c>
      <c r="I35" s="377">
        <v>4</v>
      </c>
      <c r="J35" s="377">
        <v>5</v>
      </c>
      <c r="K35" s="377">
        <v>6</v>
      </c>
      <c r="L35" s="8">
        <v>7</v>
      </c>
      <c r="N35" s="218" t="s">
        <v>1596</v>
      </c>
      <c r="O35" s="481">
        <f t="shared" si="8"/>
        <v>748167.7627485143</v>
      </c>
      <c r="P35" s="481">
        <f t="shared" si="8"/>
        <v>683879.50525722513</v>
      </c>
      <c r="Q35" s="481">
        <f t="shared" si="8"/>
        <v>812456.02023980441</v>
      </c>
    </row>
    <row r="36" spans="2:17" x14ac:dyDescent="0.25">
      <c r="B36" s="377" t="s">
        <v>1201</v>
      </c>
      <c r="C36" s="379">
        <v>1856500</v>
      </c>
      <c r="D36" s="11" t="s">
        <v>1200</v>
      </c>
      <c r="E36" s="391">
        <f>-C36</f>
        <v>-1856500</v>
      </c>
      <c r="F36" s="391">
        <v>0</v>
      </c>
      <c r="G36" s="391">
        <v>0</v>
      </c>
      <c r="H36" s="391">
        <v>0</v>
      </c>
      <c r="I36" s="391">
        <v>0</v>
      </c>
      <c r="J36" s="391">
        <v>0</v>
      </c>
      <c r="K36" s="392">
        <v>0</v>
      </c>
      <c r="L36" s="391">
        <v>0</v>
      </c>
      <c r="N36" s="218"/>
      <c r="O36" s="218"/>
      <c r="P36" s="218"/>
      <c r="Q36" s="218"/>
    </row>
    <row r="37" spans="2:17" x14ac:dyDescent="0.25">
      <c r="B37" s="377" t="s">
        <v>1199</v>
      </c>
      <c r="C37" s="377">
        <v>18000</v>
      </c>
      <c r="D37" s="11" t="s">
        <v>1198</v>
      </c>
      <c r="E37" s="390">
        <v>0</v>
      </c>
      <c r="F37" s="390">
        <f>C37*$C$11</f>
        <v>711000</v>
      </c>
      <c r="G37" s="390">
        <f t="shared" ref="G37:L38" si="9">F37</f>
        <v>711000</v>
      </c>
      <c r="H37" s="390">
        <f t="shared" si="9"/>
        <v>711000</v>
      </c>
      <c r="I37" s="390">
        <f t="shared" si="9"/>
        <v>711000</v>
      </c>
      <c r="J37" s="390">
        <f t="shared" si="9"/>
        <v>711000</v>
      </c>
      <c r="K37" s="390">
        <f t="shared" si="9"/>
        <v>711000</v>
      </c>
      <c r="L37" s="390">
        <f t="shared" si="9"/>
        <v>711000</v>
      </c>
      <c r="N37" s="218"/>
      <c r="O37" s="218"/>
      <c r="P37" s="218"/>
      <c r="Q37" s="218"/>
    </row>
    <row r="38" spans="2:17" x14ac:dyDescent="0.25">
      <c r="B38" s="377" t="s">
        <v>1197</v>
      </c>
      <c r="C38" s="379">
        <f>O33</f>
        <v>3.43</v>
      </c>
      <c r="D38" s="11" t="s">
        <v>1196</v>
      </c>
      <c r="E38" s="390">
        <v>0</v>
      </c>
      <c r="F38" s="390">
        <f>-($C$38*C37)</f>
        <v>-61740</v>
      </c>
      <c r="G38" s="390">
        <f t="shared" si="9"/>
        <v>-61740</v>
      </c>
      <c r="H38" s="390">
        <f t="shared" si="9"/>
        <v>-61740</v>
      </c>
      <c r="I38" s="390">
        <f t="shared" si="9"/>
        <v>-61740</v>
      </c>
      <c r="J38" s="390">
        <f t="shared" si="9"/>
        <v>-61740</v>
      </c>
      <c r="K38" s="390">
        <f t="shared" si="9"/>
        <v>-61740</v>
      </c>
      <c r="L38" s="390">
        <f t="shared" si="9"/>
        <v>-61740</v>
      </c>
      <c r="N38" s="218"/>
      <c r="O38" s="218"/>
      <c r="P38" s="218"/>
      <c r="Q38" s="218"/>
    </row>
    <row r="39" spans="2:17" x14ac:dyDescent="0.25">
      <c r="B39" s="377" t="s">
        <v>1195</v>
      </c>
      <c r="C39" s="377">
        <v>67</v>
      </c>
      <c r="D39" s="11" t="s">
        <v>1194</v>
      </c>
      <c r="E39" s="390">
        <v>0</v>
      </c>
      <c r="F39" s="390">
        <f t="shared" ref="F39:L39" si="10">-($C$39*$C$12)</f>
        <v>-68541</v>
      </c>
      <c r="G39" s="390">
        <f t="shared" si="10"/>
        <v>-68541</v>
      </c>
      <c r="H39" s="390">
        <f t="shared" si="10"/>
        <v>-68541</v>
      </c>
      <c r="I39" s="390">
        <f t="shared" si="10"/>
        <v>-68541</v>
      </c>
      <c r="J39" s="390">
        <f t="shared" si="10"/>
        <v>-68541</v>
      </c>
      <c r="K39" s="390">
        <f t="shared" si="10"/>
        <v>-68541</v>
      </c>
      <c r="L39" s="390">
        <f t="shared" si="10"/>
        <v>-68541</v>
      </c>
    </row>
    <row r="40" spans="2:17" x14ac:dyDescent="0.25">
      <c r="B40" s="377" t="s">
        <v>1193</v>
      </c>
      <c r="C40" s="377">
        <v>400</v>
      </c>
      <c r="D40" s="11" t="s">
        <v>779</v>
      </c>
      <c r="E40" s="390">
        <v>0</v>
      </c>
      <c r="F40" s="390">
        <f t="shared" ref="F40:L40" si="11">-($C$40*$C$13)</f>
        <v>-89400</v>
      </c>
      <c r="G40" s="390">
        <f t="shared" si="11"/>
        <v>-89400</v>
      </c>
      <c r="H40" s="390">
        <f t="shared" si="11"/>
        <v>-89400</v>
      </c>
      <c r="I40" s="390">
        <f t="shared" si="11"/>
        <v>-89400</v>
      </c>
      <c r="J40" s="390">
        <f t="shared" si="11"/>
        <v>-89400</v>
      </c>
      <c r="K40" s="390">
        <f t="shared" si="11"/>
        <v>-89400</v>
      </c>
      <c r="L40" s="390">
        <f t="shared" si="11"/>
        <v>-89400</v>
      </c>
      <c r="O40" s="1">
        <v>547515.40305513795</v>
      </c>
      <c r="P40" s="1">
        <v>469961.31465294724</v>
      </c>
      <c r="Q40" s="1">
        <v>625069.49145732843</v>
      </c>
    </row>
    <row r="41" spans="2:17" x14ac:dyDescent="0.25">
      <c r="B41" s="377" t="s">
        <v>1192</v>
      </c>
      <c r="C41" s="379">
        <v>80000</v>
      </c>
      <c r="D41" s="88" t="s">
        <v>1191</v>
      </c>
      <c r="E41" s="389">
        <v>0</v>
      </c>
      <c r="F41" s="389">
        <v>0</v>
      </c>
      <c r="G41" s="389">
        <v>0</v>
      </c>
      <c r="H41" s="389">
        <v>0</v>
      </c>
      <c r="I41" s="389">
        <v>0</v>
      </c>
      <c r="J41" s="389">
        <v>0</v>
      </c>
      <c r="K41" s="389">
        <v>0</v>
      </c>
      <c r="L41" s="389">
        <f>C41</f>
        <v>80000</v>
      </c>
      <c r="O41" s="1">
        <v>748167.7627485143</v>
      </c>
      <c r="P41" s="1">
        <v>683879.50525722513</v>
      </c>
      <c r="Q41" s="1">
        <v>812456.02023980441</v>
      </c>
    </row>
    <row r="42" spans="2:17" x14ac:dyDescent="0.25">
      <c r="D42" s="278" t="s">
        <v>1190</v>
      </c>
      <c r="E42" s="386">
        <f t="shared" ref="E42:L42" si="12">SUM(E36:E41)</f>
        <v>-1856500</v>
      </c>
      <c r="F42" s="386">
        <f t="shared" si="12"/>
        <v>491319</v>
      </c>
      <c r="G42" s="386">
        <f t="shared" si="12"/>
        <v>491319</v>
      </c>
      <c r="H42" s="386">
        <f t="shared" si="12"/>
        <v>491319</v>
      </c>
      <c r="I42" s="386">
        <f t="shared" si="12"/>
        <v>491319</v>
      </c>
      <c r="J42" s="386">
        <f t="shared" si="12"/>
        <v>491319</v>
      </c>
      <c r="K42" s="386">
        <f t="shared" si="12"/>
        <v>491319</v>
      </c>
      <c r="L42" s="386">
        <f t="shared" si="12"/>
        <v>571319</v>
      </c>
    </row>
    <row r="43" spans="2:17" x14ac:dyDescent="0.25">
      <c r="D43" s="278" t="s">
        <v>1189</v>
      </c>
      <c r="E43" s="386">
        <f t="shared" ref="E43:L43" si="13">E42/(1+$C$14)^E35</f>
        <v>-1856500</v>
      </c>
      <c r="F43" s="386">
        <f t="shared" si="13"/>
        <v>454924.99999999994</v>
      </c>
      <c r="G43" s="386">
        <f t="shared" si="13"/>
        <v>421226.8518518518</v>
      </c>
      <c r="H43" s="386">
        <f t="shared" si="13"/>
        <v>390024.86282578867</v>
      </c>
      <c r="I43" s="386">
        <f t="shared" si="13"/>
        <v>361134.13224610063</v>
      </c>
      <c r="J43" s="386">
        <f t="shared" si="13"/>
        <v>334383.45578342647</v>
      </c>
      <c r="K43" s="386">
        <f t="shared" si="13"/>
        <v>309614.31091058004</v>
      </c>
      <c r="L43" s="386">
        <f t="shared" si="13"/>
        <v>333359.14913076704</v>
      </c>
    </row>
    <row r="44" spans="2:17" x14ac:dyDescent="0.25">
      <c r="D44" s="278" t="s">
        <v>1188</v>
      </c>
      <c r="E44" s="386">
        <f>E43</f>
        <v>-1856500</v>
      </c>
      <c r="F44" s="386">
        <f t="shared" ref="F44:L44" si="14">F43+E44</f>
        <v>-1401575</v>
      </c>
      <c r="G44" s="386">
        <f t="shared" si="14"/>
        <v>-980348.1481481482</v>
      </c>
      <c r="H44" s="386">
        <f t="shared" si="14"/>
        <v>-590323.28532235953</v>
      </c>
      <c r="I44" s="386">
        <f t="shared" si="14"/>
        <v>-229189.1530762589</v>
      </c>
      <c r="J44" s="386">
        <f t="shared" si="14"/>
        <v>105194.30270716758</v>
      </c>
      <c r="K44" s="386">
        <f t="shared" si="14"/>
        <v>414808.61361774761</v>
      </c>
      <c r="L44" s="386">
        <f t="shared" si="14"/>
        <v>748167.76274851465</v>
      </c>
    </row>
    <row r="45" spans="2:17" x14ac:dyDescent="0.25">
      <c r="D45" s="278" t="s">
        <v>1187</v>
      </c>
      <c r="E45" s="386">
        <f>L44</f>
        <v>748167.76274851465</v>
      </c>
      <c r="F45" s="386"/>
      <c r="G45" s="386"/>
      <c r="H45" s="386"/>
      <c r="I45" s="386"/>
      <c r="J45" s="386"/>
      <c r="K45" s="386"/>
      <c r="L45" s="386"/>
    </row>
    <row r="46" spans="2:17" x14ac:dyDescent="0.25">
      <c r="D46" s="1" t="s">
        <v>1186</v>
      </c>
      <c r="E46" s="386">
        <f>NPV(C14,F42:L42)+E42</f>
        <v>748167.7627485143</v>
      </c>
      <c r="F46" s="386"/>
      <c r="G46" s="386"/>
      <c r="H46" s="386"/>
      <c r="I46" s="386"/>
      <c r="J46" s="386"/>
      <c r="K46" s="386"/>
      <c r="L46" s="386"/>
    </row>
    <row r="47" spans="2:17" x14ac:dyDescent="0.25">
      <c r="D47" s="278" t="s">
        <v>1185</v>
      </c>
      <c r="E47" s="388">
        <f>IRR(E42:L42)</f>
        <v>0.18768546334161318</v>
      </c>
      <c r="F47" s="386"/>
      <c r="G47" s="386"/>
      <c r="H47" s="386"/>
      <c r="I47" s="386"/>
      <c r="J47" s="386"/>
      <c r="K47" s="386"/>
      <c r="L47" s="386"/>
    </row>
    <row r="48" spans="2:17" x14ac:dyDescent="0.25">
      <c r="D48" s="278" t="s">
        <v>1184</v>
      </c>
      <c r="E48" s="387">
        <f>-FV(C14,C9,,E45)</f>
        <v>1282228.0689168831</v>
      </c>
      <c r="F48" s="386"/>
      <c r="G48" s="386"/>
      <c r="H48" s="386"/>
      <c r="I48" s="386"/>
      <c r="J48" s="386"/>
      <c r="K48" s="386"/>
      <c r="L48" s="386"/>
    </row>
  </sheetData>
  <hyperlinks>
    <hyperlink ref="B3" location="Investeringsteori!A1" display="Investeringsteori!A1" xr:uid="{00000000-0004-0000-2A00-000000000000}"/>
  </hyperlink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F0"/>
  </sheetPr>
  <dimension ref="H3:J4"/>
  <sheetViews>
    <sheetView workbookViewId="0">
      <selection activeCell="H3" sqref="H3"/>
    </sheetView>
  </sheetViews>
  <sheetFormatPr defaultColWidth="10.875" defaultRowHeight="15.75" x14ac:dyDescent="0.25"/>
  <cols>
    <col min="1" max="8" width="10.875" style="1"/>
    <col min="9" max="9" width="10.875" style="11"/>
    <col min="10" max="16384" width="10.875" style="1"/>
  </cols>
  <sheetData>
    <row r="3" spans="8:10" x14ac:dyDescent="0.25">
      <c r="H3" s="101" t="s">
        <v>1228</v>
      </c>
    </row>
    <row r="4" spans="8:10" x14ac:dyDescent="0.25">
      <c r="J4" s="278" t="s">
        <v>1611</v>
      </c>
    </row>
  </sheetData>
  <hyperlinks>
    <hyperlink ref="H3" location="Investeringsteori!A1" display="Investeringsteori!A1" xr:uid="{00000000-0004-0000-2B00-000000000000}"/>
  </hyperlinks>
  <pageMargins left="0.75" right="0.75" top="1" bottom="1" header="0.5" footer="0.5"/>
  <pageSetup paperSize="9" orientation="portrait" horizontalDpi="4294967292" verticalDpi="4294967292"/>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B050"/>
  </sheetPr>
  <dimension ref="A3:P118"/>
  <sheetViews>
    <sheetView zoomScale="90" zoomScaleNormal="90" zoomScalePageLayoutView="90" workbookViewId="0">
      <selection activeCell="F79" sqref="F79"/>
    </sheetView>
  </sheetViews>
  <sheetFormatPr defaultColWidth="10.875" defaultRowHeight="15.75" x14ac:dyDescent="0.25"/>
  <cols>
    <col min="1" max="1" width="10.875" style="1"/>
    <col min="2" max="2" width="16.125" style="1" customWidth="1"/>
    <col min="3" max="3" width="27.375" style="1" customWidth="1"/>
    <col min="4" max="4" width="16.125" style="1" bestFit="1" customWidth="1"/>
    <col min="5" max="5" width="30.625" style="1" bestFit="1" customWidth="1"/>
    <col min="6" max="16" width="16.125" style="1" bestFit="1" customWidth="1"/>
    <col min="17" max="16384" width="10.875" style="1"/>
  </cols>
  <sheetData>
    <row r="3" spans="5:5" x14ac:dyDescent="0.25">
      <c r="E3" s="101" t="s">
        <v>1612</v>
      </c>
    </row>
    <row r="20" spans="1:16" x14ac:dyDescent="0.25">
      <c r="A20" s="89"/>
      <c r="B20" s="89"/>
      <c r="C20" s="89"/>
      <c r="D20" s="89"/>
      <c r="E20" s="89"/>
      <c r="F20" s="89"/>
      <c r="G20" s="89"/>
    </row>
    <row r="21" spans="1:16" x14ac:dyDescent="0.25">
      <c r="C21" s="1" t="s">
        <v>1650</v>
      </c>
      <c r="D21" s="487">
        <v>13200000</v>
      </c>
      <c r="E21" s="1" t="s">
        <v>1649</v>
      </c>
    </row>
    <row r="22" spans="1:16" x14ac:dyDescent="0.25">
      <c r="C22" s="1" t="s">
        <v>1648</v>
      </c>
      <c r="D22" s="1">
        <v>2</v>
      </c>
      <c r="E22" s="1" t="s">
        <v>1353</v>
      </c>
    </row>
    <row r="25" spans="1:16" x14ac:dyDescent="0.25">
      <c r="C25" s="278" t="s">
        <v>1647</v>
      </c>
      <c r="F25" s="377">
        <v>0</v>
      </c>
      <c r="G25" s="377">
        <v>1</v>
      </c>
      <c r="H25" s="377">
        <v>2</v>
      </c>
      <c r="I25" s="377">
        <v>3</v>
      </c>
      <c r="J25" s="377">
        <v>4</v>
      </c>
      <c r="K25" s="377">
        <v>5</v>
      </c>
      <c r="L25" s="377">
        <v>6</v>
      </c>
      <c r="M25" s="377">
        <v>7</v>
      </c>
      <c r="N25" s="377">
        <v>8</v>
      </c>
      <c r="O25" s="377">
        <v>9</v>
      </c>
      <c r="P25" s="377">
        <v>10</v>
      </c>
    </row>
    <row r="26" spans="1:16" x14ac:dyDescent="0.25">
      <c r="C26" s="8" t="s">
        <v>1104</v>
      </c>
      <c r="D26" s="8">
        <v>10</v>
      </c>
      <c r="E26" s="8" t="s">
        <v>1641</v>
      </c>
      <c r="F26" s="487">
        <f>-D32</f>
        <v>-13469387.755102042</v>
      </c>
      <c r="G26" s="397">
        <f>-D32</f>
        <v>-13469387.755102042</v>
      </c>
      <c r="H26" s="493">
        <f t="shared" ref="H26:P26" si="0">G26-G28</f>
        <v>-12294446.237563157</v>
      </c>
      <c r="I26" s="493">
        <f t="shared" si="0"/>
        <v>-11084256.474498106</v>
      </c>
      <c r="J26" s="493">
        <f t="shared" si="0"/>
        <v>-9837761.0185411032</v>
      </c>
      <c r="K26" s="493">
        <f t="shared" si="0"/>
        <v>-8553870.6989053898</v>
      </c>
      <c r="L26" s="493">
        <f t="shared" si="0"/>
        <v>-7231463.6696806056</v>
      </c>
      <c r="M26" s="493">
        <f t="shared" si="0"/>
        <v>-5869384.4295790782</v>
      </c>
      <c r="N26" s="493">
        <f t="shared" si="0"/>
        <v>-4466442.8122745054</v>
      </c>
      <c r="O26" s="493">
        <f t="shared" si="0"/>
        <v>-3021412.946450795</v>
      </c>
      <c r="P26" s="493">
        <f t="shared" si="0"/>
        <v>-1533032.1846523734</v>
      </c>
    </row>
    <row r="27" spans="1:16" x14ac:dyDescent="0.25">
      <c r="C27" s="9" t="s">
        <v>1640</v>
      </c>
      <c r="D27" s="9">
        <v>1</v>
      </c>
      <c r="E27" s="9" t="s">
        <v>1639</v>
      </c>
      <c r="F27" s="1">
        <v>0</v>
      </c>
      <c r="G27" s="386">
        <f>G26*$D$28/$D$27</f>
        <v>-404081.63265306124</v>
      </c>
      <c r="H27" s="386">
        <f t="shared" ref="H27:P27" si="1">H26*$D$28/$D$27</f>
        <v>-368833.38712689473</v>
      </c>
      <c r="I27" s="386">
        <f t="shared" si="1"/>
        <v>-332527.69423494319</v>
      </c>
      <c r="J27" s="386">
        <f t="shared" si="1"/>
        <v>-295132.83055623306</v>
      </c>
      <c r="K27" s="386">
        <f t="shared" si="1"/>
        <v>-256616.1209671617</v>
      </c>
      <c r="L27" s="386">
        <f t="shared" si="1"/>
        <v>-216943.91009041815</v>
      </c>
      <c r="M27" s="386">
        <f t="shared" si="1"/>
        <v>-176081.53288737233</v>
      </c>
      <c r="N27" s="386">
        <f t="shared" si="1"/>
        <v>-133993.28436823515</v>
      </c>
      <c r="O27" s="386">
        <f t="shared" si="1"/>
        <v>-90642.388393523841</v>
      </c>
      <c r="P27" s="386">
        <f t="shared" si="1"/>
        <v>-45990.965539571203</v>
      </c>
    </row>
    <row r="28" spans="1:16" x14ac:dyDescent="0.25">
      <c r="C28" s="9" t="s">
        <v>1638</v>
      </c>
      <c r="D28" s="491">
        <v>0.03</v>
      </c>
      <c r="E28" s="9" t="s">
        <v>1637</v>
      </c>
      <c r="F28" s="1">
        <v>0</v>
      </c>
      <c r="G28" s="387">
        <f t="shared" ref="G28:P28" si="2">G29-G27</f>
        <v>-1174941.5175388842</v>
      </c>
      <c r="H28" s="387">
        <f t="shared" si="2"/>
        <v>-1210189.7630650508</v>
      </c>
      <c r="I28" s="387">
        <f t="shared" si="2"/>
        <v>-1246495.4559570022</v>
      </c>
      <c r="J28" s="387">
        <f t="shared" si="2"/>
        <v>-1283890.3196357125</v>
      </c>
      <c r="K28" s="387">
        <f t="shared" si="2"/>
        <v>-1322407.0292247839</v>
      </c>
      <c r="L28" s="387">
        <f t="shared" si="2"/>
        <v>-1362079.2401015274</v>
      </c>
      <c r="M28" s="387">
        <f t="shared" si="2"/>
        <v>-1402941.6173045731</v>
      </c>
      <c r="N28" s="387">
        <f t="shared" si="2"/>
        <v>-1445029.8658237103</v>
      </c>
      <c r="O28" s="387">
        <f t="shared" si="2"/>
        <v>-1488380.7617984216</v>
      </c>
      <c r="P28" s="387">
        <f t="shared" si="2"/>
        <v>-1533032.1846523744</v>
      </c>
    </row>
    <row r="29" spans="1:16" x14ac:dyDescent="0.25">
      <c r="C29" s="9" t="s">
        <v>1636</v>
      </c>
      <c r="D29" s="9">
        <v>98</v>
      </c>
      <c r="E29" s="9" t="s">
        <v>1635</v>
      </c>
      <c r="F29" s="487">
        <v>0</v>
      </c>
      <c r="G29" s="387">
        <f t="shared" ref="G29:P29" si="3">-PMT($D$28,$D$26,$F$26)</f>
        <v>-1579023.1501919455</v>
      </c>
      <c r="H29" s="387">
        <f t="shared" si="3"/>
        <v>-1579023.1501919455</v>
      </c>
      <c r="I29" s="387">
        <f t="shared" si="3"/>
        <v>-1579023.1501919455</v>
      </c>
      <c r="J29" s="387">
        <f t="shared" si="3"/>
        <v>-1579023.1501919455</v>
      </c>
      <c r="K29" s="387">
        <f t="shared" si="3"/>
        <v>-1579023.1501919455</v>
      </c>
      <c r="L29" s="387">
        <f t="shared" si="3"/>
        <v>-1579023.1501919455</v>
      </c>
      <c r="M29" s="387">
        <f t="shared" si="3"/>
        <v>-1579023.1501919455</v>
      </c>
      <c r="N29" s="387">
        <f t="shared" si="3"/>
        <v>-1579023.1501919455</v>
      </c>
      <c r="O29" s="387">
        <f t="shared" si="3"/>
        <v>-1579023.1501919455</v>
      </c>
      <c r="P29" s="387">
        <f t="shared" si="3"/>
        <v>-1579023.1501919455</v>
      </c>
    </row>
    <row r="30" spans="1:16" x14ac:dyDescent="0.25">
      <c r="C30" s="9" t="s">
        <v>1634</v>
      </c>
      <c r="D30" s="9">
        <v>0</v>
      </c>
      <c r="E30" s="9" t="s">
        <v>1646</v>
      </c>
      <c r="F30" s="1">
        <v>0</v>
      </c>
      <c r="G30" s="386">
        <f>G26*$D$31</f>
        <v>-101020.40816326531</v>
      </c>
      <c r="H30" s="386">
        <f t="shared" ref="H30:P30" si="4">H26*$D$31</f>
        <v>-92208.346781723681</v>
      </c>
      <c r="I30" s="386">
        <f t="shared" si="4"/>
        <v>-83131.923558735798</v>
      </c>
      <c r="J30" s="386">
        <f t="shared" si="4"/>
        <v>-73783.207639058266</v>
      </c>
      <c r="K30" s="386">
        <f t="shared" si="4"/>
        <v>-64154.030241790424</v>
      </c>
      <c r="L30" s="386">
        <f t="shared" si="4"/>
        <v>-54235.977522604539</v>
      </c>
      <c r="M30" s="386">
        <f t="shared" si="4"/>
        <v>-44020.383221843083</v>
      </c>
      <c r="N30" s="386">
        <f t="shared" si="4"/>
        <v>-33498.321092058788</v>
      </c>
      <c r="O30" s="386">
        <f t="shared" si="4"/>
        <v>-22660.59709838096</v>
      </c>
      <c r="P30" s="386">
        <f t="shared" si="4"/>
        <v>-11497.741384892801</v>
      </c>
    </row>
    <row r="31" spans="1:16" x14ac:dyDescent="0.25">
      <c r="C31" s="6" t="s">
        <v>1645</v>
      </c>
      <c r="D31" s="492">
        <v>7.4999999999999997E-3</v>
      </c>
      <c r="E31" s="9" t="s">
        <v>1644</v>
      </c>
      <c r="F31" s="487">
        <f>-D21</f>
        <v>-13200000</v>
      </c>
      <c r="G31" s="387">
        <f>SUM(G29:G30)</f>
        <v>-1680043.5583552108</v>
      </c>
      <c r="H31" s="387">
        <f t="shared" ref="H31:P31" si="5">SUM(H29:H30)</f>
        <v>-1671231.4969736692</v>
      </c>
      <c r="I31" s="387">
        <f t="shared" si="5"/>
        <v>-1662155.0737506812</v>
      </c>
      <c r="J31" s="387">
        <f t="shared" si="5"/>
        <v>-1652806.3578310038</v>
      </c>
      <c r="K31" s="387">
        <f t="shared" si="5"/>
        <v>-1643177.1804337359</v>
      </c>
      <c r="L31" s="387">
        <f t="shared" si="5"/>
        <v>-1633259.1277145501</v>
      </c>
      <c r="M31" s="387">
        <f t="shared" si="5"/>
        <v>-1623043.5334137885</v>
      </c>
      <c r="N31" s="387">
        <f t="shared" si="5"/>
        <v>-1612521.4712840044</v>
      </c>
      <c r="O31" s="387">
        <f t="shared" si="5"/>
        <v>-1601683.7472903265</v>
      </c>
      <c r="P31" s="387">
        <f t="shared" si="5"/>
        <v>-1590520.8915768382</v>
      </c>
    </row>
    <row r="32" spans="1:16" x14ac:dyDescent="0.25">
      <c r="C32" s="1" t="s">
        <v>1643</v>
      </c>
      <c r="D32" s="383">
        <f>D21/D29*100</f>
        <v>13469387.755102042</v>
      </c>
      <c r="E32" s="6"/>
    </row>
    <row r="33" spans="3:16" x14ac:dyDescent="0.25">
      <c r="D33" s="487"/>
      <c r="N33" s="487"/>
      <c r="O33" s="487"/>
    </row>
    <row r="34" spans="3:16" x14ac:dyDescent="0.25">
      <c r="F34" s="393"/>
    </row>
    <row r="36" spans="3:16" x14ac:dyDescent="0.25">
      <c r="C36" s="278" t="s">
        <v>1642</v>
      </c>
      <c r="E36" s="8"/>
      <c r="F36" s="377">
        <v>0</v>
      </c>
      <c r="G36" s="377">
        <v>1</v>
      </c>
      <c r="H36" s="377">
        <v>2</v>
      </c>
      <c r="I36" s="377">
        <v>3</v>
      </c>
      <c r="J36" s="377">
        <v>4</v>
      </c>
      <c r="K36" s="377">
        <v>5</v>
      </c>
      <c r="L36" s="377">
        <v>6</v>
      </c>
      <c r="M36" s="377">
        <v>7</v>
      </c>
      <c r="N36" s="377">
        <v>8</v>
      </c>
      <c r="O36" s="377">
        <v>9</v>
      </c>
      <c r="P36" s="377">
        <v>10</v>
      </c>
    </row>
    <row r="37" spans="3:16" x14ac:dyDescent="0.25">
      <c r="C37" s="8" t="s">
        <v>1104</v>
      </c>
      <c r="D37" s="8">
        <v>10</v>
      </c>
      <c r="E37" s="8" t="s">
        <v>1641</v>
      </c>
      <c r="F37" s="386">
        <f>-D42</f>
        <v>-14010416.666666666</v>
      </c>
      <c r="G37" s="386">
        <f t="shared" ref="G37:O37" si="6">F37</f>
        <v>-14010416.666666666</v>
      </c>
      <c r="H37" s="386">
        <f t="shared" si="6"/>
        <v>-14010416.666666666</v>
      </c>
      <c r="I37" s="386">
        <f t="shared" si="6"/>
        <v>-14010416.666666666</v>
      </c>
      <c r="J37" s="386">
        <f t="shared" si="6"/>
        <v>-14010416.666666666</v>
      </c>
      <c r="K37" s="386">
        <f t="shared" si="6"/>
        <v>-14010416.666666666</v>
      </c>
      <c r="L37" s="386">
        <f t="shared" si="6"/>
        <v>-14010416.666666666</v>
      </c>
      <c r="M37" s="386">
        <f t="shared" si="6"/>
        <v>-14010416.666666666</v>
      </c>
      <c r="N37" s="386">
        <f t="shared" si="6"/>
        <v>-14010416.666666666</v>
      </c>
      <c r="O37" s="386">
        <f t="shared" si="6"/>
        <v>-14010416.666666666</v>
      </c>
      <c r="P37" s="386">
        <v>0</v>
      </c>
    </row>
    <row r="38" spans="3:16" x14ac:dyDescent="0.25">
      <c r="C38" s="9" t="s">
        <v>1640</v>
      </c>
      <c r="D38" s="9">
        <v>1</v>
      </c>
      <c r="E38" s="9" t="s">
        <v>1639</v>
      </c>
      <c r="F38" s="386">
        <v>0</v>
      </c>
      <c r="G38" s="386">
        <f t="shared" ref="G38:P38" si="7">-F37*$D$39</f>
        <v>700520.83333333337</v>
      </c>
      <c r="H38" s="386">
        <f t="shared" si="7"/>
        <v>700520.83333333337</v>
      </c>
      <c r="I38" s="386">
        <f t="shared" si="7"/>
        <v>700520.83333333337</v>
      </c>
      <c r="J38" s="386">
        <f t="shared" si="7"/>
        <v>700520.83333333337</v>
      </c>
      <c r="K38" s="386">
        <f t="shared" si="7"/>
        <v>700520.83333333337</v>
      </c>
      <c r="L38" s="386">
        <f t="shared" si="7"/>
        <v>700520.83333333337</v>
      </c>
      <c r="M38" s="386">
        <f t="shared" si="7"/>
        <v>700520.83333333337</v>
      </c>
      <c r="N38" s="386">
        <f t="shared" si="7"/>
        <v>700520.83333333337</v>
      </c>
      <c r="O38" s="386">
        <f t="shared" si="7"/>
        <v>700520.83333333337</v>
      </c>
      <c r="P38" s="386">
        <f t="shared" si="7"/>
        <v>700520.83333333337</v>
      </c>
    </row>
    <row r="39" spans="3:16" x14ac:dyDescent="0.25">
      <c r="C39" s="9" t="s">
        <v>1638</v>
      </c>
      <c r="D39" s="491">
        <v>0.05</v>
      </c>
      <c r="E39" s="9" t="s">
        <v>1637</v>
      </c>
      <c r="F39" s="386">
        <v>0</v>
      </c>
      <c r="G39" s="386">
        <f t="shared" ref="G39:O39" si="8">F39</f>
        <v>0</v>
      </c>
      <c r="H39" s="386">
        <f t="shared" si="8"/>
        <v>0</v>
      </c>
      <c r="I39" s="386">
        <f t="shared" si="8"/>
        <v>0</v>
      </c>
      <c r="J39" s="386">
        <f t="shared" si="8"/>
        <v>0</v>
      </c>
      <c r="K39" s="386">
        <f t="shared" si="8"/>
        <v>0</v>
      </c>
      <c r="L39" s="386">
        <f t="shared" si="8"/>
        <v>0</v>
      </c>
      <c r="M39" s="386">
        <f t="shared" si="8"/>
        <v>0</v>
      </c>
      <c r="N39" s="386">
        <f t="shared" si="8"/>
        <v>0</v>
      </c>
      <c r="O39" s="386">
        <f t="shared" si="8"/>
        <v>0</v>
      </c>
      <c r="P39" s="386">
        <f>-F37</f>
        <v>14010416.666666666</v>
      </c>
    </row>
    <row r="40" spans="3:16" x14ac:dyDescent="0.25">
      <c r="C40" s="9" t="s">
        <v>1636</v>
      </c>
      <c r="D40" s="9">
        <v>96</v>
      </c>
      <c r="E40" s="9" t="s">
        <v>1635</v>
      </c>
      <c r="F40" s="386">
        <v>0</v>
      </c>
      <c r="G40" s="386">
        <f t="shared" ref="G40:P40" si="9">SUM(G38:G39)</f>
        <v>700520.83333333337</v>
      </c>
      <c r="H40" s="386">
        <f t="shared" si="9"/>
        <v>700520.83333333337</v>
      </c>
      <c r="I40" s="386">
        <f t="shared" si="9"/>
        <v>700520.83333333337</v>
      </c>
      <c r="J40" s="386">
        <f t="shared" si="9"/>
        <v>700520.83333333337</v>
      </c>
      <c r="K40" s="386">
        <f t="shared" si="9"/>
        <v>700520.83333333337</v>
      </c>
      <c r="L40" s="386">
        <f t="shared" si="9"/>
        <v>700520.83333333337</v>
      </c>
      <c r="M40" s="386">
        <f t="shared" si="9"/>
        <v>700520.83333333337</v>
      </c>
      <c r="N40" s="386">
        <f t="shared" si="9"/>
        <v>700520.83333333337</v>
      </c>
      <c r="O40" s="386">
        <f t="shared" si="9"/>
        <v>700520.83333333337</v>
      </c>
      <c r="P40" s="386">
        <f t="shared" si="9"/>
        <v>14710937.5</v>
      </c>
    </row>
    <row r="41" spans="3:16" x14ac:dyDescent="0.25">
      <c r="C41" s="9" t="s">
        <v>1634</v>
      </c>
      <c r="D41" s="490">
        <v>250000</v>
      </c>
      <c r="E41" s="9" t="s">
        <v>1633</v>
      </c>
      <c r="F41" s="386">
        <v>0</v>
      </c>
      <c r="G41" s="386">
        <f t="shared" ref="G41:P41" si="10">F41</f>
        <v>0</v>
      </c>
      <c r="H41" s="386">
        <f t="shared" si="10"/>
        <v>0</v>
      </c>
      <c r="I41" s="386">
        <f t="shared" si="10"/>
        <v>0</v>
      </c>
      <c r="J41" s="386">
        <f t="shared" si="10"/>
        <v>0</v>
      </c>
      <c r="K41" s="386">
        <f t="shared" si="10"/>
        <v>0</v>
      </c>
      <c r="L41" s="386">
        <f t="shared" si="10"/>
        <v>0</v>
      </c>
      <c r="M41" s="386">
        <f t="shared" si="10"/>
        <v>0</v>
      </c>
      <c r="N41" s="386">
        <f t="shared" si="10"/>
        <v>0</v>
      </c>
      <c r="O41" s="386">
        <f t="shared" si="10"/>
        <v>0</v>
      </c>
      <c r="P41" s="386">
        <f t="shared" si="10"/>
        <v>0</v>
      </c>
    </row>
    <row r="42" spans="3:16" x14ac:dyDescent="0.25">
      <c r="C42" s="489"/>
      <c r="D42" s="488">
        <f>(D21+D41)/D40*100</f>
        <v>14010416.666666666</v>
      </c>
      <c r="E42" s="6" t="s">
        <v>1632</v>
      </c>
      <c r="F42" s="487">
        <f>-D21</f>
        <v>-13200000</v>
      </c>
      <c r="G42" s="486">
        <f t="shared" ref="G42:P42" si="11">SUM(G40:G41)</f>
        <v>700520.83333333337</v>
      </c>
      <c r="H42" s="486">
        <f t="shared" si="11"/>
        <v>700520.83333333337</v>
      </c>
      <c r="I42" s="486">
        <f t="shared" si="11"/>
        <v>700520.83333333337</v>
      </c>
      <c r="J42" s="486">
        <f t="shared" si="11"/>
        <v>700520.83333333337</v>
      </c>
      <c r="K42" s="486">
        <f t="shared" si="11"/>
        <v>700520.83333333337</v>
      </c>
      <c r="L42" s="486">
        <f t="shared" si="11"/>
        <v>700520.83333333337</v>
      </c>
      <c r="M42" s="486">
        <f t="shared" si="11"/>
        <v>700520.83333333337</v>
      </c>
      <c r="N42" s="486">
        <f t="shared" si="11"/>
        <v>700520.83333333337</v>
      </c>
      <c r="O42" s="486">
        <f t="shared" si="11"/>
        <v>700520.83333333337</v>
      </c>
      <c r="P42" s="486">
        <f t="shared" si="11"/>
        <v>14710937.5</v>
      </c>
    </row>
    <row r="45" spans="3:16" x14ac:dyDescent="0.25">
      <c r="F45" s="393"/>
    </row>
    <row r="46" spans="3:16" x14ac:dyDescent="0.25">
      <c r="E46" s="2" t="s">
        <v>1465</v>
      </c>
      <c r="F46" s="393">
        <f>IRR(F42:P42)</f>
        <v>5.7776548210535683E-2</v>
      </c>
      <c r="G46" s="393"/>
    </row>
    <row r="47" spans="3:16" x14ac:dyDescent="0.25">
      <c r="E47" s="2" t="s">
        <v>1706</v>
      </c>
      <c r="F47" s="376">
        <f>+(1+F46)^2-1</f>
        <v>0.11889122594419566</v>
      </c>
    </row>
    <row r="50" spans="1:3" x14ac:dyDescent="0.25">
      <c r="A50" s="1" t="s">
        <v>3210</v>
      </c>
    </row>
    <row r="51" spans="1:3" x14ac:dyDescent="0.25">
      <c r="A51" s="1" t="s">
        <v>3208</v>
      </c>
    </row>
    <row r="52" spans="1:3" x14ac:dyDescent="0.25">
      <c r="A52" s="1" t="s">
        <v>3209</v>
      </c>
    </row>
    <row r="54" spans="1:3" x14ac:dyDescent="0.25">
      <c r="B54" s="1" t="s">
        <v>3211</v>
      </c>
    </row>
    <row r="55" spans="1:3" x14ac:dyDescent="0.25">
      <c r="B55" s="1" t="s">
        <v>3212</v>
      </c>
    </row>
    <row r="56" spans="1:3" x14ac:dyDescent="0.25">
      <c r="B56" t="s">
        <v>3220</v>
      </c>
    </row>
    <row r="58" spans="1:3" x14ac:dyDescent="0.25">
      <c r="B58" s="1" t="s">
        <v>1104</v>
      </c>
      <c r="C58" s="1">
        <v>10</v>
      </c>
    </row>
    <row r="59" spans="1:3" x14ac:dyDescent="0.25">
      <c r="B59" s="1" t="s">
        <v>3217</v>
      </c>
      <c r="C59" s="1">
        <v>1</v>
      </c>
    </row>
    <row r="60" spans="1:3" x14ac:dyDescent="0.25">
      <c r="B60" s="1" t="s">
        <v>3216</v>
      </c>
      <c r="C60" s="393">
        <v>0.03</v>
      </c>
    </row>
    <row r="61" spans="1:3" x14ac:dyDescent="0.25">
      <c r="B61" s="1" t="s">
        <v>3215</v>
      </c>
      <c r="C61" s="1">
        <v>99</v>
      </c>
    </row>
    <row r="62" spans="1:3" x14ac:dyDescent="0.25">
      <c r="B62" s="1" t="s">
        <v>3219</v>
      </c>
      <c r="C62" s="927">
        <f>1660+(0.015*C65)</f>
        <v>106460.54236452442</v>
      </c>
    </row>
    <row r="63" spans="1:3" x14ac:dyDescent="0.25">
      <c r="B63" s="1" t="s">
        <v>3213</v>
      </c>
      <c r="C63" s="927">
        <f>((C65*C61)/100)*0.0015</f>
        <v>10375.253694087918</v>
      </c>
    </row>
    <row r="64" spans="1:3" x14ac:dyDescent="0.25">
      <c r="B64" s="1" t="s">
        <v>3214</v>
      </c>
      <c r="C64" s="1">
        <v>6800000</v>
      </c>
    </row>
    <row r="65" spans="2:3" x14ac:dyDescent="0.25">
      <c r="B65" s="1" t="s">
        <v>3218</v>
      </c>
      <c r="C65" s="927">
        <f>B72</f>
        <v>6986702.8243016284</v>
      </c>
    </row>
    <row r="66" spans="2:3" x14ac:dyDescent="0.25">
      <c r="B66" s="1" t="s">
        <v>3224</v>
      </c>
      <c r="C66" s="927">
        <f>C65-C64-C62-C63</f>
        <v>69867.028243016059</v>
      </c>
    </row>
    <row r="67" spans="2:3" x14ac:dyDescent="0.25">
      <c r="B67" s="1" t="s">
        <v>1660</v>
      </c>
      <c r="C67" s="927">
        <f>C65-C66-C63-C62</f>
        <v>6799999.9999999991</v>
      </c>
    </row>
    <row r="69" spans="2:3" x14ac:dyDescent="0.25">
      <c r="B69" s="1" t="s">
        <v>3221</v>
      </c>
    </row>
    <row r="70" spans="2:3" x14ac:dyDescent="0.25">
      <c r="B70" s="1" t="s">
        <v>3222</v>
      </c>
    </row>
    <row r="71" spans="2:3" x14ac:dyDescent="0.25">
      <c r="B71" s="1" t="s">
        <v>3223</v>
      </c>
    </row>
    <row r="72" spans="2:3" x14ac:dyDescent="0.25">
      <c r="B72" s="927">
        <f>(C64+1660)/((C61/100)*(1-0.0015)-0.015)</f>
        <v>6986702.8243016284</v>
      </c>
    </row>
    <row r="74" spans="2:3" x14ac:dyDescent="0.25">
      <c r="B74" s="1" t="s">
        <v>3225</v>
      </c>
    </row>
    <row r="75" spans="2:3" x14ac:dyDescent="0.25">
      <c r="B75" s="1" t="s">
        <v>3226</v>
      </c>
    </row>
    <row r="77" spans="2:3" x14ac:dyDescent="0.25">
      <c r="B77" s="1" t="s">
        <v>1104</v>
      </c>
      <c r="C77" s="1">
        <v>10</v>
      </c>
    </row>
    <row r="78" spans="2:3" x14ac:dyDescent="0.25">
      <c r="B78" s="1" t="s">
        <v>3217</v>
      </c>
      <c r="C78" s="1">
        <v>1</v>
      </c>
    </row>
    <row r="79" spans="2:3" x14ac:dyDescent="0.25">
      <c r="B79" s="1" t="s">
        <v>3216</v>
      </c>
      <c r="C79" s="393">
        <v>0.02</v>
      </c>
    </row>
    <row r="80" spans="2:3" x14ac:dyDescent="0.25">
      <c r="B80" s="1" t="s">
        <v>3215</v>
      </c>
      <c r="C80" s="1">
        <v>95</v>
      </c>
    </row>
    <row r="81" spans="1:7" x14ac:dyDescent="0.25">
      <c r="B81" s="1" t="s">
        <v>3219</v>
      </c>
      <c r="C81" s="927">
        <f>1660+(0.015*C84)</f>
        <v>110944.0960822644</v>
      </c>
    </row>
    <row r="82" spans="1:7" x14ac:dyDescent="0.25">
      <c r="B82" s="1" t="s">
        <v>3213</v>
      </c>
      <c r="C82" s="927">
        <f>((C84*C80)/100)*0.0015</f>
        <v>10381.989127815119</v>
      </c>
    </row>
    <row r="83" spans="1:7" x14ac:dyDescent="0.25">
      <c r="B83" s="1" t="s">
        <v>3214</v>
      </c>
      <c r="C83" s="1">
        <v>6800000</v>
      </c>
    </row>
    <row r="84" spans="1:7" x14ac:dyDescent="0.25">
      <c r="B84" s="1" t="s">
        <v>3218</v>
      </c>
      <c r="C84" s="927">
        <f>(C83+1660)/((C80/100)*(1-0.0015)-0.015)</f>
        <v>7285606.4054842936</v>
      </c>
    </row>
    <row r="85" spans="1:7" x14ac:dyDescent="0.25">
      <c r="B85" s="1" t="s">
        <v>3224</v>
      </c>
      <c r="C85" s="927">
        <f>C84-C83-C81-C82</f>
        <v>364280.32027421409</v>
      </c>
    </row>
    <row r="86" spans="1:7" x14ac:dyDescent="0.25">
      <c r="B86" s="1" t="s">
        <v>1660</v>
      </c>
      <c r="C86" s="927">
        <f>C84-C85-C82-C81</f>
        <v>6800000</v>
      </c>
    </row>
    <row r="87" spans="1:7" x14ac:dyDescent="0.25">
      <c r="A87" s="1" t="s">
        <v>3227</v>
      </c>
    </row>
    <row r="88" spans="1:7" x14ac:dyDescent="0.25">
      <c r="A88" s="1" t="s">
        <v>3228</v>
      </c>
    </row>
    <row r="89" spans="1:7" x14ac:dyDescent="0.25">
      <c r="A89" s="1" t="s">
        <v>3229</v>
      </c>
    </row>
    <row r="90" spans="1:7" x14ac:dyDescent="0.25">
      <c r="A90" s="1" t="s">
        <v>3230</v>
      </c>
    </row>
    <row r="91" spans="1:7" x14ac:dyDescent="0.25">
      <c r="A91" s="1" t="s">
        <v>3231</v>
      </c>
    </row>
    <row r="94" spans="1:7" x14ac:dyDescent="0.25">
      <c r="B94" s="1" t="s">
        <v>3211</v>
      </c>
    </row>
    <row r="95" spans="1:7" x14ac:dyDescent="0.25">
      <c r="B95" s="1" t="s">
        <v>1202</v>
      </c>
      <c r="C95" s="1" t="s">
        <v>3232</v>
      </c>
      <c r="D95" s="1" t="s">
        <v>1363</v>
      </c>
      <c r="E95" s="1" t="s">
        <v>1388</v>
      </c>
      <c r="F95" s="1" t="s">
        <v>1390</v>
      </c>
      <c r="G95" s="1" t="s">
        <v>1869</v>
      </c>
    </row>
    <row r="96" spans="1:7" x14ac:dyDescent="0.25">
      <c r="B96" s="1">
        <v>1</v>
      </c>
      <c r="C96" s="927">
        <f>C65</f>
        <v>6986702.8243016284</v>
      </c>
      <c r="D96" s="927">
        <f>C96*C$60</f>
        <v>209601.08472904883</v>
      </c>
      <c r="E96" s="927">
        <f>F96-D96</f>
        <v>609453.6268635306</v>
      </c>
      <c r="F96" s="927">
        <f>C$65*(C$60/(1-(1+C$60)^-C$58))</f>
        <v>819054.71159257938</v>
      </c>
      <c r="G96" s="927">
        <f>C96-E96</f>
        <v>6377249.1974380976</v>
      </c>
    </row>
    <row r="97" spans="2:7" x14ac:dyDescent="0.25">
      <c r="B97" s="1">
        <v>2</v>
      </c>
      <c r="C97" s="927">
        <f>G96</f>
        <v>6377249.1974380976</v>
      </c>
      <c r="D97" s="927">
        <f t="shared" ref="D97:D105" si="12">C97*C$60</f>
        <v>191317.47592314292</v>
      </c>
      <c r="E97" s="927">
        <f t="shared" ref="E97:E105" si="13">F97-D97</f>
        <v>627737.2356694364</v>
      </c>
      <c r="F97" s="927">
        <f t="shared" ref="F97:F105" si="14">C$65*(C$60/(1-(1+C$60)^-C$58))</f>
        <v>819054.71159257938</v>
      </c>
      <c r="G97" s="927">
        <f t="shared" ref="G97:G105" si="15">C97-E97</f>
        <v>5749511.9617686607</v>
      </c>
    </row>
    <row r="98" spans="2:7" x14ac:dyDescent="0.25">
      <c r="B98" s="1">
        <v>3</v>
      </c>
      <c r="C98" s="927">
        <f t="shared" ref="C98:C105" si="16">G97</f>
        <v>5749511.9617686607</v>
      </c>
      <c r="D98" s="927">
        <f t="shared" si="12"/>
        <v>172485.35885305982</v>
      </c>
      <c r="E98" s="927">
        <f t="shared" si="13"/>
        <v>646569.35273951956</v>
      </c>
      <c r="F98" s="927">
        <f t="shared" si="14"/>
        <v>819054.71159257938</v>
      </c>
      <c r="G98" s="927">
        <f t="shared" si="15"/>
        <v>5102942.6090291413</v>
      </c>
    </row>
    <row r="99" spans="2:7" x14ac:dyDescent="0.25">
      <c r="B99" s="1">
        <v>4</v>
      </c>
      <c r="C99" s="927">
        <f t="shared" si="16"/>
        <v>5102942.6090291413</v>
      </c>
      <c r="D99" s="927">
        <f t="shared" si="12"/>
        <v>153088.27827087423</v>
      </c>
      <c r="E99" s="927">
        <f t="shared" si="13"/>
        <v>665966.43332170509</v>
      </c>
      <c r="F99" s="927">
        <f t="shared" si="14"/>
        <v>819054.71159257938</v>
      </c>
      <c r="G99" s="927">
        <f t="shared" si="15"/>
        <v>4436976.1757074362</v>
      </c>
    </row>
    <row r="100" spans="2:7" x14ac:dyDescent="0.25">
      <c r="B100" s="1">
        <v>5</v>
      </c>
      <c r="C100" s="927">
        <f t="shared" si="16"/>
        <v>4436976.1757074362</v>
      </c>
      <c r="D100" s="927">
        <f t="shared" si="12"/>
        <v>133109.28527122308</v>
      </c>
      <c r="E100" s="927">
        <f t="shared" si="13"/>
        <v>685945.42632135632</v>
      </c>
      <c r="F100" s="927">
        <f t="shared" si="14"/>
        <v>819054.71159257938</v>
      </c>
      <c r="G100" s="927">
        <f t="shared" si="15"/>
        <v>3751030.7493860796</v>
      </c>
    </row>
    <row r="101" spans="2:7" x14ac:dyDescent="0.25">
      <c r="B101" s="1">
        <v>6</v>
      </c>
      <c r="C101" s="927">
        <f t="shared" si="16"/>
        <v>3751030.7493860796</v>
      </c>
      <c r="D101" s="927">
        <f t="shared" si="12"/>
        <v>112530.92248158238</v>
      </c>
      <c r="E101" s="927">
        <f t="shared" si="13"/>
        <v>706523.78911099699</v>
      </c>
      <c r="F101" s="927">
        <f t="shared" si="14"/>
        <v>819054.71159257938</v>
      </c>
      <c r="G101" s="927">
        <f t="shared" si="15"/>
        <v>3044506.9602750828</v>
      </c>
    </row>
    <row r="102" spans="2:7" x14ac:dyDescent="0.25">
      <c r="B102" s="1">
        <v>7</v>
      </c>
      <c r="C102" s="927">
        <f t="shared" si="16"/>
        <v>3044506.9602750828</v>
      </c>
      <c r="D102" s="927">
        <f t="shared" si="12"/>
        <v>91335.208808252486</v>
      </c>
      <c r="E102" s="927">
        <f t="shared" si="13"/>
        <v>727719.50278432691</v>
      </c>
      <c r="F102" s="927">
        <f t="shared" si="14"/>
        <v>819054.71159257938</v>
      </c>
      <c r="G102" s="927">
        <f t="shared" si="15"/>
        <v>2316787.4574907562</v>
      </c>
    </row>
    <row r="103" spans="2:7" x14ac:dyDescent="0.25">
      <c r="B103" s="1">
        <v>8</v>
      </c>
      <c r="C103" s="927">
        <f t="shared" si="16"/>
        <v>2316787.4574907562</v>
      </c>
      <c r="D103" s="927">
        <f t="shared" si="12"/>
        <v>69503.623724722682</v>
      </c>
      <c r="E103" s="927">
        <f t="shared" si="13"/>
        <v>749551.08786785672</v>
      </c>
      <c r="F103" s="927">
        <f t="shared" si="14"/>
        <v>819054.71159257938</v>
      </c>
      <c r="G103" s="927">
        <f t="shared" si="15"/>
        <v>1567236.3696228995</v>
      </c>
    </row>
    <row r="104" spans="2:7" x14ac:dyDescent="0.25">
      <c r="B104" s="1">
        <v>9</v>
      </c>
      <c r="C104" s="927">
        <f t="shared" si="16"/>
        <v>1567236.3696228995</v>
      </c>
      <c r="D104" s="927">
        <f t="shared" si="12"/>
        <v>47017.091088686982</v>
      </c>
      <c r="E104" s="927">
        <f t="shared" si="13"/>
        <v>772037.62050389242</v>
      </c>
      <c r="F104" s="927">
        <f t="shared" si="14"/>
        <v>819054.71159257938</v>
      </c>
      <c r="G104" s="927">
        <f t="shared" si="15"/>
        <v>795198.74911900703</v>
      </c>
    </row>
    <row r="105" spans="2:7" x14ac:dyDescent="0.25">
      <c r="B105" s="1">
        <v>10</v>
      </c>
      <c r="C105" s="927">
        <f t="shared" si="16"/>
        <v>795198.74911900703</v>
      </c>
      <c r="D105" s="927">
        <f t="shared" si="12"/>
        <v>23855.962473570209</v>
      </c>
      <c r="E105" s="927">
        <f t="shared" si="13"/>
        <v>795198.74911900912</v>
      </c>
      <c r="F105" s="927">
        <f t="shared" si="14"/>
        <v>819054.71159257938</v>
      </c>
      <c r="G105" s="927">
        <f t="shared" si="15"/>
        <v>-2.0954757928848267E-9</v>
      </c>
    </row>
    <row r="107" spans="2:7" x14ac:dyDescent="0.25">
      <c r="B107" s="1" t="s">
        <v>3225</v>
      </c>
    </row>
    <row r="108" spans="2:7" x14ac:dyDescent="0.25">
      <c r="B108" s="1" t="s">
        <v>1202</v>
      </c>
      <c r="C108" s="1" t="s">
        <v>3232</v>
      </c>
      <c r="D108" s="1" t="s">
        <v>1363</v>
      </c>
      <c r="E108" s="1" t="s">
        <v>1388</v>
      </c>
      <c r="F108" s="1" t="s">
        <v>1390</v>
      </c>
      <c r="G108" s="1" t="s">
        <v>1869</v>
      </c>
    </row>
    <row r="109" spans="2:7" x14ac:dyDescent="0.25">
      <c r="B109" s="1">
        <v>1</v>
      </c>
      <c r="C109" s="927">
        <f>C84</f>
        <v>7285606.4054842936</v>
      </c>
      <c r="D109" s="927">
        <f>C109*C$79</f>
        <v>145712.12810968587</v>
      </c>
      <c r="E109" s="927">
        <f>F109-D109</f>
        <v>665369.13640618965</v>
      </c>
      <c r="F109" s="927">
        <f>C$84*(C$79/(1-(1+C$79)^-C$77))</f>
        <v>811081.26451587549</v>
      </c>
      <c r="G109" s="927">
        <f>C109-E109</f>
        <v>6620237.2690781038</v>
      </c>
    </row>
    <row r="110" spans="2:7" x14ac:dyDescent="0.25">
      <c r="B110" s="1">
        <v>2</v>
      </c>
      <c r="C110" s="927">
        <f>G109</f>
        <v>6620237.2690781038</v>
      </c>
      <c r="D110" s="927">
        <f t="shared" ref="D110:D118" si="17">C110*C$79</f>
        <v>132404.74538156207</v>
      </c>
      <c r="E110" s="927">
        <f t="shared" ref="E110:E118" si="18">F110-D110</f>
        <v>678676.51913431345</v>
      </c>
      <c r="F110" s="927">
        <f t="shared" ref="F110:F118" si="19">C$84*(C$79/(1-(1+C$79)^-C$77))</f>
        <v>811081.26451587549</v>
      </c>
      <c r="G110" s="927">
        <f t="shared" ref="G110:G118" si="20">C110-E110</f>
        <v>5941560.74994379</v>
      </c>
    </row>
    <row r="111" spans="2:7" x14ac:dyDescent="0.25">
      <c r="B111" s="1">
        <v>3</v>
      </c>
      <c r="C111" s="927">
        <f t="shared" ref="C111:C118" si="21">G110</f>
        <v>5941560.74994379</v>
      </c>
      <c r="D111" s="927">
        <f t="shared" si="17"/>
        <v>118831.2149988758</v>
      </c>
      <c r="E111" s="927">
        <f t="shared" si="18"/>
        <v>692250.04951699963</v>
      </c>
      <c r="F111" s="927">
        <f t="shared" si="19"/>
        <v>811081.26451587549</v>
      </c>
      <c r="G111" s="927">
        <f t="shared" si="20"/>
        <v>5249310.7004267909</v>
      </c>
    </row>
    <row r="112" spans="2:7" x14ac:dyDescent="0.25">
      <c r="B112" s="1">
        <v>4</v>
      </c>
      <c r="C112" s="927">
        <f t="shared" si="21"/>
        <v>5249310.7004267909</v>
      </c>
      <c r="D112" s="927">
        <f t="shared" si="17"/>
        <v>104986.21400853583</v>
      </c>
      <c r="E112" s="927">
        <f t="shared" si="18"/>
        <v>706095.05050733965</v>
      </c>
      <c r="F112" s="927">
        <f t="shared" si="19"/>
        <v>811081.26451587549</v>
      </c>
      <c r="G112" s="927">
        <f t="shared" si="20"/>
        <v>4543215.6499194512</v>
      </c>
    </row>
    <row r="113" spans="2:7" x14ac:dyDescent="0.25">
      <c r="B113" s="1">
        <v>5</v>
      </c>
      <c r="C113" s="927">
        <f t="shared" si="21"/>
        <v>4543215.6499194512</v>
      </c>
      <c r="D113" s="927">
        <f t="shared" si="17"/>
        <v>90864.312998389025</v>
      </c>
      <c r="E113" s="927">
        <f t="shared" si="18"/>
        <v>720216.95151748648</v>
      </c>
      <c r="F113" s="927">
        <f t="shared" si="19"/>
        <v>811081.26451587549</v>
      </c>
      <c r="G113" s="927">
        <f t="shared" si="20"/>
        <v>3822998.6984019647</v>
      </c>
    </row>
    <row r="114" spans="2:7" x14ac:dyDescent="0.25">
      <c r="B114" s="1">
        <v>6</v>
      </c>
      <c r="C114" s="927">
        <f t="shared" si="21"/>
        <v>3822998.6984019647</v>
      </c>
      <c r="D114" s="927">
        <f t="shared" si="17"/>
        <v>76459.973968039296</v>
      </c>
      <c r="E114" s="927">
        <f t="shared" si="18"/>
        <v>734621.29054783622</v>
      </c>
      <c r="F114" s="927">
        <f t="shared" si="19"/>
        <v>811081.26451587549</v>
      </c>
      <c r="G114" s="927">
        <f t="shared" si="20"/>
        <v>3088377.4078541286</v>
      </c>
    </row>
    <row r="115" spans="2:7" x14ac:dyDescent="0.25">
      <c r="B115" s="1">
        <v>7</v>
      </c>
      <c r="C115" s="927">
        <f t="shared" si="21"/>
        <v>3088377.4078541286</v>
      </c>
      <c r="D115" s="927">
        <f t="shared" si="17"/>
        <v>61767.548157082572</v>
      </c>
      <c r="E115" s="927">
        <f t="shared" si="18"/>
        <v>749313.71635879297</v>
      </c>
      <c r="F115" s="927">
        <f t="shared" si="19"/>
        <v>811081.26451587549</v>
      </c>
      <c r="G115" s="927">
        <f t="shared" si="20"/>
        <v>2339063.6914953357</v>
      </c>
    </row>
    <row r="116" spans="2:7" x14ac:dyDescent="0.25">
      <c r="B116" s="1">
        <v>8</v>
      </c>
      <c r="C116" s="927">
        <f t="shared" si="21"/>
        <v>2339063.6914953357</v>
      </c>
      <c r="D116" s="927">
        <f t="shared" si="17"/>
        <v>46781.273829906713</v>
      </c>
      <c r="E116" s="927">
        <f t="shared" si="18"/>
        <v>764299.99068596878</v>
      </c>
      <c r="F116" s="927">
        <f t="shared" si="19"/>
        <v>811081.26451587549</v>
      </c>
      <c r="G116" s="927">
        <f t="shared" si="20"/>
        <v>1574763.700809367</v>
      </c>
    </row>
    <row r="117" spans="2:7" x14ac:dyDescent="0.25">
      <c r="B117" s="1">
        <v>9</v>
      </c>
      <c r="C117" s="927">
        <f t="shared" si="21"/>
        <v>1574763.700809367</v>
      </c>
      <c r="D117" s="927">
        <f t="shared" si="17"/>
        <v>31495.274016187341</v>
      </c>
      <c r="E117" s="927">
        <f t="shared" si="18"/>
        <v>779585.9904996882</v>
      </c>
      <c r="F117" s="927">
        <f t="shared" si="19"/>
        <v>811081.26451587549</v>
      </c>
      <c r="G117" s="927">
        <f t="shared" si="20"/>
        <v>795177.71030967881</v>
      </c>
    </row>
    <row r="118" spans="2:7" x14ac:dyDescent="0.25">
      <c r="B118" s="1">
        <v>10</v>
      </c>
      <c r="C118" s="927">
        <f t="shared" si="21"/>
        <v>795177.71030967881</v>
      </c>
      <c r="D118" s="927">
        <f t="shared" si="17"/>
        <v>15903.554206193576</v>
      </c>
      <c r="E118" s="927">
        <f t="shared" si="18"/>
        <v>795177.71030968195</v>
      </c>
      <c r="F118" s="927">
        <f t="shared" si="19"/>
        <v>811081.26451587549</v>
      </c>
      <c r="G118" s="927">
        <f t="shared" si="20"/>
        <v>-3.14321368932724E-9</v>
      </c>
    </row>
  </sheetData>
  <hyperlinks>
    <hyperlink ref="E3" location="Finansieringsteori!A1" display="Finansieringsteori!A1" xr:uid="{00000000-0004-0000-2C00-000000000000}"/>
  </hyperlinks>
  <pageMargins left="0.75" right="0.75" top="1" bottom="1" header="0.5" footer="0.5"/>
  <pageSetup paperSize="9" orientation="portrait" horizontalDpi="4294967292" verticalDpi="4294967292"/>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B050"/>
  </sheetPr>
  <dimension ref="D4"/>
  <sheetViews>
    <sheetView workbookViewId="0">
      <selection activeCell="D4" sqref="D4"/>
    </sheetView>
  </sheetViews>
  <sheetFormatPr defaultColWidth="10.875" defaultRowHeight="15.75" x14ac:dyDescent="0.25"/>
  <cols>
    <col min="1" max="16384" width="10.875" style="1"/>
  </cols>
  <sheetData>
    <row r="4" spans="4:4" x14ac:dyDescent="0.25">
      <c r="D4" s="101" t="s">
        <v>1612</v>
      </c>
    </row>
  </sheetData>
  <hyperlinks>
    <hyperlink ref="D4" location="Finansieringsteori!A1" display="Finansieringsteori!A1" xr:uid="{00000000-0004-0000-2D00-000000000000}"/>
  </hyperlinks>
  <pageMargins left="0.75" right="0.75" top="1" bottom="1" header="0.5" footer="0.5"/>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B050"/>
  </sheetPr>
  <dimension ref="A2:Q107"/>
  <sheetViews>
    <sheetView topLeftCell="C76" zoomScale="80" zoomScaleNormal="80" zoomScalePageLayoutView="80" workbookViewId="0">
      <selection activeCell="H114" sqref="H114"/>
    </sheetView>
  </sheetViews>
  <sheetFormatPr defaultColWidth="10.875" defaultRowHeight="15.75" x14ac:dyDescent="0.25"/>
  <cols>
    <col min="1" max="1" width="27.625" style="1" customWidth="1"/>
    <col min="2" max="2" width="30.375" style="1" customWidth="1"/>
    <col min="3" max="3" width="20.5" style="1" customWidth="1"/>
    <col min="4" max="4" width="23.5" style="1" customWidth="1"/>
    <col min="5" max="5" width="13.625" style="1" bestFit="1" customWidth="1"/>
    <col min="6" max="6" width="15.125" style="1" bestFit="1" customWidth="1"/>
    <col min="7" max="7" width="18.375" style="1" customWidth="1"/>
    <col min="8" max="8" width="20.625" style="1" customWidth="1"/>
    <col min="9" max="9" width="10.875" style="11" bestFit="1" customWidth="1"/>
    <col min="10" max="10" width="19.125" style="1" customWidth="1"/>
    <col min="11" max="16384" width="10.875" style="1"/>
  </cols>
  <sheetData>
    <row r="2" spans="8:17" x14ac:dyDescent="0.25">
      <c r="H2" s="101" t="s">
        <v>1612</v>
      </c>
    </row>
    <row r="4" spans="8:17" x14ac:dyDescent="0.25">
      <c r="J4" s="425" t="s">
        <v>1723</v>
      </c>
      <c r="K4" s="36"/>
      <c r="L4" s="172"/>
      <c r="M4" s="36"/>
      <c r="N4" s="36"/>
      <c r="O4" s="36"/>
      <c r="P4" s="36"/>
      <c r="Q4" s="36"/>
    </row>
    <row r="5" spans="8:17" x14ac:dyDescent="0.25">
      <c r="J5" s="18" t="s">
        <v>1722</v>
      </c>
      <c r="K5" s="16"/>
      <c r="L5" s="504"/>
      <c r="M5" s="16"/>
      <c r="N5" s="16"/>
      <c r="O5" s="16"/>
      <c r="P5" s="16"/>
      <c r="Q5" s="16"/>
    </row>
    <row r="6" spans="8:17" x14ac:dyDescent="0.25">
      <c r="J6" s="18" t="s">
        <v>1721</v>
      </c>
      <c r="K6" s="16"/>
      <c r="L6" s="504"/>
      <c r="M6" s="16"/>
      <c r="N6" s="16"/>
      <c r="O6" s="16"/>
      <c r="P6" s="16"/>
      <c r="Q6" s="16"/>
    </row>
    <row r="7" spans="8:17" x14ac:dyDescent="0.25">
      <c r="J7" s="18" t="s">
        <v>1720</v>
      </c>
      <c r="K7" s="16"/>
      <c r="L7" s="504"/>
      <c r="M7" s="16"/>
      <c r="N7" s="16"/>
      <c r="O7" s="16"/>
      <c r="P7" s="16"/>
      <c r="Q7" s="16"/>
    </row>
    <row r="8" spans="8:17" x14ac:dyDescent="0.25">
      <c r="J8" s="18"/>
      <c r="K8" s="16"/>
      <c r="L8" s="504"/>
      <c r="M8" s="16"/>
      <c r="N8" s="16"/>
      <c r="O8" s="16"/>
      <c r="P8" s="16"/>
      <c r="Q8" s="16"/>
    </row>
    <row r="9" spans="8:17" x14ac:dyDescent="0.25">
      <c r="J9" s="16"/>
      <c r="K9" s="16"/>
      <c r="L9" s="504"/>
      <c r="M9" s="16"/>
      <c r="N9" s="16"/>
      <c r="O9" s="16"/>
      <c r="P9" s="16"/>
      <c r="Q9" s="16"/>
    </row>
    <row r="10" spans="8:17" x14ac:dyDescent="0.25">
      <c r="J10" s="20" t="s">
        <v>1719</v>
      </c>
      <c r="K10" s="503">
        <v>100</v>
      </c>
      <c r="L10" s="36"/>
      <c r="M10" s="36"/>
      <c r="N10" s="36"/>
      <c r="O10" s="16"/>
      <c r="P10" s="16"/>
      <c r="Q10" s="16"/>
    </row>
    <row r="11" spans="8:17" x14ac:dyDescent="0.25">
      <c r="J11" s="23" t="s">
        <v>1718</v>
      </c>
      <c r="K11" s="207">
        <v>0.05</v>
      </c>
      <c r="L11" s="36"/>
      <c r="M11" s="36"/>
      <c r="N11" s="36"/>
      <c r="O11" s="16"/>
      <c r="P11" s="16"/>
      <c r="Q11" s="16"/>
    </row>
    <row r="12" spans="8:17" x14ac:dyDescent="0.25">
      <c r="J12" s="23" t="s">
        <v>1717</v>
      </c>
      <c r="K12" s="207">
        <v>3</v>
      </c>
      <c r="L12" s="36"/>
      <c r="M12" s="36"/>
      <c r="N12" s="36"/>
      <c r="O12" s="16"/>
      <c r="P12" s="16"/>
      <c r="Q12" s="16"/>
    </row>
    <row r="13" spans="8:17" x14ac:dyDescent="0.25">
      <c r="J13" s="26" t="s">
        <v>1716</v>
      </c>
      <c r="K13" s="209">
        <v>2</v>
      </c>
      <c r="L13" s="36"/>
      <c r="M13" s="36"/>
      <c r="N13" s="36"/>
      <c r="O13" s="16"/>
      <c r="P13" s="16"/>
      <c r="Q13" s="16"/>
    </row>
    <row r="14" spans="8:17" x14ac:dyDescent="0.25">
      <c r="J14" s="36"/>
      <c r="K14" s="36"/>
      <c r="L14" s="36"/>
      <c r="M14" s="36"/>
      <c r="N14" s="36"/>
      <c r="O14" s="16"/>
      <c r="P14" s="16"/>
      <c r="Q14" s="16"/>
    </row>
    <row r="15" spans="8:17" x14ac:dyDescent="0.25">
      <c r="J15" s="36" t="s">
        <v>1715</v>
      </c>
      <c r="K15" s="36"/>
      <c r="L15" s="36"/>
      <c r="M15" s="36"/>
      <c r="N15" s="36"/>
      <c r="O15" s="16"/>
      <c r="P15" s="16"/>
      <c r="Q15" s="16"/>
    </row>
    <row r="16" spans="8:17" x14ac:dyDescent="0.25">
      <c r="J16" s="497" t="s">
        <v>1712</v>
      </c>
      <c r="K16" s="496" t="s">
        <v>1711</v>
      </c>
      <c r="L16" s="496" t="s">
        <v>1710</v>
      </c>
      <c r="M16" s="496" t="s">
        <v>1709</v>
      </c>
      <c r="N16" s="495" t="s">
        <v>1708</v>
      </c>
      <c r="O16" s="16"/>
      <c r="P16" s="16"/>
      <c r="Q16" s="16"/>
    </row>
    <row r="17" spans="1:17" x14ac:dyDescent="0.25">
      <c r="J17" s="20">
        <v>0</v>
      </c>
      <c r="K17" s="64">
        <v>100</v>
      </c>
      <c r="L17" s="64"/>
      <c r="M17" s="64"/>
      <c r="N17" s="503">
        <v>-100</v>
      </c>
      <c r="O17" s="16"/>
      <c r="P17" s="16"/>
      <c r="Q17" s="16"/>
    </row>
    <row r="18" spans="1:17" x14ac:dyDescent="0.25">
      <c r="J18" s="23">
        <v>1</v>
      </c>
      <c r="K18" s="16">
        <f>+K17</f>
        <v>100</v>
      </c>
      <c r="L18" s="16">
        <f t="shared" ref="L18:L23" si="0">+K$11*K$17/2</f>
        <v>2.5</v>
      </c>
      <c r="M18" s="16">
        <v>0</v>
      </c>
      <c r="N18" s="207">
        <f t="shared" ref="N18:N23" si="1">+SUM(L18:M18)</f>
        <v>2.5</v>
      </c>
      <c r="O18" s="16"/>
      <c r="P18" s="19"/>
      <c r="Q18" s="16"/>
    </row>
    <row r="19" spans="1:17" x14ac:dyDescent="0.25">
      <c r="J19" s="23">
        <v>2</v>
      </c>
      <c r="K19" s="16">
        <f>+K18</f>
        <v>100</v>
      </c>
      <c r="L19" s="16">
        <f t="shared" si="0"/>
        <v>2.5</v>
      </c>
      <c r="M19" s="16">
        <v>0</v>
      </c>
      <c r="N19" s="207">
        <f t="shared" si="1"/>
        <v>2.5</v>
      </c>
      <c r="O19" s="19"/>
      <c r="P19" s="19"/>
      <c r="Q19" s="19"/>
    </row>
    <row r="20" spans="1:17" x14ac:dyDescent="0.25">
      <c r="J20" s="23">
        <v>3</v>
      </c>
      <c r="K20" s="16">
        <f>+K19</f>
        <v>100</v>
      </c>
      <c r="L20" s="16">
        <f t="shared" si="0"/>
        <v>2.5</v>
      </c>
      <c r="M20" s="16">
        <v>0</v>
      </c>
      <c r="N20" s="207">
        <f t="shared" si="1"/>
        <v>2.5</v>
      </c>
      <c r="O20" s="16"/>
      <c r="P20" s="169"/>
      <c r="Q20" s="501"/>
    </row>
    <row r="21" spans="1:17" x14ac:dyDescent="0.25">
      <c r="J21" s="23">
        <v>4</v>
      </c>
      <c r="K21" s="16">
        <f>+K20</f>
        <v>100</v>
      </c>
      <c r="L21" s="16">
        <f t="shared" si="0"/>
        <v>2.5</v>
      </c>
      <c r="M21" s="16">
        <v>0</v>
      </c>
      <c r="N21" s="207">
        <f t="shared" si="1"/>
        <v>2.5</v>
      </c>
      <c r="O21" s="169"/>
      <c r="P21" s="169"/>
      <c r="Q21" s="501"/>
    </row>
    <row r="22" spans="1:17" x14ac:dyDescent="0.25">
      <c r="J22" s="23">
        <v>5</v>
      </c>
      <c r="K22" s="16">
        <f>+K21</f>
        <v>100</v>
      </c>
      <c r="L22" s="16">
        <f t="shared" si="0"/>
        <v>2.5</v>
      </c>
      <c r="M22" s="16">
        <v>0</v>
      </c>
      <c r="N22" s="207">
        <f t="shared" si="1"/>
        <v>2.5</v>
      </c>
      <c r="O22" s="169"/>
      <c r="P22" s="169"/>
      <c r="Q22" s="501"/>
    </row>
    <row r="23" spans="1:17" x14ac:dyDescent="0.25">
      <c r="J23" s="26">
        <v>6</v>
      </c>
      <c r="K23" s="208">
        <v>0</v>
      </c>
      <c r="L23" s="208">
        <f t="shared" si="0"/>
        <v>2.5</v>
      </c>
      <c r="M23" s="208">
        <v>100</v>
      </c>
      <c r="N23" s="209">
        <f t="shared" si="1"/>
        <v>102.5</v>
      </c>
      <c r="O23" s="169"/>
      <c r="P23" s="169"/>
      <c r="Q23" s="501"/>
    </row>
    <row r="24" spans="1:17" x14ac:dyDescent="0.25">
      <c r="J24" s="36"/>
      <c r="K24" s="36"/>
      <c r="L24" s="36"/>
      <c r="M24" s="498" t="s">
        <v>1707</v>
      </c>
      <c r="N24" s="59">
        <f>(1+IRR(N17:N23))^2-1</f>
        <v>5.0625000000000364E-2</v>
      </c>
      <c r="O24" s="502">
        <f>+IRR(N17:N23)</f>
        <v>2.5000000000000133E-2</v>
      </c>
      <c r="P24" s="169"/>
      <c r="Q24" s="501"/>
    </row>
    <row r="25" spans="1:17" x14ac:dyDescent="0.25">
      <c r="J25" s="36" t="s">
        <v>1714</v>
      </c>
      <c r="K25" s="36"/>
      <c r="L25" s="36"/>
      <c r="M25" s="36"/>
      <c r="N25" s="36"/>
      <c r="O25" s="169"/>
      <c r="P25" s="169"/>
      <c r="Q25" s="501"/>
    </row>
    <row r="26" spans="1:17" x14ac:dyDescent="0.25">
      <c r="J26" s="497" t="s">
        <v>1712</v>
      </c>
      <c r="K26" s="496" t="s">
        <v>1711</v>
      </c>
      <c r="L26" s="496" t="s">
        <v>1710</v>
      </c>
      <c r="M26" s="496" t="s">
        <v>1709</v>
      </c>
      <c r="N26" s="495" t="s">
        <v>1708</v>
      </c>
      <c r="O26" s="169"/>
      <c r="P26" s="169"/>
      <c r="Q26" s="501"/>
    </row>
    <row r="27" spans="1:17" x14ac:dyDescent="0.25">
      <c r="J27" s="23">
        <v>0</v>
      </c>
      <c r="K27" s="36">
        <v>100</v>
      </c>
      <c r="L27" s="36"/>
      <c r="M27" s="36"/>
      <c r="N27" s="207">
        <v>-100</v>
      </c>
      <c r="O27" s="169"/>
      <c r="P27" s="169"/>
      <c r="Q27" s="501"/>
    </row>
    <row r="28" spans="1:17" x14ac:dyDescent="0.25">
      <c r="J28" s="23">
        <v>1</v>
      </c>
      <c r="K28" s="500">
        <f t="shared" ref="K28:K33" si="2">+K27-M27</f>
        <v>100</v>
      </c>
      <c r="L28" s="500">
        <f t="shared" ref="L28:L33" si="3">+K28*K$11/K$13</f>
        <v>2.5</v>
      </c>
      <c r="M28" s="500">
        <f t="shared" ref="M28:M33" si="4">+K$27/6</f>
        <v>16.666666666666668</v>
      </c>
      <c r="N28" s="499">
        <f t="shared" ref="N28:N33" si="5">+SUM(L28:M28)</f>
        <v>19.166666666666668</v>
      </c>
      <c r="O28" s="169"/>
      <c r="P28" s="169"/>
      <c r="Q28" s="501"/>
    </row>
    <row r="29" spans="1:17" x14ac:dyDescent="0.25">
      <c r="J29" s="23">
        <v>2</v>
      </c>
      <c r="K29" s="500">
        <f t="shared" si="2"/>
        <v>83.333333333333329</v>
      </c>
      <c r="L29" s="500">
        <f t="shared" si="3"/>
        <v>2.0833333333333335</v>
      </c>
      <c r="M29" s="500">
        <f t="shared" si="4"/>
        <v>16.666666666666668</v>
      </c>
      <c r="N29" s="499">
        <f t="shared" si="5"/>
        <v>18.75</v>
      </c>
      <c r="O29" s="169"/>
      <c r="P29" s="169"/>
      <c r="Q29" s="501"/>
    </row>
    <row r="30" spans="1:17" x14ac:dyDescent="0.25">
      <c r="A30" s="12"/>
      <c r="B30" s="12"/>
      <c r="C30" s="12"/>
      <c r="D30" s="12"/>
      <c r="E30" s="12"/>
      <c r="F30" s="12"/>
      <c r="G30" s="12"/>
      <c r="H30" s="13"/>
      <c r="J30" s="23">
        <v>3</v>
      </c>
      <c r="K30" s="500">
        <f t="shared" si="2"/>
        <v>66.666666666666657</v>
      </c>
      <c r="L30" s="500">
        <f t="shared" si="3"/>
        <v>1.6666666666666665</v>
      </c>
      <c r="M30" s="500">
        <f t="shared" si="4"/>
        <v>16.666666666666668</v>
      </c>
      <c r="N30" s="499">
        <f t="shared" si="5"/>
        <v>18.333333333333336</v>
      </c>
      <c r="O30" s="169"/>
      <c r="P30" s="169"/>
      <c r="Q30" s="501"/>
    </row>
    <row r="31" spans="1:17" x14ac:dyDescent="0.25">
      <c r="A31" s="966" t="s">
        <v>1747</v>
      </c>
      <c r="B31" s="966"/>
      <c r="C31" s="523"/>
      <c r="D31" s="522"/>
      <c r="E31" s="36"/>
      <c r="F31" s="36"/>
      <c r="G31" s="36"/>
      <c r="H31" s="36"/>
      <c r="J31" s="23">
        <v>4</v>
      </c>
      <c r="K31" s="500">
        <f t="shared" si="2"/>
        <v>49.999999999999986</v>
      </c>
      <c r="L31" s="500">
        <f t="shared" si="3"/>
        <v>1.2499999999999998</v>
      </c>
      <c r="M31" s="500">
        <f t="shared" si="4"/>
        <v>16.666666666666668</v>
      </c>
      <c r="N31" s="499">
        <f t="shared" si="5"/>
        <v>17.916666666666668</v>
      </c>
      <c r="O31" s="16"/>
      <c r="P31" s="16"/>
      <c r="Q31" s="16"/>
    </row>
    <row r="32" spans="1:17" x14ac:dyDescent="0.25">
      <c r="A32" s="967" t="s">
        <v>1746</v>
      </c>
      <c r="B32" s="967"/>
      <c r="C32" s="967"/>
      <c r="D32" s="967"/>
      <c r="E32" s="16"/>
      <c r="F32" s="16"/>
      <c r="G32" s="16"/>
      <c r="H32" s="16"/>
      <c r="J32" s="23">
        <v>5</v>
      </c>
      <c r="K32" s="500">
        <f t="shared" si="2"/>
        <v>33.333333333333314</v>
      </c>
      <c r="L32" s="500">
        <f t="shared" si="3"/>
        <v>0.83333333333333293</v>
      </c>
      <c r="M32" s="500">
        <f t="shared" si="4"/>
        <v>16.666666666666668</v>
      </c>
      <c r="N32" s="499">
        <f t="shared" si="5"/>
        <v>17.5</v>
      </c>
      <c r="O32" s="16"/>
      <c r="P32" s="16"/>
      <c r="Q32" s="16"/>
    </row>
    <row r="33" spans="1:17" x14ac:dyDescent="0.25">
      <c r="A33" s="967" t="s">
        <v>1745</v>
      </c>
      <c r="B33" s="967"/>
      <c r="C33" s="521"/>
      <c r="D33" s="522"/>
      <c r="E33" s="16"/>
      <c r="F33" s="16"/>
      <c r="G33" s="16"/>
      <c r="H33" s="16"/>
      <c r="J33" s="26">
        <v>6</v>
      </c>
      <c r="K33" s="524">
        <f t="shared" si="2"/>
        <v>16.666666666666647</v>
      </c>
      <c r="L33" s="524">
        <f t="shared" si="3"/>
        <v>0.41666666666666619</v>
      </c>
      <c r="M33" s="524">
        <f t="shared" si="4"/>
        <v>16.666666666666668</v>
      </c>
      <c r="N33" s="525">
        <f t="shared" si="5"/>
        <v>17.083333333333336</v>
      </c>
      <c r="O33" s="16"/>
      <c r="P33" s="16"/>
      <c r="Q33" s="16"/>
    </row>
    <row r="34" spans="1:17" x14ac:dyDescent="0.25">
      <c r="A34" s="522"/>
      <c r="B34" s="522"/>
      <c r="C34" s="521"/>
      <c r="D34" s="522"/>
      <c r="E34" s="16"/>
      <c r="F34" s="16"/>
      <c r="G34" s="16"/>
      <c r="H34" s="16"/>
      <c r="J34" s="36"/>
      <c r="K34" s="36"/>
      <c r="L34" s="36"/>
      <c r="M34" s="498" t="s">
        <v>1707</v>
      </c>
      <c r="N34" s="59">
        <f>+(1+IRR(N27:N33))^2-1</f>
        <v>5.0625000000866116E-2</v>
      </c>
      <c r="O34" s="16"/>
      <c r="P34" s="16"/>
      <c r="Q34" s="16"/>
    </row>
    <row r="35" spans="1:17" x14ac:dyDescent="0.25">
      <c r="A35" s="522" t="s">
        <v>1744</v>
      </c>
      <c r="B35" s="522"/>
      <c r="C35" s="521"/>
      <c r="D35" s="522"/>
      <c r="E35" s="16"/>
      <c r="F35" s="16"/>
      <c r="G35" s="16"/>
      <c r="H35" s="16"/>
      <c r="J35" s="36" t="s">
        <v>1713</v>
      </c>
      <c r="K35" s="36"/>
      <c r="L35" s="36"/>
      <c r="M35" s="36"/>
      <c r="N35" s="36"/>
      <c r="O35" s="16"/>
      <c r="P35" s="16"/>
      <c r="Q35" s="16"/>
    </row>
    <row r="36" spans="1:17" x14ac:dyDescent="0.25">
      <c r="A36" s="522"/>
      <c r="B36" s="522"/>
      <c r="C36" s="521"/>
      <c r="D36" s="522"/>
      <c r="E36" s="16"/>
      <c r="F36" s="16"/>
      <c r="G36" s="16"/>
      <c r="H36" s="16"/>
      <c r="J36" s="497" t="s">
        <v>1712</v>
      </c>
      <c r="K36" s="496" t="s">
        <v>1711</v>
      </c>
      <c r="L36" s="496" t="s">
        <v>1710</v>
      </c>
      <c r="M36" s="496" t="s">
        <v>1709</v>
      </c>
      <c r="N36" s="495" t="s">
        <v>1708</v>
      </c>
      <c r="O36" s="16"/>
      <c r="P36" s="16"/>
      <c r="Q36" s="16"/>
    </row>
    <row r="37" spans="1:17" x14ac:dyDescent="0.25">
      <c r="A37" s="967" t="s">
        <v>1743</v>
      </c>
      <c r="B37" s="967"/>
      <c r="C37" s="967"/>
      <c r="D37" s="522"/>
      <c r="E37" s="16"/>
      <c r="F37" s="16"/>
      <c r="G37" s="16"/>
      <c r="H37" s="16"/>
      <c r="J37" s="23">
        <v>0</v>
      </c>
      <c r="K37" s="60">
        <v>100</v>
      </c>
      <c r="L37" s="60"/>
      <c r="M37" s="60"/>
      <c r="N37" s="494">
        <v>-100</v>
      </c>
      <c r="O37" s="36"/>
      <c r="P37" s="36"/>
      <c r="Q37" s="36"/>
    </row>
    <row r="38" spans="1:17" x14ac:dyDescent="0.25">
      <c r="A38" s="522"/>
      <c r="B38" s="522"/>
      <c r="C38" s="521"/>
      <c r="D38" s="522"/>
      <c r="E38" s="16"/>
      <c r="F38" s="16"/>
      <c r="G38" s="16"/>
      <c r="H38" s="16"/>
      <c r="J38" s="23">
        <v>1</v>
      </c>
      <c r="K38" s="60">
        <f t="shared" ref="K38:K43" si="6">+K37-M37</f>
        <v>100</v>
      </c>
      <c r="L38" s="60">
        <f t="shared" ref="L38:L43" si="7">+K38*K$11/K$13</f>
        <v>2.5</v>
      </c>
      <c r="M38" s="60">
        <f t="shared" ref="M38:M43" si="8">+N38-L38</f>
        <v>15.654997106187544</v>
      </c>
      <c r="N38" s="494">
        <f t="shared" ref="N38:N43" si="9">-PMT(K$11/K$13,J$43,K$37)</f>
        <v>18.154997106187544</v>
      </c>
      <c r="O38" s="36"/>
      <c r="P38" s="36"/>
      <c r="Q38" s="36"/>
    </row>
    <row r="39" spans="1:17" x14ac:dyDescent="0.25">
      <c r="A39" s="967" t="s">
        <v>1742</v>
      </c>
      <c r="B39" s="967"/>
      <c r="C39" s="967"/>
      <c r="D39" s="967"/>
      <c r="E39" s="16"/>
      <c r="F39" s="16"/>
      <c r="G39" s="16"/>
      <c r="H39" s="16"/>
      <c r="J39" s="23">
        <v>2</v>
      </c>
      <c r="K39" s="60">
        <f t="shared" si="6"/>
        <v>84.345002893812449</v>
      </c>
      <c r="L39" s="60">
        <f t="shared" si="7"/>
        <v>2.1086250723453115</v>
      </c>
      <c r="M39" s="60">
        <f t="shared" si="8"/>
        <v>16.046372033842232</v>
      </c>
      <c r="N39" s="494">
        <f t="shared" si="9"/>
        <v>18.154997106187544</v>
      </c>
      <c r="O39" s="36"/>
      <c r="P39" s="36"/>
      <c r="Q39" s="36"/>
    </row>
    <row r="40" spans="1:17" x14ac:dyDescent="0.25">
      <c r="A40" s="522"/>
      <c r="B40" s="521"/>
      <c r="C40" s="522"/>
      <c r="D40" s="522"/>
      <c r="E40" s="16"/>
      <c r="F40" s="16"/>
      <c r="G40" s="16"/>
      <c r="H40" s="16"/>
      <c r="J40" s="23">
        <v>3</v>
      </c>
      <c r="K40" s="60">
        <f t="shared" si="6"/>
        <v>68.298630859970217</v>
      </c>
      <c r="L40" s="60">
        <f t="shared" si="7"/>
        <v>1.7074657714992556</v>
      </c>
      <c r="M40" s="60">
        <f t="shared" si="8"/>
        <v>16.447531334688289</v>
      </c>
      <c r="N40" s="494">
        <f t="shared" si="9"/>
        <v>18.154997106187544</v>
      </c>
      <c r="O40" s="36"/>
      <c r="P40" s="36"/>
      <c r="Q40" s="36"/>
    </row>
    <row r="41" spans="1:17" x14ac:dyDescent="0.25">
      <c r="A41" s="967" t="s">
        <v>1741</v>
      </c>
      <c r="B41" s="967"/>
      <c r="C41" s="967"/>
      <c r="D41" s="967"/>
      <c r="E41" s="16"/>
      <c r="F41" s="16"/>
      <c r="G41" s="16"/>
      <c r="H41" s="16"/>
      <c r="J41" s="23">
        <v>4</v>
      </c>
      <c r="K41" s="60">
        <f t="shared" si="6"/>
        <v>51.851099525281924</v>
      </c>
      <c r="L41" s="60">
        <f t="shared" si="7"/>
        <v>1.2962774881320482</v>
      </c>
      <c r="M41" s="60">
        <f t="shared" si="8"/>
        <v>16.858719618055495</v>
      </c>
      <c r="N41" s="494">
        <f t="shared" si="9"/>
        <v>18.154997106187544</v>
      </c>
      <c r="O41" s="36"/>
      <c r="P41" s="36"/>
      <c r="Q41" s="36"/>
    </row>
    <row r="42" spans="1:17" x14ac:dyDescent="0.25">
      <c r="A42" s="522"/>
      <c r="B42" s="522"/>
      <c r="C42" s="522"/>
      <c r="D42" s="522"/>
      <c r="E42" s="16"/>
      <c r="F42" s="16"/>
      <c r="G42" s="19"/>
      <c r="H42" s="16"/>
      <c r="J42" s="23">
        <v>5</v>
      </c>
      <c r="K42" s="60">
        <f t="shared" si="6"/>
        <v>34.992379907226429</v>
      </c>
      <c r="L42" s="60">
        <f t="shared" si="7"/>
        <v>0.87480949768066074</v>
      </c>
      <c r="M42" s="60">
        <f t="shared" si="8"/>
        <v>17.280187608506882</v>
      </c>
      <c r="N42" s="494">
        <f t="shared" si="9"/>
        <v>18.154997106187544</v>
      </c>
      <c r="O42" s="36"/>
      <c r="P42" s="36"/>
      <c r="Q42" s="36"/>
    </row>
    <row r="43" spans="1:17" x14ac:dyDescent="0.25">
      <c r="A43" s="965" t="s">
        <v>1740</v>
      </c>
      <c r="B43" s="965"/>
      <c r="C43" s="965"/>
      <c r="D43" s="522"/>
      <c r="E43" s="19"/>
      <c r="F43" s="19"/>
      <c r="G43" s="19"/>
      <c r="H43" s="19"/>
      <c r="J43" s="26">
        <v>6</v>
      </c>
      <c r="K43" s="526">
        <f t="shared" si="6"/>
        <v>17.712192298719547</v>
      </c>
      <c r="L43" s="526">
        <f t="shared" si="7"/>
        <v>0.44280480746798867</v>
      </c>
      <c r="M43" s="526">
        <f t="shared" si="8"/>
        <v>17.712192298719554</v>
      </c>
      <c r="N43" s="527">
        <f t="shared" si="9"/>
        <v>18.154997106187544</v>
      </c>
      <c r="O43" s="36"/>
      <c r="P43" s="36"/>
      <c r="Q43" s="36"/>
    </row>
    <row r="44" spans="1:17" x14ac:dyDescent="0.25">
      <c r="A44" s="522"/>
      <c r="B44" s="521"/>
      <c r="C44" s="522"/>
      <c r="D44" s="522"/>
      <c r="E44" s="169"/>
      <c r="F44" s="16"/>
      <c r="G44" s="169"/>
      <c r="H44" s="501"/>
      <c r="J44" s="36"/>
      <c r="K44" s="36"/>
      <c r="L44" s="36"/>
      <c r="M44" s="444" t="s">
        <v>1707</v>
      </c>
      <c r="N44" s="59">
        <f>+(1+IRR(N37:N43))^2-1</f>
        <v>5.0625000001069509E-2</v>
      </c>
      <c r="O44" s="36"/>
      <c r="P44" s="36"/>
      <c r="Q44" s="36"/>
    </row>
    <row r="45" spans="1:17" x14ac:dyDescent="0.25">
      <c r="A45" s="965" t="s">
        <v>1739</v>
      </c>
      <c r="B45" s="965"/>
      <c r="C45" s="521"/>
      <c r="D45" s="521"/>
      <c r="E45" s="169"/>
      <c r="F45" s="169"/>
      <c r="G45" s="169"/>
      <c r="H45" s="501"/>
      <c r="J45" s="36"/>
      <c r="K45" s="36"/>
      <c r="L45" s="36"/>
      <c r="M45" s="36"/>
      <c r="N45" s="36"/>
      <c r="O45" s="36"/>
      <c r="P45" s="36"/>
      <c r="Q45" s="36"/>
    </row>
    <row r="46" spans="1:17" x14ac:dyDescent="0.25">
      <c r="A46" s="16"/>
      <c r="B46" s="169"/>
      <c r="C46" s="169"/>
      <c r="D46" s="169"/>
      <c r="E46" s="169"/>
      <c r="F46" s="169"/>
      <c r="G46" s="169"/>
      <c r="H46" s="501"/>
      <c r="J46" s="36"/>
      <c r="K46" s="36"/>
      <c r="L46" s="36"/>
      <c r="M46" s="36"/>
      <c r="N46" s="36"/>
      <c r="O46" s="36"/>
      <c r="P46" s="36"/>
      <c r="Q46" s="36"/>
    </row>
    <row r="47" spans="1:17" x14ac:dyDescent="0.25">
      <c r="A47" s="516" t="s">
        <v>1738</v>
      </c>
      <c r="B47" s="520" t="s">
        <v>239</v>
      </c>
      <c r="C47" s="189" t="s">
        <v>1737</v>
      </c>
      <c r="D47" s="190" t="s">
        <v>1736</v>
      </c>
      <c r="E47" s="169"/>
      <c r="F47" s="169"/>
      <c r="G47" s="169"/>
      <c r="H47" s="501"/>
      <c r="J47" s="36"/>
      <c r="K47" s="36"/>
      <c r="L47" s="36"/>
      <c r="M47" s="36"/>
      <c r="N47" s="36"/>
      <c r="O47" s="36"/>
      <c r="P47" s="36"/>
      <c r="Q47" s="36"/>
    </row>
    <row r="48" spans="1:17" x14ac:dyDescent="0.25">
      <c r="A48" s="23" t="s">
        <v>1735</v>
      </c>
      <c r="B48" s="191"/>
      <c r="C48" s="182" t="s">
        <v>1562</v>
      </c>
      <c r="D48" s="191"/>
      <c r="E48" s="169"/>
      <c r="F48" s="169"/>
      <c r="G48" s="169"/>
      <c r="H48" s="501"/>
      <c r="J48" s="36"/>
      <c r="K48" s="36"/>
      <c r="L48" s="36"/>
      <c r="M48" s="36"/>
      <c r="N48" s="36"/>
      <c r="O48" s="36"/>
      <c r="P48" s="36"/>
      <c r="Q48" s="36"/>
    </row>
    <row r="49" spans="1:17" x14ac:dyDescent="0.25">
      <c r="A49" s="23" t="s">
        <v>1734</v>
      </c>
      <c r="B49" s="191"/>
      <c r="C49" s="182">
        <v>0</v>
      </c>
      <c r="D49" s="191">
        <v>900000</v>
      </c>
      <c r="E49" s="169"/>
      <c r="F49" s="169"/>
      <c r="G49" s="169"/>
      <c r="H49" s="501"/>
      <c r="J49" s="36"/>
      <c r="K49" s="36"/>
      <c r="L49" s="36"/>
      <c r="M49" s="36"/>
      <c r="N49" s="36"/>
      <c r="O49" s="36"/>
      <c r="P49" s="36"/>
      <c r="Q49" s="36"/>
    </row>
    <row r="50" spans="1:17" x14ac:dyDescent="0.25">
      <c r="A50" s="23"/>
      <c r="B50" s="191"/>
      <c r="C50" s="182">
        <f>+C49+1</f>
        <v>1</v>
      </c>
      <c r="D50" s="191">
        <v>-250000</v>
      </c>
      <c r="E50" s="169"/>
      <c r="F50" s="169"/>
      <c r="G50" s="169"/>
      <c r="H50" s="501"/>
      <c r="J50" s="36"/>
      <c r="K50" s="36"/>
      <c r="L50" s="36"/>
      <c r="M50" s="36"/>
      <c r="N50" s="36"/>
      <c r="O50" s="36"/>
      <c r="P50" s="36"/>
      <c r="Q50" s="36"/>
    </row>
    <row r="51" spans="1:17" x14ac:dyDescent="0.25">
      <c r="A51" s="36"/>
      <c r="B51" s="519">
        <f>+(1+0.08/4)^4-1</f>
        <v>8.2432159999999977E-2</v>
      </c>
      <c r="C51" s="182">
        <f>+C50+1</f>
        <v>2</v>
      </c>
      <c r="D51" s="191">
        <f>+D50</f>
        <v>-250000</v>
      </c>
      <c r="E51" s="169"/>
      <c r="F51" s="169"/>
      <c r="G51" s="169"/>
      <c r="H51" s="501"/>
      <c r="J51" s="36"/>
      <c r="K51" s="36"/>
      <c r="L51" s="36"/>
      <c r="M51" s="36"/>
      <c r="N51" s="36"/>
      <c r="O51" s="36"/>
      <c r="P51" s="36"/>
      <c r="Q51" s="36"/>
    </row>
    <row r="52" spans="1:17" x14ac:dyDescent="0.25">
      <c r="A52" s="23"/>
      <c r="B52" s="191"/>
      <c r="C52" s="182">
        <f>+C51+1</f>
        <v>3</v>
      </c>
      <c r="D52" s="191">
        <f>+D51</f>
        <v>-250000</v>
      </c>
      <c r="E52" s="169"/>
      <c r="F52" s="169"/>
      <c r="G52" s="169"/>
      <c r="H52" s="501"/>
    </row>
    <row r="53" spans="1:17" x14ac:dyDescent="0.25">
      <c r="A53" s="23"/>
      <c r="B53" s="191"/>
      <c r="C53" s="182">
        <f>+C52+1</f>
        <v>4</v>
      </c>
      <c r="D53" s="191">
        <f>+D52</f>
        <v>-250000</v>
      </c>
      <c r="E53" s="169"/>
      <c r="F53" s="169"/>
      <c r="G53" s="169"/>
      <c r="H53" s="501"/>
    </row>
    <row r="54" spans="1:17" x14ac:dyDescent="0.25">
      <c r="A54" s="23"/>
      <c r="B54" s="191"/>
      <c r="C54" s="182">
        <f>+C53+1</f>
        <v>5</v>
      </c>
      <c r="D54" s="191">
        <f>+D53</f>
        <v>-250000</v>
      </c>
      <c r="E54" s="169"/>
      <c r="F54" s="169"/>
      <c r="G54" s="169"/>
      <c r="H54" s="501"/>
    </row>
    <row r="55" spans="1:17" x14ac:dyDescent="0.25">
      <c r="A55" s="36"/>
      <c r="B55" s="209"/>
      <c r="C55" s="518" t="s">
        <v>1465</v>
      </c>
      <c r="D55" s="517">
        <f>+IRR(D49:D54)</f>
        <v>0.12053541205684826</v>
      </c>
      <c r="E55" s="16"/>
      <c r="F55" s="16"/>
      <c r="G55" s="16"/>
      <c r="H55" s="16"/>
    </row>
    <row r="56" spans="1:17" x14ac:dyDescent="0.25">
      <c r="A56" s="516" t="s">
        <v>1733</v>
      </c>
      <c r="B56" s="503"/>
      <c r="C56" s="516" t="s">
        <v>1732</v>
      </c>
      <c r="D56" s="64" t="s">
        <v>1377</v>
      </c>
      <c r="E56" s="515">
        <v>0.1</v>
      </c>
      <c r="F56" s="64"/>
      <c r="G56" s="503"/>
      <c r="H56" s="16"/>
    </row>
    <row r="57" spans="1:17" x14ac:dyDescent="0.25">
      <c r="A57" s="23" t="s">
        <v>1104</v>
      </c>
      <c r="B57" s="207">
        <f>8*4</f>
        <v>32</v>
      </c>
      <c r="C57" s="23" t="s">
        <v>1731</v>
      </c>
      <c r="D57" s="16" t="s">
        <v>1671</v>
      </c>
      <c r="E57" s="16" t="s">
        <v>1363</v>
      </c>
      <c r="F57" s="16" t="s">
        <v>1388</v>
      </c>
      <c r="G57" s="207" t="s">
        <v>1390</v>
      </c>
      <c r="H57" s="16"/>
    </row>
    <row r="58" spans="1:17" x14ac:dyDescent="0.25">
      <c r="A58" s="514" t="s">
        <v>1730</v>
      </c>
      <c r="B58" s="510">
        <v>5.0999999999999997E-2</v>
      </c>
      <c r="C58" s="23">
        <v>0</v>
      </c>
      <c r="D58" s="24">
        <v>1200000</v>
      </c>
      <c r="E58" s="24"/>
      <c r="F58" s="24"/>
      <c r="G58" s="25">
        <f>-D58</f>
        <v>-1200000</v>
      </c>
      <c r="H58" s="16"/>
    </row>
    <row r="59" spans="1:17" x14ac:dyDescent="0.25">
      <c r="A59" s="23" t="s">
        <v>1063</v>
      </c>
      <c r="B59" s="207">
        <v>1200000</v>
      </c>
      <c r="C59" s="23">
        <f t="shared" ref="C59:C70" si="10">+C58+1</f>
        <v>1</v>
      </c>
      <c r="D59" s="24">
        <f t="shared" ref="D59:D70" si="11">+D58-F58</f>
        <v>1200000</v>
      </c>
      <c r="E59" s="24">
        <f t="shared" ref="E59:E70" si="12">+D59*E$56/2</f>
        <v>60000</v>
      </c>
      <c r="F59" s="24">
        <f t="shared" ref="F59:F70" si="13">+D$58/12</f>
        <v>100000</v>
      </c>
      <c r="G59" s="25">
        <f t="shared" ref="G59:G70" si="14">+SUM(E59:F59)</f>
        <v>160000</v>
      </c>
      <c r="H59" s="16"/>
    </row>
    <row r="60" spans="1:17" x14ac:dyDescent="0.25">
      <c r="A60" s="23" t="s">
        <v>1729</v>
      </c>
      <c r="B60" s="207">
        <f>+B58*B59</f>
        <v>61199.999999999993</v>
      </c>
      <c r="C60" s="23">
        <f t="shared" si="10"/>
        <v>2</v>
      </c>
      <c r="D60" s="24">
        <f t="shared" si="11"/>
        <v>1100000</v>
      </c>
      <c r="E60" s="24">
        <f t="shared" si="12"/>
        <v>55000</v>
      </c>
      <c r="F60" s="24">
        <f t="shared" si="13"/>
        <v>100000</v>
      </c>
      <c r="G60" s="25">
        <f t="shared" si="14"/>
        <v>155000</v>
      </c>
      <c r="H60" s="16"/>
    </row>
    <row r="61" spans="1:17" x14ac:dyDescent="0.25">
      <c r="A61" s="23" t="s">
        <v>1728</v>
      </c>
      <c r="B61" s="207"/>
      <c r="C61" s="23">
        <f t="shared" si="10"/>
        <v>3</v>
      </c>
      <c r="D61" s="24">
        <f t="shared" si="11"/>
        <v>1000000</v>
      </c>
      <c r="E61" s="24">
        <f t="shared" si="12"/>
        <v>50000</v>
      </c>
      <c r="F61" s="24">
        <f t="shared" si="13"/>
        <v>100000</v>
      </c>
      <c r="G61" s="25">
        <f t="shared" si="14"/>
        <v>150000</v>
      </c>
      <c r="H61" s="36"/>
    </row>
    <row r="62" spans="1:17" x14ac:dyDescent="0.25">
      <c r="A62" s="23"/>
      <c r="B62" s="207"/>
      <c r="C62" s="23">
        <f t="shared" si="10"/>
        <v>4</v>
      </c>
      <c r="D62" s="24">
        <f t="shared" si="11"/>
        <v>900000</v>
      </c>
      <c r="E62" s="24">
        <f t="shared" si="12"/>
        <v>45000</v>
      </c>
      <c r="F62" s="24">
        <f t="shared" si="13"/>
        <v>100000</v>
      </c>
      <c r="G62" s="25">
        <f t="shared" si="14"/>
        <v>145000</v>
      </c>
      <c r="H62" s="36"/>
    </row>
    <row r="63" spans="1:17" x14ac:dyDescent="0.25">
      <c r="A63" s="513" t="s">
        <v>1727</v>
      </c>
      <c r="B63" s="512">
        <v>0.05</v>
      </c>
      <c r="C63" s="23">
        <f t="shared" si="10"/>
        <v>5</v>
      </c>
      <c r="D63" s="24">
        <f t="shared" si="11"/>
        <v>800000</v>
      </c>
      <c r="E63" s="24">
        <f t="shared" si="12"/>
        <v>40000</v>
      </c>
      <c r="F63" s="24">
        <f t="shared" si="13"/>
        <v>100000</v>
      </c>
      <c r="G63" s="25">
        <f t="shared" si="14"/>
        <v>140000</v>
      </c>
      <c r="H63" s="36"/>
    </row>
    <row r="64" spans="1:17" x14ac:dyDescent="0.25">
      <c r="A64" s="23" t="s">
        <v>1063</v>
      </c>
      <c r="B64" s="511">
        <f>-PV(B63,B57,B60)</f>
        <v>967123.81210451655</v>
      </c>
      <c r="C64" s="23">
        <f t="shared" si="10"/>
        <v>6</v>
      </c>
      <c r="D64" s="24">
        <f t="shared" si="11"/>
        <v>700000</v>
      </c>
      <c r="E64" s="24">
        <f t="shared" si="12"/>
        <v>35000</v>
      </c>
      <c r="F64" s="24">
        <f t="shared" si="13"/>
        <v>100000</v>
      </c>
      <c r="G64" s="25">
        <f t="shared" si="14"/>
        <v>135000</v>
      </c>
      <c r="H64" s="36"/>
    </row>
    <row r="65" spans="1:9" x14ac:dyDescent="0.25">
      <c r="A65" s="23" t="s">
        <v>1289</v>
      </c>
      <c r="B65" s="207"/>
      <c r="C65" s="23">
        <f t="shared" si="10"/>
        <v>7</v>
      </c>
      <c r="D65" s="24">
        <f t="shared" si="11"/>
        <v>600000</v>
      </c>
      <c r="E65" s="24">
        <f t="shared" si="12"/>
        <v>30000</v>
      </c>
      <c r="F65" s="24">
        <f t="shared" si="13"/>
        <v>100000</v>
      </c>
      <c r="G65" s="25">
        <f t="shared" si="14"/>
        <v>130000</v>
      </c>
      <c r="H65" s="36"/>
    </row>
    <row r="66" spans="1:9" x14ac:dyDescent="0.25">
      <c r="A66" s="23" t="s">
        <v>1724</v>
      </c>
      <c r="B66" s="510">
        <v>3.2897000000000003E-2</v>
      </c>
      <c r="C66" s="23">
        <f t="shared" si="10"/>
        <v>8</v>
      </c>
      <c r="D66" s="24">
        <f t="shared" si="11"/>
        <v>500000</v>
      </c>
      <c r="E66" s="24">
        <f t="shared" si="12"/>
        <v>25000</v>
      </c>
      <c r="F66" s="24">
        <f t="shared" si="13"/>
        <v>100000</v>
      </c>
      <c r="G66" s="25">
        <f t="shared" si="14"/>
        <v>125000</v>
      </c>
      <c r="H66" s="36"/>
    </row>
    <row r="67" spans="1:9" x14ac:dyDescent="0.25">
      <c r="A67" s="23" t="s">
        <v>1726</v>
      </c>
      <c r="B67" s="509">
        <f>+(1+B66)^4-1</f>
        <v>0.13822485303092402</v>
      </c>
      <c r="C67" s="23">
        <f t="shared" si="10"/>
        <v>9</v>
      </c>
      <c r="D67" s="24">
        <f t="shared" si="11"/>
        <v>400000</v>
      </c>
      <c r="E67" s="24">
        <f t="shared" si="12"/>
        <v>20000</v>
      </c>
      <c r="F67" s="24">
        <f t="shared" si="13"/>
        <v>100000</v>
      </c>
      <c r="G67" s="25">
        <f t="shared" si="14"/>
        <v>120000</v>
      </c>
      <c r="H67" s="36"/>
    </row>
    <row r="68" spans="1:9" x14ac:dyDescent="0.25">
      <c r="A68" s="23"/>
      <c r="B68" s="207"/>
      <c r="C68" s="23">
        <f t="shared" si="10"/>
        <v>10</v>
      </c>
      <c r="D68" s="24">
        <f t="shared" si="11"/>
        <v>300000</v>
      </c>
      <c r="E68" s="24">
        <f t="shared" si="12"/>
        <v>15000</v>
      </c>
      <c r="F68" s="24">
        <f t="shared" si="13"/>
        <v>100000</v>
      </c>
      <c r="G68" s="25">
        <f t="shared" si="14"/>
        <v>115000</v>
      </c>
      <c r="H68" s="36"/>
    </row>
    <row r="69" spans="1:9" x14ac:dyDescent="0.25">
      <c r="A69" s="508" t="s">
        <v>1725</v>
      </c>
      <c r="B69" s="207"/>
      <c r="C69" s="23">
        <f t="shared" si="10"/>
        <v>11</v>
      </c>
      <c r="D69" s="24">
        <f t="shared" si="11"/>
        <v>200000</v>
      </c>
      <c r="E69" s="24">
        <f t="shared" si="12"/>
        <v>10000</v>
      </c>
      <c r="F69" s="24">
        <f t="shared" si="13"/>
        <v>100000</v>
      </c>
      <c r="G69" s="25">
        <f t="shared" si="14"/>
        <v>110000</v>
      </c>
      <c r="H69" s="36"/>
    </row>
    <row r="70" spans="1:9" x14ac:dyDescent="0.25">
      <c r="A70" s="26" t="s">
        <v>1724</v>
      </c>
      <c r="B70" s="507">
        <f>+RATE(B57,B60,-B59)</f>
        <v>3.2897463998641588E-2</v>
      </c>
      <c r="C70" s="23">
        <f t="shared" si="10"/>
        <v>12</v>
      </c>
      <c r="D70" s="24">
        <f t="shared" si="11"/>
        <v>100000</v>
      </c>
      <c r="E70" s="24">
        <f t="shared" si="12"/>
        <v>5000</v>
      </c>
      <c r="F70" s="24">
        <f t="shared" si="13"/>
        <v>100000</v>
      </c>
      <c r="G70" s="25">
        <f t="shared" si="14"/>
        <v>105000</v>
      </c>
      <c r="H70" s="36"/>
    </row>
    <row r="71" spans="1:9" x14ac:dyDescent="0.25">
      <c r="A71" s="36"/>
      <c r="B71" s="36"/>
      <c r="C71" s="23"/>
      <c r="D71" s="16"/>
      <c r="E71" s="16"/>
      <c r="F71" s="19" t="s">
        <v>1465</v>
      </c>
      <c r="G71" s="506">
        <f>+IRR(G58:G70)</f>
        <v>5.0000000000000044E-2</v>
      </c>
      <c r="H71" s="36"/>
    </row>
    <row r="72" spans="1:9" ht="16.5" customHeight="1" x14ac:dyDescent="0.25">
      <c r="A72" s="36"/>
      <c r="B72" s="36"/>
      <c r="C72" s="26"/>
      <c r="D72" s="208"/>
      <c r="E72" s="208"/>
      <c r="F72" s="208" t="s">
        <v>1707</v>
      </c>
      <c r="G72" s="505">
        <f>+(1+G71)^2-1</f>
        <v>0.10250000000000004</v>
      </c>
      <c r="H72" s="36"/>
    </row>
    <row r="73" spans="1:9" x14ac:dyDescent="0.25">
      <c r="A73" s="36"/>
      <c r="B73" s="36"/>
      <c r="C73" s="36"/>
      <c r="D73" s="36"/>
      <c r="E73" s="36"/>
      <c r="F73" s="36"/>
      <c r="G73" s="36"/>
      <c r="H73" s="36"/>
    </row>
    <row r="74" spans="1:9" x14ac:dyDescent="0.25">
      <c r="A74" s="36" t="s">
        <v>3235</v>
      </c>
      <c r="B74" s="36"/>
      <c r="C74" s="36"/>
      <c r="D74" s="36"/>
      <c r="E74" s="36"/>
      <c r="F74" s="36"/>
      <c r="G74" s="36"/>
      <c r="H74" s="36"/>
    </row>
    <row r="75" spans="1:9" x14ac:dyDescent="0.25">
      <c r="A75" s="921" t="s">
        <v>3237</v>
      </c>
      <c r="B75" s="36"/>
      <c r="C75" s="36"/>
      <c r="D75" s="36"/>
      <c r="E75" s="36"/>
      <c r="F75" s="36"/>
      <c r="G75" s="36"/>
      <c r="H75" s="36"/>
    </row>
    <row r="76" spans="1:9" x14ac:dyDescent="0.25">
      <c r="A76" s="36"/>
      <c r="B76" s="36"/>
      <c r="C76" s="36"/>
      <c r="D76" s="36"/>
      <c r="E76" s="36"/>
      <c r="F76" s="36"/>
      <c r="G76" s="36"/>
      <c r="H76" s="36"/>
    </row>
    <row r="77" spans="1:9" x14ac:dyDescent="0.25">
      <c r="A77" s="36" t="s">
        <v>3211</v>
      </c>
      <c r="B77" s="36"/>
      <c r="C77" s="36"/>
      <c r="D77" s="36"/>
      <c r="E77" s="36"/>
      <c r="F77" s="36"/>
      <c r="G77" s="36"/>
      <c r="H77" s="36"/>
    </row>
    <row r="78" spans="1:9" x14ac:dyDescent="0.25">
      <c r="A78" s="36" t="s">
        <v>1202</v>
      </c>
      <c r="B78" s="36" t="s">
        <v>3232</v>
      </c>
      <c r="C78" s="36" t="s">
        <v>1363</v>
      </c>
      <c r="D78" s="36" t="s">
        <v>1388</v>
      </c>
      <c r="E78" s="36" t="s">
        <v>1390</v>
      </c>
      <c r="F78" s="36" t="s">
        <v>1869</v>
      </c>
      <c r="G78" s="36" t="s">
        <v>3233</v>
      </c>
      <c r="H78" s="36" t="s">
        <v>3240</v>
      </c>
      <c r="I78" s="11" t="s">
        <v>3239</v>
      </c>
    </row>
    <row r="79" spans="1:9" x14ac:dyDescent="0.25">
      <c r="A79" s="36">
        <v>0</v>
      </c>
      <c r="B79" s="927">
        <v>6986702.8243016284</v>
      </c>
      <c r="C79" s="36">
        <v>0</v>
      </c>
      <c r="D79" s="36">
        <v>0</v>
      </c>
      <c r="E79" s="36">
        <v>0</v>
      </c>
      <c r="F79" s="927">
        <v>6986702.8243016284</v>
      </c>
      <c r="G79" s="1">
        <f>6800000</f>
        <v>6800000</v>
      </c>
      <c r="H79" s="36">
        <v>0</v>
      </c>
      <c r="I79" s="1">
        <f>6800000</f>
        <v>6800000</v>
      </c>
    </row>
    <row r="80" spans="1:9" x14ac:dyDescent="0.25">
      <c r="A80" s="1">
        <v>1</v>
      </c>
      <c r="B80" s="927">
        <v>6986702.8243016284</v>
      </c>
      <c r="C80" s="927">
        <v>209601.08472904883</v>
      </c>
      <c r="D80" s="927">
        <v>609453.6268635306</v>
      </c>
      <c r="E80" s="927">
        <v>819054.71159257938</v>
      </c>
      <c r="F80" s="927">
        <v>6377249.1974380976</v>
      </c>
      <c r="G80" s="927">
        <f>-E80</f>
        <v>-819054.71159257938</v>
      </c>
      <c r="H80" s="927">
        <f>C80*0.25</f>
        <v>52400.271182262208</v>
      </c>
      <c r="I80" s="929">
        <f>G80+H80</f>
        <v>-766654.44041031715</v>
      </c>
    </row>
    <row r="81" spans="1:9" x14ac:dyDescent="0.25">
      <c r="A81" s="1">
        <v>2</v>
      </c>
      <c r="B81" s="927">
        <v>6377249.1974380976</v>
      </c>
      <c r="C81" s="927">
        <v>191317.47592314292</v>
      </c>
      <c r="D81" s="927">
        <v>627737.2356694364</v>
      </c>
      <c r="E81" s="927">
        <v>819054.71159257938</v>
      </c>
      <c r="F81" s="927">
        <v>5749511.9617686607</v>
      </c>
      <c r="G81" s="927">
        <f t="shared" ref="G81:G89" si="15">-E81</f>
        <v>-819054.71159257938</v>
      </c>
      <c r="H81" s="927">
        <f t="shared" ref="H81:H89" si="16">C81*0.25</f>
        <v>47829.36898078573</v>
      </c>
      <c r="I81" s="929">
        <f t="shared" ref="I81:I89" si="17">G81+H81</f>
        <v>-771225.34261179366</v>
      </c>
    </row>
    <row r="82" spans="1:9" x14ac:dyDescent="0.25">
      <c r="A82" s="1">
        <v>3</v>
      </c>
      <c r="B82" s="927">
        <v>5749511.9617686607</v>
      </c>
      <c r="C82" s="927">
        <v>172485.35885305982</v>
      </c>
      <c r="D82" s="927">
        <v>646569.35273951956</v>
      </c>
      <c r="E82" s="927">
        <v>819054.71159257938</v>
      </c>
      <c r="F82" s="927">
        <v>5102942.6090291413</v>
      </c>
      <c r="G82" s="927">
        <f t="shared" si="15"/>
        <v>-819054.71159257938</v>
      </c>
      <c r="H82" s="927">
        <f t="shared" si="16"/>
        <v>43121.339713264955</v>
      </c>
      <c r="I82" s="929">
        <f t="shared" si="17"/>
        <v>-775933.37187931442</v>
      </c>
    </row>
    <row r="83" spans="1:9" x14ac:dyDescent="0.25">
      <c r="A83" s="1">
        <v>4</v>
      </c>
      <c r="B83" s="927">
        <v>5102942.6090291413</v>
      </c>
      <c r="C83" s="927">
        <v>153088.27827087423</v>
      </c>
      <c r="D83" s="927">
        <v>665966.43332170509</v>
      </c>
      <c r="E83" s="927">
        <v>819054.71159257938</v>
      </c>
      <c r="F83" s="927">
        <v>4436976.1757074362</v>
      </c>
      <c r="G83" s="927">
        <f t="shared" si="15"/>
        <v>-819054.71159257938</v>
      </c>
      <c r="H83" s="927">
        <f t="shared" si="16"/>
        <v>38272.069567718558</v>
      </c>
      <c r="I83" s="929">
        <f t="shared" si="17"/>
        <v>-780782.64202486083</v>
      </c>
    </row>
    <row r="84" spans="1:9" x14ac:dyDescent="0.25">
      <c r="A84" s="1">
        <v>5</v>
      </c>
      <c r="B84" s="927">
        <v>4436976.1757074362</v>
      </c>
      <c r="C84" s="927">
        <v>133109.28527122308</v>
      </c>
      <c r="D84" s="927">
        <v>685945.42632135632</v>
      </c>
      <c r="E84" s="927">
        <v>819054.71159257938</v>
      </c>
      <c r="F84" s="927">
        <v>3751030.7493860796</v>
      </c>
      <c r="G84" s="927">
        <f t="shared" si="15"/>
        <v>-819054.71159257938</v>
      </c>
      <c r="H84" s="927">
        <f t="shared" si="16"/>
        <v>33277.32131780577</v>
      </c>
      <c r="I84" s="929">
        <f t="shared" si="17"/>
        <v>-785777.39027477358</v>
      </c>
    </row>
    <row r="85" spans="1:9" x14ac:dyDescent="0.25">
      <c r="A85" s="1">
        <v>6</v>
      </c>
      <c r="B85" s="927">
        <v>3751030.7493860796</v>
      </c>
      <c r="C85" s="927">
        <v>112530.92248158238</v>
      </c>
      <c r="D85" s="927">
        <v>706523.78911099699</v>
      </c>
      <c r="E85" s="927">
        <v>819054.71159257938</v>
      </c>
      <c r="F85" s="927">
        <v>3044506.9602750828</v>
      </c>
      <c r="G85" s="927">
        <f t="shared" si="15"/>
        <v>-819054.71159257938</v>
      </c>
      <c r="H85" s="927">
        <f t="shared" si="16"/>
        <v>28132.730620395596</v>
      </c>
      <c r="I85" s="929">
        <f t="shared" si="17"/>
        <v>-790921.98097218375</v>
      </c>
    </row>
    <row r="86" spans="1:9" x14ac:dyDescent="0.25">
      <c r="A86" s="1">
        <v>7</v>
      </c>
      <c r="B86" s="927">
        <v>3044506.9602750828</v>
      </c>
      <c r="C86" s="927">
        <v>91335.208808252486</v>
      </c>
      <c r="D86" s="927">
        <v>727719.50278432691</v>
      </c>
      <c r="E86" s="927">
        <v>819054.71159257938</v>
      </c>
      <c r="F86" s="927">
        <v>2316787.4574907562</v>
      </c>
      <c r="G86" s="927">
        <f t="shared" si="15"/>
        <v>-819054.71159257938</v>
      </c>
      <c r="H86" s="927">
        <f t="shared" si="16"/>
        <v>22833.802202063122</v>
      </c>
      <c r="I86" s="929">
        <f t="shared" si="17"/>
        <v>-796220.90939051623</v>
      </c>
    </row>
    <row r="87" spans="1:9" x14ac:dyDescent="0.25">
      <c r="A87" s="1">
        <v>8</v>
      </c>
      <c r="B87" s="927">
        <v>2316787.4574907562</v>
      </c>
      <c r="C87" s="927">
        <v>69503.623724722682</v>
      </c>
      <c r="D87" s="927">
        <v>749551.08786785672</v>
      </c>
      <c r="E87" s="927">
        <v>819054.71159257938</v>
      </c>
      <c r="F87" s="927">
        <v>1567236.3696228995</v>
      </c>
      <c r="G87" s="927">
        <f t="shared" si="15"/>
        <v>-819054.71159257938</v>
      </c>
      <c r="H87" s="927">
        <f t="shared" si="16"/>
        <v>17375.90593118067</v>
      </c>
      <c r="I87" s="929">
        <f t="shared" si="17"/>
        <v>-801678.80566139868</v>
      </c>
    </row>
    <row r="88" spans="1:9" x14ac:dyDescent="0.25">
      <c r="A88" s="1">
        <v>9</v>
      </c>
      <c r="B88" s="927">
        <v>1567236.3696228995</v>
      </c>
      <c r="C88" s="927">
        <v>47017.091088686982</v>
      </c>
      <c r="D88" s="927">
        <v>772037.62050389242</v>
      </c>
      <c r="E88" s="927">
        <v>819054.71159257938</v>
      </c>
      <c r="F88" s="927">
        <v>795198.74911900703</v>
      </c>
      <c r="G88" s="927">
        <f t="shared" si="15"/>
        <v>-819054.71159257938</v>
      </c>
      <c r="H88" s="927">
        <f t="shared" si="16"/>
        <v>11754.272772171746</v>
      </c>
      <c r="I88" s="929">
        <f t="shared" si="17"/>
        <v>-807300.43882040761</v>
      </c>
    </row>
    <row r="89" spans="1:9" x14ac:dyDescent="0.25">
      <c r="A89" s="1">
        <v>10</v>
      </c>
      <c r="B89" s="927">
        <v>795198.74911900703</v>
      </c>
      <c r="C89" s="927">
        <v>23855.962473570209</v>
      </c>
      <c r="D89" s="927">
        <v>795198.74911900912</v>
      </c>
      <c r="E89" s="927">
        <v>819054.71159257938</v>
      </c>
      <c r="F89" s="927">
        <v>-2.0954757928848267E-9</v>
      </c>
      <c r="G89" s="927">
        <f t="shared" si="15"/>
        <v>-819054.71159257938</v>
      </c>
      <c r="H89" s="927">
        <f t="shared" si="16"/>
        <v>5963.9906183925523</v>
      </c>
      <c r="I89" s="929">
        <f t="shared" si="17"/>
        <v>-813090.72097418678</v>
      </c>
    </row>
    <row r="90" spans="1:9" x14ac:dyDescent="0.25">
      <c r="B90" s="927"/>
      <c r="C90" s="927"/>
      <c r="D90" s="927"/>
      <c r="E90" s="927"/>
      <c r="F90" s="927"/>
      <c r="G90" s="927"/>
    </row>
    <row r="91" spans="1:9" x14ac:dyDescent="0.25">
      <c r="B91" s="927"/>
      <c r="C91" s="927"/>
      <c r="D91" s="927"/>
      <c r="E91" s="927"/>
      <c r="F91" s="927" t="s">
        <v>3236</v>
      </c>
      <c r="G91" s="919">
        <f>IRR(G79:G89)</f>
        <v>3.5342811509301297E-2</v>
      </c>
      <c r="H91" s="927" t="s">
        <v>3238</v>
      </c>
      <c r="I91" s="930">
        <f>IRR(I79:I89)</f>
        <v>2.7690407132376249E-2</v>
      </c>
    </row>
    <row r="92" spans="1:9" x14ac:dyDescent="0.25">
      <c r="B92" s="927"/>
      <c r="C92" s="927"/>
      <c r="D92" s="927"/>
      <c r="E92" s="927"/>
      <c r="F92" s="927"/>
      <c r="G92" s="919"/>
      <c r="I92" s="930"/>
    </row>
    <row r="93" spans="1:9" x14ac:dyDescent="0.25">
      <c r="A93" s="1" t="s">
        <v>3225</v>
      </c>
    </row>
    <row r="94" spans="1:9" x14ac:dyDescent="0.25">
      <c r="A94" s="1" t="s">
        <v>1202</v>
      </c>
      <c r="B94" s="1" t="s">
        <v>3232</v>
      </c>
      <c r="C94" s="1" t="s">
        <v>1363</v>
      </c>
      <c r="D94" s="1" t="s">
        <v>1388</v>
      </c>
      <c r="E94" s="1" t="s">
        <v>1390</v>
      </c>
      <c r="F94" s="1" t="s">
        <v>1869</v>
      </c>
      <c r="G94" s="1" t="s">
        <v>3234</v>
      </c>
      <c r="H94" s="36" t="s">
        <v>3240</v>
      </c>
      <c r="I94" s="11" t="s">
        <v>3239</v>
      </c>
    </row>
    <row r="95" spans="1:9" x14ac:dyDescent="0.25">
      <c r="A95" s="36">
        <v>0</v>
      </c>
      <c r="B95" s="927">
        <f>B96</f>
        <v>7285606.4054842936</v>
      </c>
      <c r="C95" s="500">
        <v>0</v>
      </c>
      <c r="D95" s="500">
        <v>0</v>
      </c>
      <c r="E95" s="500">
        <v>0</v>
      </c>
      <c r="F95" s="927">
        <f>F96</f>
        <v>6620237.2690781038</v>
      </c>
      <c r="G95" s="1">
        <v>6800000</v>
      </c>
      <c r="H95" s="36">
        <v>0</v>
      </c>
      <c r="I95" s="1">
        <f>6800000</f>
        <v>6800000</v>
      </c>
    </row>
    <row r="96" spans="1:9" x14ac:dyDescent="0.25">
      <c r="A96" s="1">
        <v>1</v>
      </c>
      <c r="B96" s="927">
        <v>7285606.4054842936</v>
      </c>
      <c r="C96" s="927">
        <v>145712.12810968587</v>
      </c>
      <c r="D96" s="927">
        <v>665369.13640618965</v>
      </c>
      <c r="E96" s="927">
        <v>811081.26451587549</v>
      </c>
      <c r="F96" s="927">
        <v>6620237.2690781038</v>
      </c>
      <c r="G96" s="927">
        <f>-E96</f>
        <v>-811081.26451587549</v>
      </c>
      <c r="H96" s="927">
        <f>C96*0.25</f>
        <v>36428.032027421468</v>
      </c>
      <c r="I96" s="929">
        <f>G96+H96</f>
        <v>-774653.23248845397</v>
      </c>
    </row>
    <row r="97" spans="1:9" x14ac:dyDescent="0.25">
      <c r="A97" s="1">
        <v>2</v>
      </c>
      <c r="B97" s="927">
        <v>6620237.2690781038</v>
      </c>
      <c r="C97" s="927">
        <v>132404.74538156207</v>
      </c>
      <c r="D97" s="927">
        <v>678676.51913431345</v>
      </c>
      <c r="E97" s="927">
        <v>811081.26451587549</v>
      </c>
      <c r="F97" s="927">
        <v>5941560.74994379</v>
      </c>
      <c r="G97" s="927">
        <f t="shared" ref="G97:G105" si="18">-E97</f>
        <v>-811081.26451587549</v>
      </c>
      <c r="H97" s="927">
        <f t="shared" ref="H97:H105" si="19">C97*0.25</f>
        <v>33101.186345390517</v>
      </c>
      <c r="I97" s="929">
        <f t="shared" ref="I97:I105" si="20">G97+H97</f>
        <v>-777980.07817048498</v>
      </c>
    </row>
    <row r="98" spans="1:9" x14ac:dyDescent="0.25">
      <c r="A98" s="1">
        <v>3</v>
      </c>
      <c r="B98" s="927">
        <v>5941560.74994379</v>
      </c>
      <c r="C98" s="927">
        <v>118831.2149988758</v>
      </c>
      <c r="D98" s="927">
        <v>692250.04951699963</v>
      </c>
      <c r="E98" s="927">
        <v>811081.26451587549</v>
      </c>
      <c r="F98" s="927">
        <v>5249310.7004267909</v>
      </c>
      <c r="G98" s="927">
        <f t="shared" si="18"/>
        <v>-811081.26451587549</v>
      </c>
      <c r="H98" s="927">
        <f t="shared" si="19"/>
        <v>29707.803749718951</v>
      </c>
      <c r="I98" s="929">
        <f t="shared" si="20"/>
        <v>-781373.46076615655</v>
      </c>
    </row>
    <row r="99" spans="1:9" x14ac:dyDescent="0.25">
      <c r="A99" s="1">
        <v>4</v>
      </c>
      <c r="B99" s="927">
        <v>5249310.7004267909</v>
      </c>
      <c r="C99" s="927">
        <v>104986.21400853583</v>
      </c>
      <c r="D99" s="927">
        <v>706095.05050733965</v>
      </c>
      <c r="E99" s="927">
        <v>811081.26451587549</v>
      </c>
      <c r="F99" s="927">
        <v>4543215.6499194512</v>
      </c>
      <c r="G99" s="927">
        <f t="shared" si="18"/>
        <v>-811081.26451587549</v>
      </c>
      <c r="H99" s="927">
        <f t="shared" si="19"/>
        <v>26246.553502133956</v>
      </c>
      <c r="I99" s="929">
        <f t="shared" si="20"/>
        <v>-784834.71101374156</v>
      </c>
    </row>
    <row r="100" spans="1:9" x14ac:dyDescent="0.25">
      <c r="A100" s="1">
        <v>5</v>
      </c>
      <c r="B100" s="927">
        <v>4543215.6499194512</v>
      </c>
      <c r="C100" s="927">
        <v>90864.312998389025</v>
      </c>
      <c r="D100" s="927">
        <v>720216.95151748648</v>
      </c>
      <c r="E100" s="927">
        <v>811081.26451587549</v>
      </c>
      <c r="F100" s="927">
        <v>3822998.6984019647</v>
      </c>
      <c r="G100" s="927">
        <f t="shared" si="18"/>
        <v>-811081.26451587549</v>
      </c>
      <c r="H100" s="927">
        <f t="shared" si="19"/>
        <v>22716.078249597256</v>
      </c>
      <c r="I100" s="929">
        <f t="shared" si="20"/>
        <v>-788365.18626627827</v>
      </c>
    </row>
    <row r="101" spans="1:9" x14ac:dyDescent="0.25">
      <c r="A101" s="1">
        <v>6</v>
      </c>
      <c r="B101" s="927">
        <v>3822998.6984019647</v>
      </c>
      <c r="C101" s="927">
        <v>76459.973968039296</v>
      </c>
      <c r="D101" s="927">
        <v>734621.29054783622</v>
      </c>
      <c r="E101" s="927">
        <v>811081.26451587549</v>
      </c>
      <c r="F101" s="927">
        <v>3088377.4078541286</v>
      </c>
      <c r="G101" s="927">
        <f t="shared" si="18"/>
        <v>-811081.26451587549</v>
      </c>
      <c r="H101" s="927">
        <f t="shared" si="19"/>
        <v>19114.993492009824</v>
      </c>
      <c r="I101" s="929">
        <f t="shared" si="20"/>
        <v>-791966.27102386567</v>
      </c>
    </row>
    <row r="102" spans="1:9" x14ac:dyDescent="0.25">
      <c r="A102" s="1">
        <v>7</v>
      </c>
      <c r="B102" s="927">
        <v>3088377.4078541286</v>
      </c>
      <c r="C102" s="927">
        <v>61767.548157082572</v>
      </c>
      <c r="D102" s="927">
        <v>749313.71635879297</v>
      </c>
      <c r="E102" s="927">
        <v>811081.26451587549</v>
      </c>
      <c r="F102" s="927">
        <v>2339063.6914953357</v>
      </c>
      <c r="G102" s="927">
        <f t="shared" si="18"/>
        <v>-811081.26451587549</v>
      </c>
      <c r="H102" s="927">
        <f t="shared" si="19"/>
        <v>15441.887039270643</v>
      </c>
      <c r="I102" s="929">
        <f t="shared" si="20"/>
        <v>-795639.37747660489</v>
      </c>
    </row>
    <row r="103" spans="1:9" x14ac:dyDescent="0.25">
      <c r="A103" s="1">
        <v>8</v>
      </c>
      <c r="B103" s="927">
        <v>2339063.6914953357</v>
      </c>
      <c r="C103" s="927">
        <v>46781.273829906713</v>
      </c>
      <c r="D103" s="927">
        <v>764299.99068596878</v>
      </c>
      <c r="E103" s="927">
        <v>811081.26451587549</v>
      </c>
      <c r="F103" s="927">
        <v>1574763.700809367</v>
      </c>
      <c r="G103" s="927">
        <f t="shared" si="18"/>
        <v>-811081.26451587549</v>
      </c>
      <c r="H103" s="927">
        <f t="shared" si="19"/>
        <v>11695.318457476678</v>
      </c>
      <c r="I103" s="929">
        <f t="shared" si="20"/>
        <v>-799385.94605839881</v>
      </c>
    </row>
    <row r="104" spans="1:9" x14ac:dyDescent="0.25">
      <c r="A104" s="1">
        <v>9</v>
      </c>
      <c r="B104" s="927">
        <v>1574763.700809367</v>
      </c>
      <c r="C104" s="927">
        <v>31495.274016187341</v>
      </c>
      <c r="D104" s="927">
        <v>779585.9904996882</v>
      </c>
      <c r="E104" s="927">
        <v>811081.26451587549</v>
      </c>
      <c r="F104" s="927">
        <v>795177.71030967881</v>
      </c>
      <c r="G104" s="927">
        <f t="shared" si="18"/>
        <v>-811081.26451587549</v>
      </c>
      <c r="H104" s="927">
        <f t="shared" si="19"/>
        <v>7873.8185040468352</v>
      </c>
      <c r="I104" s="929">
        <f t="shared" si="20"/>
        <v>-803207.44601182861</v>
      </c>
    </row>
    <row r="105" spans="1:9" x14ac:dyDescent="0.25">
      <c r="A105" s="1">
        <v>10</v>
      </c>
      <c r="B105" s="927">
        <v>795177.71030967881</v>
      </c>
      <c r="C105" s="927">
        <v>15903.554206193576</v>
      </c>
      <c r="D105" s="927">
        <v>795177.71030968195</v>
      </c>
      <c r="E105" s="927">
        <v>811081.26451587549</v>
      </c>
      <c r="F105" s="927">
        <v>-3.14321368932724E-9</v>
      </c>
      <c r="G105" s="927">
        <f t="shared" si="18"/>
        <v>-811081.26451587549</v>
      </c>
      <c r="H105" s="927">
        <f t="shared" si="19"/>
        <v>3975.8885515483939</v>
      </c>
      <c r="I105" s="929">
        <f t="shared" si="20"/>
        <v>-807105.37596432713</v>
      </c>
    </row>
    <row r="106" spans="1:9" x14ac:dyDescent="0.25">
      <c r="B106" s="927"/>
      <c r="C106" s="927"/>
      <c r="D106" s="927"/>
    </row>
    <row r="107" spans="1:9" x14ac:dyDescent="0.25">
      <c r="F107" s="927" t="s">
        <v>3236</v>
      </c>
      <c r="G107" s="919">
        <f>IRR(G95:G105)</f>
        <v>3.34049637427698E-2</v>
      </c>
      <c r="H107" s="1" t="s">
        <v>3238</v>
      </c>
      <c r="I107" s="930">
        <f>IRR(I95:I105)</f>
        <v>2.8142146743709517E-2</v>
      </c>
    </row>
  </sheetData>
  <mergeCells count="8">
    <mergeCell ref="A43:C43"/>
    <mergeCell ref="A45:B45"/>
    <mergeCell ref="A31:B31"/>
    <mergeCell ref="A32:D32"/>
    <mergeCell ref="A33:B33"/>
    <mergeCell ref="A37:C37"/>
    <mergeCell ref="A39:D39"/>
    <mergeCell ref="A41:D41"/>
  </mergeCells>
  <hyperlinks>
    <hyperlink ref="H2" location="Finansieringsteori!A1" display="Finansieringsteori!A1" xr:uid="{00000000-0004-0000-2E00-000000000000}"/>
  </hyperlinks>
  <pageMargins left="0.75" right="0.75" top="1" bottom="1" header="0.5" footer="0.5"/>
  <pageSetup paperSize="9" orientation="portrait" horizontalDpi="4294967292" verticalDpi="4294967292"/>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00B050"/>
  </sheetPr>
  <dimension ref="E2"/>
  <sheetViews>
    <sheetView topLeftCell="A23" workbookViewId="0">
      <selection activeCell="E2" sqref="E2"/>
    </sheetView>
  </sheetViews>
  <sheetFormatPr defaultColWidth="10.875" defaultRowHeight="15.75" x14ac:dyDescent="0.25"/>
  <cols>
    <col min="1" max="16384" width="10.875" style="1"/>
  </cols>
  <sheetData>
    <row r="2" spans="5:5" x14ac:dyDescent="0.25">
      <c r="E2" s="101" t="s">
        <v>1612</v>
      </c>
    </row>
  </sheetData>
  <hyperlinks>
    <hyperlink ref="E2" location="Finansieringsteori!A1" display="Finansieringsteori!A1" xr:uid="{00000000-0004-0000-2F00-000000000000}"/>
  </hyperlinks>
  <pageMargins left="0.75" right="0.75" top="1" bottom="1" header="0.5" footer="0.5"/>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B050"/>
  </sheetPr>
  <dimension ref="B3:F36"/>
  <sheetViews>
    <sheetView workbookViewId="0">
      <selection activeCell="D3" sqref="D3"/>
    </sheetView>
  </sheetViews>
  <sheetFormatPr defaultColWidth="10.875" defaultRowHeight="15.75" x14ac:dyDescent="0.25"/>
  <cols>
    <col min="1" max="1" width="10.875" style="1"/>
    <col min="2" max="2" width="16.125" style="1" bestFit="1" customWidth="1"/>
    <col min="3" max="16384" width="10.875" style="1"/>
  </cols>
  <sheetData>
    <row r="3" spans="2:4" x14ac:dyDescent="0.25">
      <c r="D3" s="101" t="s">
        <v>1612</v>
      </c>
    </row>
    <row r="6" spans="2:4" x14ac:dyDescent="0.25">
      <c r="B6" s="278" t="s">
        <v>1767</v>
      </c>
    </row>
    <row r="18" spans="2:6" x14ac:dyDescent="0.25">
      <c r="C18" s="529"/>
      <c r="D18" s="1" t="s">
        <v>1363</v>
      </c>
    </row>
    <row r="19" spans="2:6" x14ac:dyDescent="0.25">
      <c r="C19" s="195"/>
      <c r="D19" s="1" t="s">
        <v>1388</v>
      </c>
    </row>
    <row r="22" spans="2:6" x14ac:dyDescent="0.25">
      <c r="B22" s="20" t="s">
        <v>1719</v>
      </c>
      <c r="C22" s="503">
        <v>100</v>
      </c>
      <c r="D22" s="36"/>
      <c r="E22" s="36"/>
      <c r="F22" s="36"/>
    </row>
    <row r="23" spans="2:6" x14ac:dyDescent="0.25">
      <c r="B23" s="23" t="s">
        <v>1718</v>
      </c>
      <c r="C23" s="207">
        <v>0.05</v>
      </c>
      <c r="D23" s="36"/>
      <c r="E23" s="36"/>
      <c r="F23" s="36"/>
    </row>
    <row r="24" spans="2:6" x14ac:dyDescent="0.25">
      <c r="B24" s="23" t="s">
        <v>1717</v>
      </c>
      <c r="C24" s="207">
        <v>3</v>
      </c>
      <c r="D24" s="36"/>
      <c r="E24" s="36"/>
      <c r="F24" s="36"/>
    </row>
    <row r="25" spans="2:6" x14ac:dyDescent="0.25">
      <c r="B25" s="26" t="s">
        <v>1716</v>
      </c>
      <c r="C25" s="209">
        <v>2</v>
      </c>
      <c r="D25" s="36"/>
      <c r="E25" s="36"/>
      <c r="F25" s="36"/>
    </row>
    <row r="26" spans="2:6" x14ac:dyDescent="0.25">
      <c r="B26" s="36"/>
      <c r="C26" s="36"/>
      <c r="D26" s="36"/>
      <c r="E26" s="36"/>
      <c r="F26" s="36"/>
    </row>
    <row r="27" spans="2:6" x14ac:dyDescent="0.25">
      <c r="B27" s="36" t="s">
        <v>1715</v>
      </c>
      <c r="C27" s="36"/>
      <c r="D27" s="36" t="s">
        <v>1771</v>
      </c>
      <c r="E27" s="36"/>
      <c r="F27" s="36"/>
    </row>
    <row r="28" spans="2:6" x14ac:dyDescent="0.25">
      <c r="B28" s="497" t="s">
        <v>1712</v>
      </c>
      <c r="C28" s="496" t="s">
        <v>1711</v>
      </c>
      <c r="D28" s="496" t="s">
        <v>1710</v>
      </c>
      <c r="E28" s="496" t="s">
        <v>1709</v>
      </c>
      <c r="F28" s="495" t="s">
        <v>1708</v>
      </c>
    </row>
    <row r="29" spans="2:6" x14ac:dyDescent="0.25">
      <c r="B29" s="20">
        <v>0</v>
      </c>
      <c r="C29" s="64">
        <v>100</v>
      </c>
      <c r="D29" s="64"/>
      <c r="E29" s="64"/>
      <c r="F29" s="503">
        <v>-100</v>
      </c>
    </row>
    <row r="30" spans="2:6" x14ac:dyDescent="0.25">
      <c r="B30" s="23">
        <v>1</v>
      </c>
      <c r="C30" s="16">
        <f>+C29</f>
        <v>100</v>
      </c>
      <c r="D30" s="16">
        <f t="shared" ref="D30:D35" si="0">+C$23*C29/C$25</f>
        <v>2.5</v>
      </c>
      <c r="E30" s="16">
        <v>0</v>
      </c>
      <c r="F30" s="207">
        <f t="shared" ref="F30:F35" si="1">+SUM(D30:E30)</f>
        <v>2.5</v>
      </c>
    </row>
    <row r="31" spans="2:6" x14ac:dyDescent="0.25">
      <c r="B31" s="23">
        <v>2</v>
      </c>
      <c r="C31" s="16">
        <f>+C30</f>
        <v>100</v>
      </c>
      <c r="D31" s="16">
        <f t="shared" si="0"/>
        <v>2.5</v>
      </c>
      <c r="E31" s="16">
        <v>0</v>
      </c>
      <c r="F31" s="207">
        <f t="shared" si="1"/>
        <v>2.5</v>
      </c>
    </row>
    <row r="32" spans="2:6" x14ac:dyDescent="0.25">
      <c r="B32" s="23">
        <v>3</v>
      </c>
      <c r="C32" s="16">
        <f>+C31</f>
        <v>100</v>
      </c>
      <c r="D32" s="16">
        <f t="shared" si="0"/>
        <v>2.5</v>
      </c>
      <c r="E32" s="16">
        <v>0</v>
      </c>
      <c r="F32" s="207">
        <f t="shared" si="1"/>
        <v>2.5</v>
      </c>
    </row>
    <row r="33" spans="2:6" x14ac:dyDescent="0.25">
      <c r="B33" s="23">
        <v>4</v>
      </c>
      <c r="C33" s="16">
        <f>+C32</f>
        <v>100</v>
      </c>
      <c r="D33" s="16">
        <f t="shared" si="0"/>
        <v>2.5</v>
      </c>
      <c r="E33" s="16">
        <v>0</v>
      </c>
      <c r="F33" s="207">
        <f t="shared" si="1"/>
        <v>2.5</v>
      </c>
    </row>
    <row r="34" spans="2:6" x14ac:dyDescent="0.25">
      <c r="B34" s="23">
        <v>5</v>
      </c>
      <c r="C34" s="16">
        <f>+C33</f>
        <v>100</v>
      </c>
      <c r="D34" s="16">
        <f t="shared" si="0"/>
        <v>2.5</v>
      </c>
      <c r="E34" s="16">
        <v>0</v>
      </c>
      <c r="F34" s="207">
        <f t="shared" si="1"/>
        <v>2.5</v>
      </c>
    </row>
    <row r="35" spans="2:6" x14ac:dyDescent="0.25">
      <c r="B35" s="26">
        <v>6</v>
      </c>
      <c r="C35" s="208">
        <v>0</v>
      </c>
      <c r="D35" s="16">
        <f t="shared" si="0"/>
        <v>2.5</v>
      </c>
      <c r="E35" s="208">
        <v>100</v>
      </c>
      <c r="F35" s="209">
        <f t="shared" si="1"/>
        <v>102.5</v>
      </c>
    </row>
    <row r="36" spans="2:6" x14ac:dyDescent="0.25">
      <c r="B36" s="36"/>
      <c r="C36" s="36"/>
      <c r="D36" s="36"/>
      <c r="E36" s="498" t="s">
        <v>1707</v>
      </c>
      <c r="F36" s="59">
        <f>(1+IRR(F29:F35))^2-1</f>
        <v>5.0625000000000364E-2</v>
      </c>
    </row>
  </sheetData>
  <hyperlinks>
    <hyperlink ref="D3" location="Finansieringsteori!A1" display="Finansieringsteori!A1" xr:uid="{00000000-0004-0000-3000-000000000000}"/>
  </hyperlinks>
  <pageMargins left="0.75" right="0.75" top="1" bottom="1" header="0.5" footer="0.5"/>
  <pageSetup paperSize="9" orientation="portrait" horizontalDpi="4294967292" verticalDpi="4294967292"/>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50"/>
  </sheetPr>
  <dimension ref="C3:G40"/>
  <sheetViews>
    <sheetView topLeftCell="A22" workbookViewId="0">
      <selection activeCell="F34" sqref="F34"/>
    </sheetView>
  </sheetViews>
  <sheetFormatPr defaultColWidth="10.875" defaultRowHeight="15.75" x14ac:dyDescent="0.25"/>
  <cols>
    <col min="1" max="2" width="10.875" style="1"/>
    <col min="3" max="3" width="16.125" style="1" bestFit="1" customWidth="1"/>
    <col min="4" max="16384" width="10.875" style="1"/>
  </cols>
  <sheetData>
    <row r="3" spans="3:4" x14ac:dyDescent="0.25">
      <c r="D3" s="101" t="s">
        <v>1612</v>
      </c>
    </row>
    <row r="8" spans="3:4" x14ac:dyDescent="0.25">
      <c r="C8" s="278" t="s">
        <v>1767</v>
      </c>
    </row>
    <row r="20" spans="3:7" x14ac:dyDescent="0.25">
      <c r="D20" s="529"/>
      <c r="E20" s="1" t="s">
        <v>1363</v>
      </c>
    </row>
    <row r="21" spans="3:7" x14ac:dyDescent="0.25">
      <c r="D21" s="195"/>
      <c r="E21" s="1" t="s">
        <v>1388</v>
      </c>
    </row>
    <row r="25" spans="3:7" x14ac:dyDescent="0.25">
      <c r="C25" s="20" t="s">
        <v>1719</v>
      </c>
      <c r="D25" s="503">
        <v>100</v>
      </c>
    </row>
    <row r="26" spans="3:7" x14ac:dyDescent="0.25">
      <c r="C26" s="23" t="s">
        <v>1718</v>
      </c>
      <c r="D26" s="207">
        <v>0.05</v>
      </c>
    </row>
    <row r="27" spans="3:7" x14ac:dyDescent="0.25">
      <c r="C27" s="23" t="s">
        <v>1717</v>
      </c>
      <c r="D27" s="207">
        <v>3</v>
      </c>
    </row>
    <row r="28" spans="3:7" x14ac:dyDescent="0.25">
      <c r="C28" s="26" t="s">
        <v>1716</v>
      </c>
      <c r="D28" s="209">
        <v>2</v>
      </c>
    </row>
    <row r="31" spans="3:7" x14ac:dyDescent="0.25">
      <c r="C31" s="36" t="s">
        <v>1714</v>
      </c>
      <c r="D31" s="36"/>
      <c r="E31" s="36"/>
      <c r="F31" s="36"/>
      <c r="G31" s="36"/>
    </row>
    <row r="32" spans="3:7" x14ac:dyDescent="0.25">
      <c r="C32" s="497" t="s">
        <v>1712</v>
      </c>
      <c r="D32" s="496" t="s">
        <v>1711</v>
      </c>
      <c r="E32" s="496" t="s">
        <v>1710</v>
      </c>
      <c r="F32" s="496" t="s">
        <v>1709</v>
      </c>
      <c r="G32" s="495" t="s">
        <v>1708</v>
      </c>
    </row>
    <row r="33" spans="3:7" x14ac:dyDescent="0.25">
      <c r="C33" s="23">
        <v>0</v>
      </c>
      <c r="D33" s="36">
        <v>100</v>
      </c>
      <c r="E33" s="36"/>
      <c r="F33" s="36"/>
      <c r="G33" s="207">
        <v>-100</v>
      </c>
    </row>
    <row r="34" spans="3:7" x14ac:dyDescent="0.25">
      <c r="C34" s="23">
        <v>1</v>
      </c>
      <c r="D34" s="500">
        <f t="shared" ref="D34:D39" si="0">+D33-F33</f>
        <v>100</v>
      </c>
      <c r="E34" s="500">
        <f>+D34*'Stående lån - eks'!C$23/'Stående lån - eks'!C$25</f>
        <v>2.5</v>
      </c>
      <c r="F34" s="500">
        <f t="shared" ref="F34:F39" si="1">+D$33/6</f>
        <v>16.666666666666668</v>
      </c>
      <c r="G34" s="499">
        <f t="shared" ref="G34:G39" si="2">+SUM(E34:F34)</f>
        <v>19.166666666666668</v>
      </c>
    </row>
    <row r="35" spans="3:7" x14ac:dyDescent="0.25">
      <c r="C35" s="23">
        <v>2</v>
      </c>
      <c r="D35" s="500">
        <f t="shared" si="0"/>
        <v>83.333333333333329</v>
      </c>
      <c r="E35" s="500">
        <f>+D35*'Stående lån - eks'!C$23/'Stående lån - eks'!C$25</f>
        <v>2.0833333333333335</v>
      </c>
      <c r="F35" s="500">
        <f t="shared" si="1"/>
        <v>16.666666666666668</v>
      </c>
      <c r="G35" s="499">
        <f t="shared" si="2"/>
        <v>18.75</v>
      </c>
    </row>
    <row r="36" spans="3:7" x14ac:dyDescent="0.25">
      <c r="C36" s="23">
        <v>3</v>
      </c>
      <c r="D36" s="500">
        <f t="shared" si="0"/>
        <v>66.666666666666657</v>
      </c>
      <c r="E36" s="500">
        <f>+D36*'Stående lån - eks'!C$23/'Stående lån - eks'!C$25</f>
        <v>1.6666666666666665</v>
      </c>
      <c r="F36" s="500">
        <f t="shared" si="1"/>
        <v>16.666666666666668</v>
      </c>
      <c r="G36" s="499">
        <f t="shared" si="2"/>
        <v>18.333333333333336</v>
      </c>
    </row>
    <row r="37" spans="3:7" x14ac:dyDescent="0.25">
      <c r="C37" s="23">
        <v>4</v>
      </c>
      <c r="D37" s="500">
        <f t="shared" si="0"/>
        <v>49.999999999999986</v>
      </c>
      <c r="E37" s="500">
        <f>+D37*'Stående lån - eks'!C$23/'Stående lån - eks'!C$25</f>
        <v>1.2499999999999998</v>
      </c>
      <c r="F37" s="500">
        <f t="shared" si="1"/>
        <v>16.666666666666668</v>
      </c>
      <c r="G37" s="499">
        <f t="shared" si="2"/>
        <v>17.916666666666668</v>
      </c>
    </row>
    <row r="38" spans="3:7" x14ac:dyDescent="0.25">
      <c r="C38" s="23">
        <v>5</v>
      </c>
      <c r="D38" s="500">
        <f t="shared" si="0"/>
        <v>33.333333333333314</v>
      </c>
      <c r="E38" s="500">
        <f>+D38*'Stående lån - eks'!C$23/'Stående lån - eks'!C$25</f>
        <v>0.83333333333333293</v>
      </c>
      <c r="F38" s="500">
        <f t="shared" si="1"/>
        <v>16.666666666666668</v>
      </c>
      <c r="G38" s="499">
        <f t="shared" si="2"/>
        <v>17.5</v>
      </c>
    </row>
    <row r="39" spans="3:7" x14ac:dyDescent="0.25">
      <c r="C39" s="26">
        <v>6</v>
      </c>
      <c r="D39" s="500">
        <f t="shared" si="0"/>
        <v>16.666666666666647</v>
      </c>
      <c r="E39" s="500">
        <f>+D39*'Stående lån - eks'!C$23/'Stående lån - eks'!C$25</f>
        <v>0.41666666666666619</v>
      </c>
      <c r="F39" s="500">
        <f t="shared" si="1"/>
        <v>16.666666666666668</v>
      </c>
      <c r="G39" s="499">
        <f t="shared" si="2"/>
        <v>17.083333333333336</v>
      </c>
    </row>
    <row r="40" spans="3:7" x14ac:dyDescent="0.25">
      <c r="C40" s="36"/>
      <c r="D40" s="36"/>
      <c r="E40" s="36"/>
      <c r="F40" s="498" t="s">
        <v>1707</v>
      </c>
      <c r="G40" s="59">
        <f>+(1+IRR(G33:G39))^2-1</f>
        <v>5.0625000000866116E-2</v>
      </c>
    </row>
  </sheetData>
  <hyperlinks>
    <hyperlink ref="D3" location="Finansieringsteori!A1" display="Finansieringsteori!A1" xr:uid="{00000000-0004-0000-3100-000000000000}"/>
  </hyperlinks>
  <pageMargins left="0.75" right="0.75" top="1" bottom="1" header="0.5" footer="0.5"/>
  <pageSetup paperSize="9" orientation="portrait" horizontalDpi="4294967292" verticalDpi="4294967292"/>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B050"/>
  </sheetPr>
  <dimension ref="C3:G41"/>
  <sheetViews>
    <sheetView topLeftCell="A8" workbookViewId="0">
      <selection activeCell="C23" sqref="C23"/>
    </sheetView>
  </sheetViews>
  <sheetFormatPr defaultColWidth="10.875" defaultRowHeight="15.75" x14ac:dyDescent="0.25"/>
  <cols>
    <col min="1" max="2" width="10.875" style="1"/>
    <col min="3" max="3" width="16.125" style="1" bestFit="1" customWidth="1"/>
    <col min="4" max="16384" width="10.875" style="1"/>
  </cols>
  <sheetData>
    <row r="3" spans="3:4" x14ac:dyDescent="0.25">
      <c r="D3" s="101" t="s">
        <v>1612</v>
      </c>
    </row>
    <row r="7" spans="3:4" x14ac:dyDescent="0.25">
      <c r="C7" s="278" t="s">
        <v>1767</v>
      </c>
    </row>
    <row r="19" spans="3:7" x14ac:dyDescent="0.25">
      <c r="D19" s="529"/>
      <c r="E19" s="1" t="s">
        <v>1363</v>
      </c>
    </row>
    <row r="20" spans="3:7" x14ac:dyDescent="0.25">
      <c r="D20" s="195"/>
      <c r="E20" s="1" t="s">
        <v>1388</v>
      </c>
    </row>
    <row r="24" spans="3:7" x14ac:dyDescent="0.25">
      <c r="C24" s="20" t="s">
        <v>1719</v>
      </c>
      <c r="D24" s="503">
        <v>100</v>
      </c>
    </row>
    <row r="25" spans="3:7" x14ac:dyDescent="0.25">
      <c r="C25" s="23" t="s">
        <v>1718</v>
      </c>
      <c r="D25" s="207">
        <v>0.05</v>
      </c>
    </row>
    <row r="26" spans="3:7" x14ac:dyDescent="0.25">
      <c r="C26" s="23" t="s">
        <v>1717</v>
      </c>
      <c r="D26" s="207">
        <v>3</v>
      </c>
    </row>
    <row r="27" spans="3:7" x14ac:dyDescent="0.25">
      <c r="C27" s="26" t="s">
        <v>1716</v>
      </c>
      <c r="D27" s="209">
        <v>2</v>
      </c>
    </row>
    <row r="32" spans="3:7" x14ac:dyDescent="0.25">
      <c r="C32" s="36" t="s">
        <v>1713</v>
      </c>
      <c r="D32" s="36"/>
      <c r="E32" s="36"/>
      <c r="F32" s="36"/>
      <c r="G32" s="36"/>
    </row>
    <row r="33" spans="3:7" x14ac:dyDescent="0.25">
      <c r="C33" s="497" t="s">
        <v>1712</v>
      </c>
      <c r="D33" s="496" t="s">
        <v>1711</v>
      </c>
      <c r="E33" s="496" t="s">
        <v>1710</v>
      </c>
      <c r="F33" s="496" t="s">
        <v>1709</v>
      </c>
      <c r="G33" s="495" t="s">
        <v>1708</v>
      </c>
    </row>
    <row r="34" spans="3:7" x14ac:dyDescent="0.25">
      <c r="C34" s="23">
        <v>0</v>
      </c>
      <c r="D34" s="60">
        <v>100</v>
      </c>
      <c r="E34" s="60"/>
      <c r="F34" s="60"/>
      <c r="G34" s="494">
        <v>-100</v>
      </c>
    </row>
    <row r="35" spans="3:7" x14ac:dyDescent="0.25">
      <c r="C35" s="23">
        <v>1</v>
      </c>
      <c r="D35" s="60">
        <f t="shared" ref="D35:D40" si="0">+D34-F34</f>
        <v>100</v>
      </c>
      <c r="E35" s="60">
        <f>+D35*'Stående lån - eks'!C$23/'Stående lån - eks'!C$25</f>
        <v>2.5</v>
      </c>
      <c r="F35" s="60">
        <f t="shared" ref="F35:F40" si="1">+G35-E35</f>
        <v>15.654997106187544</v>
      </c>
      <c r="G35" s="531">
        <f>-PMT('Stående lån - eks'!C$23/'Stående lån - eks'!C$25,C$40,D$34)</f>
        <v>18.154997106187544</v>
      </c>
    </row>
    <row r="36" spans="3:7" x14ac:dyDescent="0.25">
      <c r="C36" s="23">
        <v>2</v>
      </c>
      <c r="D36" s="60">
        <f t="shared" si="0"/>
        <v>84.345002893812449</v>
      </c>
      <c r="E36" s="60">
        <f>+D36*'Stående lån - eks'!C$23/'Stående lån - eks'!C$25</f>
        <v>2.1086250723453115</v>
      </c>
      <c r="F36" s="60">
        <f t="shared" si="1"/>
        <v>16.046372033842232</v>
      </c>
      <c r="G36" s="494">
        <f>-PMT('Stående lån - eks'!C$23/'Stående lån - eks'!C$25,C$40,D$34)</f>
        <v>18.154997106187544</v>
      </c>
    </row>
    <row r="37" spans="3:7" x14ac:dyDescent="0.25">
      <c r="C37" s="23">
        <v>3</v>
      </c>
      <c r="D37" s="60">
        <f t="shared" si="0"/>
        <v>68.298630859970217</v>
      </c>
      <c r="E37" s="60">
        <f>+D37*'Stående lån - eks'!C$23/'Stående lån - eks'!C$25</f>
        <v>1.7074657714992556</v>
      </c>
      <c r="F37" s="60">
        <f t="shared" si="1"/>
        <v>16.447531334688289</v>
      </c>
      <c r="G37" s="494">
        <f>-PMT('Stående lån - eks'!C$23/'Stående lån - eks'!C$25,C$40,D$34)</f>
        <v>18.154997106187544</v>
      </c>
    </row>
    <row r="38" spans="3:7" x14ac:dyDescent="0.25">
      <c r="C38" s="23">
        <v>4</v>
      </c>
      <c r="D38" s="60">
        <f t="shared" si="0"/>
        <v>51.851099525281924</v>
      </c>
      <c r="E38" s="60">
        <f>+D38*'Stående lån - eks'!C$23/'Stående lån - eks'!C$25</f>
        <v>1.2962774881320482</v>
      </c>
      <c r="F38" s="60">
        <f t="shared" si="1"/>
        <v>16.858719618055495</v>
      </c>
      <c r="G38" s="494">
        <f>-PMT('Stående lån - eks'!C$23/'Stående lån - eks'!C$25,C$40,D$34)</f>
        <v>18.154997106187544</v>
      </c>
    </row>
    <row r="39" spans="3:7" x14ac:dyDescent="0.25">
      <c r="C39" s="23">
        <v>5</v>
      </c>
      <c r="D39" s="60">
        <f t="shared" si="0"/>
        <v>34.992379907226429</v>
      </c>
      <c r="E39" s="60">
        <f>+D39*'Stående lån - eks'!C$23/'Stående lån - eks'!C$25</f>
        <v>0.87480949768066074</v>
      </c>
      <c r="F39" s="60">
        <f t="shared" si="1"/>
        <v>17.280187608506882</v>
      </c>
      <c r="G39" s="494">
        <f>-PMT('Stående lån - eks'!C$23/'Stående lån - eks'!C$25,C$40,D$34)</f>
        <v>18.154997106187544</v>
      </c>
    </row>
    <row r="40" spans="3:7" x14ac:dyDescent="0.25">
      <c r="C40" s="26">
        <v>6</v>
      </c>
      <c r="D40" s="526">
        <f t="shared" si="0"/>
        <v>17.712192298719547</v>
      </c>
      <c r="E40" s="526">
        <f>+D40*'Stående lån - eks'!C$23/'Stående lån - eks'!C$25</f>
        <v>0.44280480746798867</v>
      </c>
      <c r="F40" s="526">
        <f t="shared" si="1"/>
        <v>17.712192298719554</v>
      </c>
      <c r="G40" s="527">
        <f>-PMT('Stående lån - eks'!C$23/'Stående lån - eks'!C$25,C$40,D$34)</f>
        <v>18.154997106187544</v>
      </c>
    </row>
    <row r="41" spans="3:7" x14ac:dyDescent="0.25">
      <c r="C41" s="36"/>
      <c r="D41" s="36"/>
      <c r="E41" s="36"/>
      <c r="F41" s="444" t="s">
        <v>1707</v>
      </c>
      <c r="G41" s="59">
        <f>+(1+IRR(G34:G40))^2-1</f>
        <v>5.0625000001069509E-2</v>
      </c>
    </row>
  </sheetData>
  <hyperlinks>
    <hyperlink ref="D3" location="Finansieringsteori!A1" display="Finansieringsteori!A1" xr:uid="{00000000-0004-0000-3200-000000000000}"/>
  </hyperlinks>
  <pageMargins left="0.75" right="0.75" top="1" bottom="1" header="0.5" footer="0.5"/>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B050"/>
  </sheetPr>
  <dimension ref="E2"/>
  <sheetViews>
    <sheetView workbookViewId="0">
      <selection activeCell="E2" sqref="E2"/>
    </sheetView>
  </sheetViews>
  <sheetFormatPr defaultColWidth="10.875" defaultRowHeight="15.75" x14ac:dyDescent="0.25"/>
  <cols>
    <col min="1" max="16384" width="10.875" style="1"/>
  </cols>
  <sheetData>
    <row r="2" spans="5:5" x14ac:dyDescent="0.25">
      <c r="E2" s="101" t="s">
        <v>1612</v>
      </c>
    </row>
  </sheetData>
  <hyperlinks>
    <hyperlink ref="E2" location="Finansieringsteori!A1" display="Finansieringsteori!A1" xr:uid="{00000000-0004-0000-3300-000000000000}"/>
  </hyperlinks>
  <pageMargins left="0.75" right="0.75" top="1" bottom="1" header="0.5" footer="0.5"/>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00B050"/>
  </sheetPr>
  <dimension ref="B3"/>
  <sheetViews>
    <sheetView workbookViewId="0">
      <selection activeCell="B3" sqref="B3"/>
    </sheetView>
  </sheetViews>
  <sheetFormatPr defaultColWidth="10.875" defaultRowHeight="15.75" x14ac:dyDescent="0.25"/>
  <cols>
    <col min="1" max="16384" width="10.875" style="1"/>
  </cols>
  <sheetData>
    <row r="3" spans="2:2" x14ac:dyDescent="0.25">
      <c r="B3" s="101" t="s">
        <v>1612</v>
      </c>
    </row>
  </sheetData>
  <hyperlinks>
    <hyperlink ref="B3" location="Finansieringsteori!A1" display="Finansieringsteori!A1" xr:uid="{00000000-0004-0000-3400-000000000000}"/>
  </hyperlinks>
  <pageMargins left="0.75" right="0.75" top="1" bottom="1" header="0.5" footer="0.5"/>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0B050"/>
  </sheetPr>
  <dimension ref="B2:P166"/>
  <sheetViews>
    <sheetView topLeftCell="C1" workbookViewId="0">
      <selection activeCell="G2" sqref="G2"/>
    </sheetView>
  </sheetViews>
  <sheetFormatPr defaultColWidth="10.875" defaultRowHeight="15.75" x14ac:dyDescent="0.25"/>
  <cols>
    <col min="1" max="1" width="10.875" style="1"/>
    <col min="2" max="2" width="47" style="1" bestFit="1" customWidth="1"/>
    <col min="3" max="7" width="10.875" style="1"/>
    <col min="8" max="8" width="10.875" style="11"/>
    <col min="9" max="9" width="32" style="1" customWidth="1"/>
    <col min="10" max="10" width="16.5" style="1" bestFit="1" customWidth="1"/>
    <col min="11" max="11" width="13" style="1" bestFit="1" customWidth="1"/>
    <col min="12" max="12" width="26.875" style="1" bestFit="1" customWidth="1"/>
    <col min="13" max="13" width="27.375" style="1" bestFit="1" customWidth="1"/>
    <col min="14" max="14" width="21.375" style="1" bestFit="1" customWidth="1"/>
    <col min="15" max="15" width="16.5" style="1" bestFit="1" customWidth="1"/>
    <col min="16" max="16384" width="10.875" style="1"/>
  </cols>
  <sheetData>
    <row r="2" spans="2:16" x14ac:dyDescent="0.25">
      <c r="G2" s="101" t="s">
        <v>1612</v>
      </c>
    </row>
    <row r="6" spans="2:16" x14ac:dyDescent="0.25">
      <c r="B6" s="425" t="s">
        <v>1834</v>
      </c>
      <c r="C6" s="36"/>
      <c r="D6" s="172"/>
      <c r="E6" s="36"/>
      <c r="F6" s="36"/>
    </row>
    <row r="7" spans="2:16" x14ac:dyDescent="0.25">
      <c r="B7" s="20" t="s">
        <v>1833</v>
      </c>
      <c r="C7" s="64"/>
      <c r="D7" s="540"/>
      <c r="E7" s="16"/>
      <c r="F7" s="16"/>
      <c r="I7" s="541" t="s">
        <v>1836</v>
      </c>
      <c r="J7" s="163"/>
      <c r="K7" s="542"/>
      <c r="L7" s="163"/>
      <c r="M7" s="163"/>
      <c r="N7" s="163"/>
      <c r="O7" s="163"/>
      <c r="P7" s="163"/>
    </row>
    <row r="8" spans="2:16" x14ac:dyDescent="0.25">
      <c r="B8" s="23" t="s">
        <v>1832</v>
      </c>
      <c r="C8" s="16"/>
      <c r="D8" s="539"/>
      <c r="E8" s="16"/>
      <c r="F8" s="16"/>
      <c r="I8" s="163" t="s">
        <v>1837</v>
      </c>
      <c r="J8" s="163"/>
      <c r="K8" s="163"/>
      <c r="L8" s="163"/>
      <c r="M8" s="163"/>
      <c r="N8" s="163"/>
      <c r="O8" s="163"/>
      <c r="P8" s="163"/>
    </row>
    <row r="9" spans="2:16" x14ac:dyDescent="0.25">
      <c r="B9" s="26" t="s">
        <v>1831</v>
      </c>
      <c r="C9" s="208"/>
      <c r="D9" s="538"/>
      <c r="E9" s="16"/>
      <c r="F9" s="16"/>
      <c r="I9" s="163"/>
      <c r="J9" s="163"/>
      <c r="K9" s="542"/>
      <c r="L9" s="163"/>
      <c r="M9" s="163"/>
      <c r="N9" s="163"/>
      <c r="O9" s="163"/>
      <c r="P9" s="163"/>
    </row>
    <row r="10" spans="2:16" x14ac:dyDescent="0.25">
      <c r="B10" s="16"/>
      <c r="C10" s="16"/>
      <c r="D10" s="504"/>
      <c r="E10" s="16"/>
      <c r="F10" s="16"/>
      <c r="I10" s="163" t="s">
        <v>1838</v>
      </c>
      <c r="J10" s="163"/>
      <c r="K10" s="542"/>
      <c r="L10" s="163"/>
      <c r="M10" s="163"/>
      <c r="N10" s="163"/>
      <c r="O10" s="163"/>
      <c r="P10" s="163"/>
    </row>
    <row r="11" spans="2:16" x14ac:dyDescent="0.25">
      <c r="B11" s="18" t="s">
        <v>1830</v>
      </c>
      <c r="C11" s="16"/>
      <c r="D11" s="504"/>
      <c r="E11" s="16"/>
      <c r="F11" s="16"/>
      <c r="I11" s="163"/>
      <c r="J11" s="163"/>
      <c r="K11" s="542"/>
      <c r="L11" s="163"/>
      <c r="M11" s="163"/>
      <c r="N11" s="163"/>
      <c r="O11" s="163"/>
      <c r="P11" s="163"/>
    </row>
    <row r="12" spans="2:16" x14ac:dyDescent="0.25">
      <c r="B12" s="16"/>
      <c r="C12" s="16"/>
      <c r="D12" s="504"/>
      <c r="E12" s="16"/>
      <c r="F12" s="16"/>
      <c r="I12" s="543" t="s">
        <v>1627</v>
      </c>
      <c r="J12" s="544" t="s">
        <v>1839</v>
      </c>
      <c r="K12" s="545" t="s">
        <v>1652</v>
      </c>
      <c r="L12" s="546" t="s">
        <v>1840</v>
      </c>
      <c r="M12" s="547" t="s">
        <v>1841</v>
      </c>
      <c r="N12" s="163"/>
      <c r="O12" s="163"/>
      <c r="P12" s="163"/>
    </row>
    <row r="13" spans="2:16" x14ac:dyDescent="0.25">
      <c r="B13" s="16" t="s">
        <v>1829</v>
      </c>
      <c r="C13" s="16"/>
      <c r="D13" s="504"/>
      <c r="E13" s="16"/>
      <c r="F13" s="16"/>
      <c r="I13" s="548">
        <v>824000</v>
      </c>
      <c r="J13" s="549">
        <v>7.0000000000000007E-2</v>
      </c>
      <c r="K13" s="549">
        <v>97.05</v>
      </c>
      <c r="L13" s="444">
        <v>30</v>
      </c>
      <c r="M13" s="550">
        <v>4</v>
      </c>
      <c r="N13" s="163"/>
      <c r="O13" s="163"/>
      <c r="P13" s="163"/>
    </row>
    <row r="14" spans="2:16" x14ac:dyDescent="0.25">
      <c r="B14" s="537" t="s">
        <v>1828</v>
      </c>
      <c r="C14" s="536">
        <v>0.05</v>
      </c>
      <c r="D14" s="504"/>
      <c r="E14" s="16"/>
      <c r="F14" s="16"/>
      <c r="I14" s="548">
        <v>879000</v>
      </c>
      <c r="J14" s="549">
        <v>0.06</v>
      </c>
      <c r="K14" s="549">
        <v>91.05</v>
      </c>
      <c r="L14" s="444">
        <v>30</v>
      </c>
      <c r="M14" s="550">
        <v>4</v>
      </c>
      <c r="N14" s="163"/>
      <c r="O14" s="163"/>
      <c r="P14" s="163"/>
    </row>
    <row r="15" spans="2:16" x14ac:dyDescent="0.25">
      <c r="B15" s="23" t="s">
        <v>1827</v>
      </c>
      <c r="C15" s="191">
        <v>1</v>
      </c>
      <c r="D15" s="16"/>
      <c r="E15" s="16"/>
      <c r="F15" s="16"/>
      <c r="I15" s="551">
        <v>945000</v>
      </c>
      <c r="J15" s="552">
        <v>0.05</v>
      </c>
      <c r="K15" s="552">
        <v>84.65</v>
      </c>
      <c r="L15" s="530">
        <v>30</v>
      </c>
      <c r="M15" s="553">
        <v>4</v>
      </c>
      <c r="N15" s="163"/>
      <c r="O15" s="163"/>
      <c r="P15" s="163"/>
    </row>
    <row r="16" spans="2:16" x14ac:dyDescent="0.25">
      <c r="B16" s="535" t="s">
        <v>1826</v>
      </c>
      <c r="C16" s="534">
        <v>10</v>
      </c>
      <c r="D16" s="16"/>
      <c r="E16" s="16"/>
      <c r="F16" s="16"/>
      <c r="I16" s="163"/>
      <c r="J16" s="444"/>
      <c r="K16" s="542"/>
      <c r="L16" s="163"/>
      <c r="M16" s="163"/>
      <c r="N16" s="163"/>
      <c r="O16" s="163"/>
      <c r="P16" s="163"/>
    </row>
    <row r="17" spans="2:16" x14ac:dyDescent="0.25">
      <c r="B17" s="26" t="s">
        <v>1825</v>
      </c>
      <c r="C17" s="209">
        <v>96</v>
      </c>
      <c r="D17" s="16"/>
      <c r="E17" s="16"/>
      <c r="F17" s="16"/>
      <c r="I17" s="163" t="s">
        <v>1842</v>
      </c>
      <c r="J17" s="554"/>
      <c r="K17" s="163"/>
      <c r="L17" s="163"/>
      <c r="M17" s="163"/>
      <c r="N17" s="163"/>
      <c r="O17" s="163"/>
      <c r="P17" s="163"/>
    </row>
    <row r="18" spans="2:16" x14ac:dyDescent="0.25">
      <c r="B18" s="19"/>
      <c r="C18" s="19"/>
      <c r="D18" s="19"/>
      <c r="E18" s="19"/>
      <c r="F18" s="19"/>
      <c r="I18" s="555" t="s">
        <v>1843</v>
      </c>
      <c r="J18" s="556">
        <v>1000</v>
      </c>
      <c r="K18" s="163" t="s">
        <v>1844</v>
      </c>
      <c r="L18" s="163"/>
      <c r="M18" s="163"/>
      <c r="N18" s="163"/>
      <c r="O18" s="163"/>
      <c r="P18" s="163"/>
    </row>
    <row r="19" spans="2:16" x14ac:dyDescent="0.25">
      <c r="B19" s="16" t="s">
        <v>1829</v>
      </c>
      <c r="C19" s="16"/>
      <c r="D19" s="19"/>
      <c r="E19" s="19"/>
      <c r="F19" s="169"/>
      <c r="I19" s="557" t="s">
        <v>1845</v>
      </c>
      <c r="J19" s="558">
        <v>1000</v>
      </c>
      <c r="K19" s="163" t="s">
        <v>1844</v>
      </c>
      <c r="L19" s="163"/>
      <c r="M19" s="163"/>
      <c r="N19" s="163"/>
      <c r="O19" s="163"/>
      <c r="P19" s="163"/>
    </row>
    <row r="20" spans="2:16" x14ac:dyDescent="0.25">
      <c r="B20" s="537" t="s">
        <v>1828</v>
      </c>
      <c r="C20" s="536">
        <v>0.05</v>
      </c>
      <c r="D20" s="169"/>
      <c r="E20" s="169"/>
      <c r="F20" s="169"/>
      <c r="I20" s="557" t="s">
        <v>1846</v>
      </c>
      <c r="J20" s="559">
        <v>1.5E-3</v>
      </c>
      <c r="K20" s="163" t="s">
        <v>1847</v>
      </c>
      <c r="L20" s="444"/>
      <c r="M20" s="444"/>
      <c r="N20" s="444"/>
      <c r="O20" s="163"/>
      <c r="P20" s="163"/>
    </row>
    <row r="21" spans="2:16" x14ac:dyDescent="0.25">
      <c r="B21" s="23" t="s">
        <v>1827</v>
      </c>
      <c r="C21" s="191">
        <v>1</v>
      </c>
      <c r="D21" s="169"/>
      <c r="E21" s="169"/>
      <c r="F21" s="169"/>
      <c r="I21" s="557" t="s">
        <v>1848</v>
      </c>
      <c r="J21" s="559">
        <v>1.4999999999999999E-2</v>
      </c>
      <c r="K21" s="163" t="s">
        <v>1849</v>
      </c>
      <c r="L21" s="444"/>
      <c r="M21" s="554"/>
      <c r="N21" s="444"/>
      <c r="O21" s="542"/>
      <c r="P21" s="560"/>
    </row>
    <row r="22" spans="2:16" x14ac:dyDescent="0.25">
      <c r="B22" s="535" t="s">
        <v>1826</v>
      </c>
      <c r="C22" s="534">
        <v>10</v>
      </c>
      <c r="D22" s="169"/>
      <c r="E22" s="169"/>
      <c r="F22" s="169"/>
      <c r="I22" s="561" t="s">
        <v>1850</v>
      </c>
      <c r="J22" s="562">
        <v>1400</v>
      </c>
      <c r="K22" s="542" t="s">
        <v>1844</v>
      </c>
      <c r="L22" s="554"/>
      <c r="M22" s="554"/>
      <c r="N22" s="554"/>
      <c r="O22" s="542"/>
      <c r="P22" s="560"/>
    </row>
    <row r="23" spans="2:16" x14ac:dyDescent="0.25">
      <c r="B23" s="26" t="s">
        <v>1825</v>
      </c>
      <c r="C23" s="209">
        <v>103</v>
      </c>
      <c r="D23" s="169"/>
      <c r="E23" s="169"/>
      <c r="F23" s="169"/>
      <c r="I23" s="163"/>
      <c r="J23" s="549"/>
      <c r="K23" s="542"/>
      <c r="L23" s="554"/>
      <c r="M23" s="554"/>
      <c r="N23" s="554"/>
      <c r="O23" s="542"/>
      <c r="P23" s="560"/>
    </row>
    <row r="24" spans="2:16" x14ac:dyDescent="0.25">
      <c r="B24" s="16"/>
      <c r="C24" s="16"/>
      <c r="D24" s="169"/>
      <c r="E24" s="169"/>
      <c r="F24" s="169"/>
      <c r="I24" s="163" t="s">
        <v>1851</v>
      </c>
      <c r="J24" s="554"/>
      <c r="K24" s="554"/>
      <c r="L24" s="554"/>
      <c r="M24" s="554"/>
      <c r="N24" s="554"/>
      <c r="O24" s="542"/>
      <c r="P24" s="560"/>
    </row>
    <row r="25" spans="2:16" x14ac:dyDescent="0.25">
      <c r="B25" s="16"/>
      <c r="C25" s="16"/>
      <c r="D25" s="169"/>
      <c r="E25" s="169"/>
      <c r="F25" s="169"/>
      <c r="I25" s="163" t="s">
        <v>1852</v>
      </c>
      <c r="J25" s="563">
        <v>6.4999999999999997E-3</v>
      </c>
      <c r="K25" s="542" t="s">
        <v>1853</v>
      </c>
      <c r="L25" s="554"/>
      <c r="M25" s="554"/>
      <c r="N25" s="554"/>
      <c r="O25" s="542"/>
      <c r="P25" s="560"/>
    </row>
    <row r="26" spans="2:16" x14ac:dyDescent="0.25">
      <c r="B26" s="18" t="s">
        <v>1824</v>
      </c>
      <c r="C26" s="169"/>
      <c r="D26" s="169"/>
      <c r="E26" s="169"/>
      <c r="F26" s="169"/>
      <c r="I26" s="444"/>
      <c r="J26" s="554"/>
      <c r="K26" s="554"/>
      <c r="L26" s="554"/>
      <c r="M26" s="554"/>
      <c r="N26" s="554"/>
      <c r="O26" s="542"/>
      <c r="P26" s="560"/>
    </row>
    <row r="27" spans="2:16" x14ac:dyDescent="0.25">
      <c r="B27" s="20" t="s">
        <v>1731</v>
      </c>
      <c r="C27" s="533" t="s">
        <v>1671</v>
      </c>
      <c r="D27" s="533" t="s">
        <v>1363</v>
      </c>
      <c r="E27" s="533" t="s">
        <v>1388</v>
      </c>
      <c r="F27" s="190" t="s">
        <v>1390</v>
      </c>
      <c r="I27" s="564" t="s">
        <v>1854</v>
      </c>
      <c r="J27" s="564"/>
      <c r="K27" s="554"/>
      <c r="L27" s="444"/>
      <c r="M27" s="444"/>
      <c r="N27" s="554"/>
      <c r="O27" s="542"/>
      <c r="P27" s="560"/>
    </row>
    <row r="28" spans="2:16" x14ac:dyDescent="0.25">
      <c r="B28" s="23">
        <v>0</v>
      </c>
      <c r="C28" s="169">
        <v>100</v>
      </c>
      <c r="D28" s="169">
        <v>0</v>
      </c>
      <c r="E28" s="169">
        <v>0</v>
      </c>
      <c r="F28" s="191">
        <v>-96</v>
      </c>
      <c r="I28" s="564" t="s">
        <v>1855</v>
      </c>
      <c r="J28" s="564"/>
      <c r="K28" s="554"/>
      <c r="L28" s="444"/>
      <c r="M28" s="444"/>
      <c r="N28" s="554"/>
      <c r="O28" s="542"/>
      <c r="P28" s="560"/>
    </row>
    <row r="29" spans="2:16" x14ac:dyDescent="0.25">
      <c r="B29" s="23">
        <f t="shared" ref="B29:B38" si="0">+B28+1</f>
        <v>1</v>
      </c>
      <c r="C29" s="169">
        <f t="shared" ref="C29:C38" si="1">+C28-E28</f>
        <v>100</v>
      </c>
      <c r="D29" s="169">
        <f t="shared" ref="D29:D38" si="2">+C$14*C29</f>
        <v>5</v>
      </c>
      <c r="E29" s="169">
        <v>0</v>
      </c>
      <c r="F29" s="191">
        <f t="shared" ref="F29:F38" si="3">+SUM(D29:E29)</f>
        <v>5</v>
      </c>
      <c r="I29" s="564" t="s">
        <v>1856</v>
      </c>
      <c r="J29" s="444"/>
      <c r="K29" s="554"/>
      <c r="L29" s="444"/>
      <c r="M29" s="444"/>
      <c r="N29" s="554"/>
      <c r="O29" s="542"/>
      <c r="P29" s="560"/>
    </row>
    <row r="30" spans="2:16" x14ac:dyDescent="0.25">
      <c r="B30" s="23">
        <f t="shared" si="0"/>
        <v>2</v>
      </c>
      <c r="C30" s="169">
        <f t="shared" si="1"/>
        <v>100</v>
      </c>
      <c r="D30" s="169">
        <f t="shared" si="2"/>
        <v>5</v>
      </c>
      <c r="E30" s="169">
        <v>0</v>
      </c>
      <c r="F30" s="191">
        <f t="shared" si="3"/>
        <v>5</v>
      </c>
      <c r="I30" s="444"/>
      <c r="J30" s="565"/>
      <c r="K30" s="532" t="s">
        <v>1857</v>
      </c>
      <c r="L30" s="566" t="s">
        <v>1858</v>
      </c>
      <c r="M30" s="532" t="s">
        <v>1859</v>
      </c>
      <c r="N30" s="567" t="s">
        <v>1860</v>
      </c>
      <c r="O30" s="568" t="s">
        <v>1861</v>
      </c>
      <c r="P30" s="560"/>
    </row>
    <row r="31" spans="2:16" x14ac:dyDescent="0.25">
      <c r="B31" s="23">
        <f t="shared" si="0"/>
        <v>3</v>
      </c>
      <c r="C31" s="169">
        <f t="shared" si="1"/>
        <v>100</v>
      </c>
      <c r="D31" s="169">
        <f t="shared" si="2"/>
        <v>5</v>
      </c>
      <c r="E31" s="169">
        <v>0</v>
      </c>
      <c r="F31" s="191">
        <f t="shared" si="3"/>
        <v>5</v>
      </c>
      <c r="I31" s="444"/>
      <c r="J31" s="567" t="s">
        <v>1857</v>
      </c>
      <c r="K31" s="568" t="s">
        <v>1858</v>
      </c>
      <c r="L31" s="567" t="s">
        <v>1859</v>
      </c>
      <c r="M31" s="567" t="s">
        <v>1860</v>
      </c>
      <c r="N31" s="568" t="s">
        <v>1861</v>
      </c>
      <c r="O31" s="560"/>
      <c r="P31" s="163"/>
    </row>
    <row r="32" spans="2:16" x14ac:dyDescent="0.25">
      <c r="B32" s="23">
        <f t="shared" si="0"/>
        <v>4</v>
      </c>
      <c r="C32" s="169">
        <f t="shared" si="1"/>
        <v>100</v>
      </c>
      <c r="D32" s="169">
        <f t="shared" si="2"/>
        <v>5</v>
      </c>
      <c r="E32" s="169">
        <v>0</v>
      </c>
      <c r="F32" s="191">
        <f t="shared" si="3"/>
        <v>5</v>
      </c>
      <c r="I32" s="444" t="s">
        <v>1824</v>
      </c>
      <c r="J32" s="568">
        <v>782732</v>
      </c>
      <c r="K32" s="569">
        <v>94.99</v>
      </c>
      <c r="L32" s="569">
        <v>16474.37</v>
      </c>
      <c r="M32" s="570">
        <v>2.0489E-2</v>
      </c>
      <c r="N32" s="571">
        <v>8.4500000000000006E-2</v>
      </c>
      <c r="O32" s="560"/>
      <c r="P32" s="163"/>
    </row>
    <row r="33" spans="2:16" x14ac:dyDescent="0.25">
      <c r="B33" s="23">
        <f t="shared" si="0"/>
        <v>5</v>
      </c>
      <c r="C33" s="169">
        <f t="shared" si="1"/>
        <v>100</v>
      </c>
      <c r="D33" s="169">
        <f t="shared" si="2"/>
        <v>5</v>
      </c>
      <c r="E33" s="169">
        <v>0</v>
      </c>
      <c r="F33" s="191">
        <f t="shared" si="3"/>
        <v>5</v>
      </c>
      <c r="I33" s="444" t="s">
        <v>1823</v>
      </c>
      <c r="J33" s="568">
        <v>782544</v>
      </c>
      <c r="K33" s="572">
        <v>89</v>
      </c>
      <c r="L33" s="569">
        <v>15838.28</v>
      </c>
      <c r="M33" s="571">
        <v>1.9599999999999999E-2</v>
      </c>
      <c r="N33" s="571">
        <v>8.0699999999999994E-2</v>
      </c>
      <c r="O33" s="560"/>
      <c r="P33" s="163"/>
    </row>
    <row r="34" spans="2:16" x14ac:dyDescent="0.25">
      <c r="B34" s="23">
        <f t="shared" si="0"/>
        <v>6</v>
      </c>
      <c r="C34" s="169">
        <f t="shared" si="1"/>
        <v>100</v>
      </c>
      <c r="D34" s="169">
        <f t="shared" si="2"/>
        <v>5</v>
      </c>
      <c r="E34" s="169">
        <v>0</v>
      </c>
      <c r="F34" s="191">
        <f t="shared" si="3"/>
        <v>5</v>
      </c>
      <c r="I34" s="444" t="s">
        <v>1862</v>
      </c>
      <c r="J34" s="568">
        <v>781168</v>
      </c>
      <c r="K34" s="572">
        <v>82.7</v>
      </c>
      <c r="L34" s="569">
        <v>15246.15</v>
      </c>
      <c r="M34" s="571">
        <v>1.8800000000000001E-2</v>
      </c>
      <c r="N34" s="571">
        <v>7.7299999999999994E-2</v>
      </c>
      <c r="O34" s="163"/>
      <c r="P34" s="163"/>
    </row>
    <row r="35" spans="2:16" x14ac:dyDescent="0.25">
      <c r="B35" s="23">
        <f t="shared" si="0"/>
        <v>7</v>
      </c>
      <c r="C35" s="169">
        <f t="shared" si="1"/>
        <v>100</v>
      </c>
      <c r="D35" s="169">
        <f t="shared" si="2"/>
        <v>5</v>
      </c>
      <c r="E35" s="169">
        <v>0</v>
      </c>
      <c r="F35" s="191">
        <f t="shared" si="3"/>
        <v>5</v>
      </c>
      <c r="I35" s="444"/>
      <c r="J35" s="554"/>
      <c r="K35" s="573"/>
      <c r="L35" s="439"/>
      <c r="M35" s="574"/>
      <c r="N35" s="574"/>
      <c r="O35" s="163"/>
      <c r="P35" s="163"/>
    </row>
    <row r="36" spans="2:16" x14ac:dyDescent="0.25">
      <c r="B36" s="23">
        <f t="shared" si="0"/>
        <v>8</v>
      </c>
      <c r="C36" s="169">
        <f t="shared" si="1"/>
        <v>100</v>
      </c>
      <c r="D36" s="169">
        <f t="shared" si="2"/>
        <v>5</v>
      </c>
      <c r="E36" s="169">
        <v>0</v>
      </c>
      <c r="F36" s="191">
        <f t="shared" si="3"/>
        <v>5</v>
      </c>
      <c r="I36" s="163"/>
      <c r="J36" s="554"/>
      <c r="K36" s="573"/>
      <c r="L36" s="439"/>
      <c r="M36" s="574"/>
      <c r="N36" s="574"/>
      <c r="O36" s="163"/>
      <c r="P36" s="163"/>
    </row>
    <row r="37" spans="2:16" x14ac:dyDescent="0.25">
      <c r="B37" s="23">
        <f t="shared" si="0"/>
        <v>9</v>
      </c>
      <c r="C37" s="169">
        <f t="shared" si="1"/>
        <v>100</v>
      </c>
      <c r="D37" s="169">
        <f t="shared" si="2"/>
        <v>5</v>
      </c>
      <c r="E37" s="169">
        <v>0</v>
      </c>
      <c r="F37" s="191">
        <f t="shared" si="3"/>
        <v>5</v>
      </c>
      <c r="I37" s="163"/>
      <c r="J37" s="554"/>
      <c r="K37" s="573"/>
      <c r="L37" s="439"/>
      <c r="M37" s="574"/>
      <c r="N37" s="574"/>
      <c r="O37" s="163"/>
      <c r="P37" s="163"/>
    </row>
    <row r="38" spans="2:16" x14ac:dyDescent="0.25">
      <c r="B38" s="26">
        <f t="shared" si="0"/>
        <v>10</v>
      </c>
      <c r="C38" s="187">
        <f t="shared" si="1"/>
        <v>100</v>
      </c>
      <c r="D38" s="208">
        <f t="shared" si="2"/>
        <v>5</v>
      </c>
      <c r="E38" s="208">
        <v>100</v>
      </c>
      <c r="F38" s="209">
        <f t="shared" si="3"/>
        <v>105</v>
      </c>
      <c r="I38" s="163"/>
      <c r="J38" s="554"/>
      <c r="K38" s="573"/>
      <c r="L38" s="439"/>
      <c r="M38" s="574"/>
      <c r="N38" s="574"/>
      <c r="O38" s="163"/>
      <c r="P38" s="163"/>
    </row>
    <row r="39" spans="2:16" x14ac:dyDescent="0.25">
      <c r="B39" s="36"/>
      <c r="C39" s="36"/>
      <c r="D39" s="36"/>
      <c r="E39" s="498" t="s">
        <v>1465</v>
      </c>
      <c r="F39" s="406">
        <f>+IRR(F28:F38)</f>
        <v>5.5314724723703801E-2</v>
      </c>
      <c r="I39" s="163"/>
      <c r="J39" s="554"/>
      <c r="K39" s="573"/>
      <c r="L39" s="439"/>
      <c r="M39" s="574"/>
      <c r="N39" s="574"/>
      <c r="O39" s="163"/>
      <c r="P39" s="163"/>
    </row>
    <row r="40" spans="2:16" x14ac:dyDescent="0.25">
      <c r="B40" s="18" t="s">
        <v>1823</v>
      </c>
      <c r="C40" s="169"/>
      <c r="D40" s="169"/>
      <c r="E40" s="169"/>
      <c r="F40" s="169"/>
      <c r="I40" s="444"/>
      <c r="J40" s="554"/>
      <c r="K40" s="573"/>
      <c r="L40" s="439"/>
      <c r="M40" s="574"/>
      <c r="N40" s="574"/>
      <c r="O40" s="163"/>
      <c r="P40" s="163"/>
    </row>
    <row r="41" spans="2:16" x14ac:dyDescent="0.25">
      <c r="B41" s="20" t="s">
        <v>1731</v>
      </c>
      <c r="C41" s="533" t="s">
        <v>1671</v>
      </c>
      <c r="D41" s="533" t="s">
        <v>1363</v>
      </c>
      <c r="E41" s="533" t="s">
        <v>1388</v>
      </c>
      <c r="F41" s="190" t="s">
        <v>1390</v>
      </c>
      <c r="I41" s="444"/>
      <c r="J41" s="554"/>
      <c r="K41" s="573"/>
      <c r="L41" s="439" t="s">
        <v>1863</v>
      </c>
      <c r="M41" s="571">
        <v>7.0000000000000007E-2</v>
      </c>
      <c r="N41" s="444"/>
      <c r="O41" s="163"/>
      <c r="P41" s="163"/>
    </row>
    <row r="42" spans="2:16" x14ac:dyDescent="0.25">
      <c r="B42" s="23">
        <v>0</v>
      </c>
      <c r="C42" s="169">
        <v>100</v>
      </c>
      <c r="D42" s="169">
        <v>0</v>
      </c>
      <c r="E42" s="169">
        <v>0</v>
      </c>
      <c r="F42" s="191">
        <v>103</v>
      </c>
      <c r="I42" s="575" t="s">
        <v>1864</v>
      </c>
      <c r="J42" s="575"/>
      <c r="K42" s="576">
        <v>1</v>
      </c>
      <c r="L42" s="565" t="s">
        <v>1865</v>
      </c>
      <c r="M42" s="577">
        <v>2.0489E-2</v>
      </c>
      <c r="N42" s="444"/>
      <c r="O42" s="163"/>
      <c r="P42" s="163"/>
    </row>
    <row r="43" spans="2:16" x14ac:dyDescent="0.25">
      <c r="B43" s="23">
        <f t="shared" ref="B43:B52" si="4">+B42+1</f>
        <v>1</v>
      </c>
      <c r="C43" s="169">
        <f t="shared" ref="C43:C52" si="5">+C42-E42</f>
        <v>100</v>
      </c>
      <c r="D43" s="169">
        <f t="shared" ref="D43:D52" si="6">-C$20*C43</f>
        <v>-5</v>
      </c>
      <c r="E43" s="169">
        <v>0</v>
      </c>
      <c r="F43" s="191">
        <f t="shared" ref="F43:F52" si="7">+SUM(D43:E43)</f>
        <v>-5</v>
      </c>
      <c r="I43" s="163"/>
      <c r="J43" s="554"/>
      <c r="K43" s="573"/>
      <c r="L43" s="439"/>
      <c r="M43" s="444"/>
      <c r="N43" s="444"/>
      <c r="O43" s="163"/>
      <c r="P43" s="163"/>
    </row>
    <row r="44" spans="2:16" x14ac:dyDescent="0.25">
      <c r="B44" s="23">
        <f t="shared" si="4"/>
        <v>2</v>
      </c>
      <c r="C44" s="169">
        <f t="shared" si="5"/>
        <v>100</v>
      </c>
      <c r="D44" s="169">
        <f t="shared" si="6"/>
        <v>-5</v>
      </c>
      <c r="E44" s="169">
        <v>0</v>
      </c>
      <c r="F44" s="191">
        <f t="shared" si="7"/>
        <v>-5</v>
      </c>
      <c r="I44" s="163"/>
      <c r="J44" s="554"/>
      <c r="K44" s="573"/>
      <c r="L44" s="439"/>
      <c r="M44" s="444"/>
      <c r="N44" s="444"/>
      <c r="O44" s="163"/>
      <c r="P44" s="163"/>
    </row>
    <row r="45" spans="2:16" x14ac:dyDescent="0.25">
      <c r="B45" s="23">
        <f t="shared" si="4"/>
        <v>3</v>
      </c>
      <c r="C45" s="169">
        <f t="shared" si="5"/>
        <v>100</v>
      </c>
      <c r="D45" s="169">
        <f t="shared" si="6"/>
        <v>-5</v>
      </c>
      <c r="E45" s="169">
        <v>0</v>
      </c>
      <c r="F45" s="191">
        <f t="shared" si="7"/>
        <v>-5</v>
      </c>
      <c r="I45" s="444" t="s">
        <v>1731</v>
      </c>
      <c r="J45" s="578" t="s">
        <v>1866</v>
      </c>
      <c r="K45" s="444" t="s">
        <v>1377</v>
      </c>
      <c r="L45" s="578" t="s">
        <v>1388</v>
      </c>
      <c r="M45" s="578" t="s">
        <v>1867</v>
      </c>
      <c r="N45" s="444" t="s">
        <v>1868</v>
      </c>
      <c r="O45" s="444" t="s">
        <v>1869</v>
      </c>
      <c r="P45" s="444" t="s">
        <v>1870</v>
      </c>
    </row>
    <row r="46" spans="2:16" x14ac:dyDescent="0.25">
      <c r="B46" s="23">
        <f t="shared" si="4"/>
        <v>4</v>
      </c>
      <c r="C46" s="169">
        <f t="shared" si="5"/>
        <v>100</v>
      </c>
      <c r="D46" s="169">
        <f t="shared" si="6"/>
        <v>-5</v>
      </c>
      <c r="E46" s="169">
        <v>0</v>
      </c>
      <c r="F46" s="191">
        <f t="shared" si="7"/>
        <v>-5</v>
      </c>
      <c r="I46" s="444">
        <v>0</v>
      </c>
      <c r="J46" s="444">
        <v>0</v>
      </c>
      <c r="K46" s="439">
        <v>0</v>
      </c>
      <c r="L46" s="439">
        <v>0</v>
      </c>
      <c r="M46" s="444">
        <v>0</v>
      </c>
      <c r="N46" s="439">
        <v>0</v>
      </c>
      <c r="O46" s="439">
        <v>824000</v>
      </c>
      <c r="P46" s="439">
        <v>-782732.46</v>
      </c>
    </row>
    <row r="47" spans="2:16" x14ac:dyDescent="0.25">
      <c r="B47" s="23">
        <f t="shared" si="4"/>
        <v>5</v>
      </c>
      <c r="C47" s="169">
        <f t="shared" si="5"/>
        <v>100</v>
      </c>
      <c r="D47" s="169">
        <f t="shared" si="6"/>
        <v>-5</v>
      </c>
      <c r="E47" s="169">
        <v>0</v>
      </c>
      <c r="F47" s="191">
        <f t="shared" si="7"/>
        <v>-5</v>
      </c>
      <c r="I47" s="444">
        <v>1</v>
      </c>
      <c r="J47" s="439">
        <v>824000</v>
      </c>
      <c r="K47" s="439">
        <v>14420</v>
      </c>
      <c r="L47" s="439">
        <v>2054.37</v>
      </c>
      <c r="M47" s="439">
        <v>16474.37</v>
      </c>
      <c r="N47" s="439">
        <v>1339</v>
      </c>
      <c r="O47" s="439">
        <v>821945.63</v>
      </c>
      <c r="P47" s="439">
        <v>17813.37</v>
      </c>
    </row>
    <row r="48" spans="2:16" x14ac:dyDescent="0.25">
      <c r="B48" s="23">
        <f t="shared" si="4"/>
        <v>6</v>
      </c>
      <c r="C48" s="169">
        <f t="shared" si="5"/>
        <v>100</v>
      </c>
      <c r="D48" s="169">
        <f t="shared" si="6"/>
        <v>-5</v>
      </c>
      <c r="E48" s="169">
        <v>0</v>
      </c>
      <c r="F48" s="191">
        <f t="shared" si="7"/>
        <v>-5</v>
      </c>
      <c r="I48" s="444">
        <v>2</v>
      </c>
      <c r="J48" s="439">
        <v>821945.63</v>
      </c>
      <c r="K48" s="439">
        <v>14384.05</v>
      </c>
      <c r="L48" s="439">
        <v>2090.3200000000002</v>
      </c>
      <c r="M48" s="439">
        <v>16474.37</v>
      </c>
      <c r="N48" s="439">
        <v>1335.66</v>
      </c>
      <c r="O48" s="439">
        <v>819855.31</v>
      </c>
      <c r="P48" s="439">
        <v>17810.03</v>
      </c>
    </row>
    <row r="49" spans="2:16" x14ac:dyDescent="0.25">
      <c r="B49" s="23">
        <f t="shared" si="4"/>
        <v>7</v>
      </c>
      <c r="C49" s="169">
        <f t="shared" si="5"/>
        <v>100</v>
      </c>
      <c r="D49" s="169">
        <f t="shared" si="6"/>
        <v>-5</v>
      </c>
      <c r="E49" s="169">
        <v>0</v>
      </c>
      <c r="F49" s="191">
        <f t="shared" si="7"/>
        <v>-5</v>
      </c>
      <c r="I49" s="444">
        <v>3</v>
      </c>
      <c r="J49" s="439">
        <v>819855.31</v>
      </c>
      <c r="K49" s="439">
        <v>14347.47</v>
      </c>
      <c r="L49" s="439">
        <v>2126.9</v>
      </c>
      <c r="M49" s="439">
        <v>16474.37</v>
      </c>
      <c r="N49" s="439">
        <v>1332.26</v>
      </c>
      <c r="O49" s="439">
        <v>817728.41</v>
      </c>
      <c r="P49" s="439">
        <v>17806.63</v>
      </c>
    </row>
    <row r="50" spans="2:16" x14ac:dyDescent="0.25">
      <c r="B50" s="23">
        <f t="shared" si="4"/>
        <v>8</v>
      </c>
      <c r="C50" s="169">
        <f t="shared" si="5"/>
        <v>100</v>
      </c>
      <c r="D50" s="169">
        <f t="shared" si="6"/>
        <v>-5</v>
      </c>
      <c r="E50" s="169">
        <v>0</v>
      </c>
      <c r="F50" s="191">
        <f t="shared" si="7"/>
        <v>-5</v>
      </c>
      <c r="I50" s="444">
        <v>4</v>
      </c>
      <c r="J50" s="439">
        <v>817728.41</v>
      </c>
      <c r="K50" s="439">
        <v>14310.25</v>
      </c>
      <c r="L50" s="439">
        <v>2164.12</v>
      </c>
      <c r="M50" s="439">
        <v>16474.37</v>
      </c>
      <c r="N50" s="439">
        <v>1328.81</v>
      </c>
      <c r="O50" s="439">
        <v>815564.28</v>
      </c>
      <c r="P50" s="439">
        <v>17803.18</v>
      </c>
    </row>
    <row r="51" spans="2:16" x14ac:dyDescent="0.25">
      <c r="B51" s="23">
        <f t="shared" si="4"/>
        <v>9</v>
      </c>
      <c r="C51" s="169">
        <f t="shared" si="5"/>
        <v>100</v>
      </c>
      <c r="D51" s="169">
        <f t="shared" si="6"/>
        <v>-5</v>
      </c>
      <c r="E51" s="169">
        <v>0</v>
      </c>
      <c r="F51" s="191">
        <f t="shared" si="7"/>
        <v>-5</v>
      </c>
      <c r="I51" s="444">
        <v>5</v>
      </c>
      <c r="J51" s="439">
        <v>815564.28</v>
      </c>
      <c r="K51" s="439">
        <v>14272.37</v>
      </c>
      <c r="L51" s="439">
        <v>2202</v>
      </c>
      <c r="M51" s="439">
        <v>16474.37</v>
      </c>
      <c r="N51" s="439">
        <v>1325.29</v>
      </c>
      <c r="O51" s="439">
        <v>813362.29</v>
      </c>
      <c r="P51" s="439">
        <v>17799.66</v>
      </c>
    </row>
    <row r="52" spans="2:16" x14ac:dyDescent="0.25">
      <c r="B52" s="26">
        <f t="shared" si="4"/>
        <v>10</v>
      </c>
      <c r="C52" s="187">
        <f t="shared" si="5"/>
        <v>100</v>
      </c>
      <c r="D52" s="187">
        <f t="shared" si="6"/>
        <v>-5</v>
      </c>
      <c r="E52" s="208">
        <v>-100</v>
      </c>
      <c r="F52" s="209">
        <f t="shared" si="7"/>
        <v>-105</v>
      </c>
      <c r="I52" s="444">
        <v>6</v>
      </c>
      <c r="J52" s="439">
        <v>813362.29</v>
      </c>
      <c r="K52" s="439">
        <v>14233.84</v>
      </c>
      <c r="L52" s="439">
        <v>2240.5300000000002</v>
      </c>
      <c r="M52" s="439">
        <v>16474.37</v>
      </c>
      <c r="N52" s="439">
        <v>1321.71</v>
      </c>
      <c r="O52" s="439">
        <v>811121.76</v>
      </c>
      <c r="P52" s="439">
        <v>17796.080000000002</v>
      </c>
    </row>
    <row r="53" spans="2:16" x14ac:dyDescent="0.25">
      <c r="B53" s="36"/>
      <c r="C53" s="36"/>
      <c r="D53" s="36"/>
      <c r="E53" s="498" t="s">
        <v>1465</v>
      </c>
      <c r="F53" s="406">
        <f>+IRR(F42:F52)</f>
        <v>4.6186485721355863E-2</v>
      </c>
      <c r="I53" s="444">
        <v>7</v>
      </c>
      <c r="J53" s="439">
        <v>811121.76</v>
      </c>
      <c r="K53" s="439">
        <v>14194.63</v>
      </c>
      <c r="L53" s="439">
        <v>2279.7399999999998</v>
      </c>
      <c r="M53" s="439">
        <v>16474.37</v>
      </c>
      <c r="N53" s="439">
        <v>1318.07</v>
      </c>
      <c r="O53" s="439">
        <v>808842.02</v>
      </c>
      <c r="P53" s="439">
        <v>17792.439999999999</v>
      </c>
    </row>
    <row r="54" spans="2:16" x14ac:dyDescent="0.25">
      <c r="I54" s="444">
        <v>8</v>
      </c>
      <c r="J54" s="439">
        <v>808842.02</v>
      </c>
      <c r="K54" s="439">
        <v>14154.74</v>
      </c>
      <c r="L54" s="439">
        <v>2319.63</v>
      </c>
      <c r="M54" s="439">
        <v>16474.37</v>
      </c>
      <c r="N54" s="439">
        <v>1314.37</v>
      </c>
      <c r="O54" s="439">
        <v>806522.38</v>
      </c>
      <c r="P54" s="439">
        <v>17788.740000000002</v>
      </c>
    </row>
    <row r="55" spans="2:16" x14ac:dyDescent="0.25">
      <c r="I55" s="444">
        <v>9</v>
      </c>
      <c r="J55" s="439">
        <v>806522.38</v>
      </c>
      <c r="K55" s="439">
        <v>14114.14</v>
      </c>
      <c r="L55" s="439">
        <v>2360.23</v>
      </c>
      <c r="M55" s="439">
        <v>16474.37</v>
      </c>
      <c r="N55" s="439">
        <v>1310.5999999999999</v>
      </c>
      <c r="O55" s="439">
        <v>804162.16</v>
      </c>
      <c r="P55" s="439">
        <v>17784.97</v>
      </c>
    </row>
    <row r="56" spans="2:16" x14ac:dyDescent="0.25">
      <c r="I56" s="444">
        <v>10</v>
      </c>
      <c r="J56" s="439">
        <v>804162.16</v>
      </c>
      <c r="K56" s="439">
        <v>14072.84</v>
      </c>
      <c r="L56" s="439">
        <v>2401.5300000000002</v>
      </c>
      <c r="M56" s="439">
        <v>16474.37</v>
      </c>
      <c r="N56" s="439">
        <v>1306.76</v>
      </c>
      <c r="O56" s="439">
        <v>801760.62</v>
      </c>
      <c r="P56" s="439">
        <v>17781.13</v>
      </c>
    </row>
    <row r="57" spans="2:16" x14ac:dyDescent="0.25">
      <c r="I57" s="444">
        <v>11</v>
      </c>
      <c r="J57" s="439">
        <v>801760.62</v>
      </c>
      <c r="K57" s="439">
        <v>14030.81</v>
      </c>
      <c r="L57" s="439">
        <v>2443.56</v>
      </c>
      <c r="M57" s="439">
        <v>16474.37</v>
      </c>
      <c r="N57" s="439">
        <v>1302.8599999999999</v>
      </c>
      <c r="O57" s="439">
        <v>799317.06</v>
      </c>
      <c r="P57" s="439">
        <v>17777.23</v>
      </c>
    </row>
    <row r="58" spans="2:16" x14ac:dyDescent="0.25">
      <c r="I58" s="444">
        <v>12</v>
      </c>
      <c r="J58" s="439">
        <v>799317.06</v>
      </c>
      <c r="K58" s="439">
        <v>13988.05</v>
      </c>
      <c r="L58" s="439">
        <v>2486.3200000000002</v>
      </c>
      <c r="M58" s="439">
        <v>16474.37</v>
      </c>
      <c r="N58" s="439">
        <v>1298.8900000000001</v>
      </c>
      <c r="O58" s="439">
        <v>796830.74</v>
      </c>
      <c r="P58" s="439">
        <v>17773.259999999998</v>
      </c>
    </row>
    <row r="59" spans="2:16" x14ac:dyDescent="0.25">
      <c r="I59" s="444">
        <v>13</v>
      </c>
      <c r="J59" s="439">
        <v>796830.74</v>
      </c>
      <c r="K59" s="439">
        <v>13944.54</v>
      </c>
      <c r="L59" s="439">
        <v>2529.83</v>
      </c>
      <c r="M59" s="439">
        <v>16474.37</v>
      </c>
      <c r="N59" s="439">
        <v>1294.8499999999999</v>
      </c>
      <c r="O59" s="439">
        <v>794300.91</v>
      </c>
      <c r="P59" s="439">
        <v>17769.22</v>
      </c>
    </row>
    <row r="60" spans="2:16" x14ac:dyDescent="0.25">
      <c r="I60" s="444">
        <v>14</v>
      </c>
      <c r="J60" s="439">
        <v>794300.91</v>
      </c>
      <c r="K60" s="439">
        <v>13900.27</v>
      </c>
      <c r="L60" s="439">
        <v>2574.1</v>
      </c>
      <c r="M60" s="439">
        <v>16474.37</v>
      </c>
      <c r="N60" s="439">
        <v>1290.74</v>
      </c>
      <c r="O60" s="439">
        <v>791726.81</v>
      </c>
      <c r="P60" s="439">
        <v>17765.11</v>
      </c>
    </row>
    <row r="61" spans="2:16" x14ac:dyDescent="0.25">
      <c r="I61" s="444">
        <v>15</v>
      </c>
      <c r="J61" s="439">
        <v>791726.81</v>
      </c>
      <c r="K61" s="439">
        <v>13855.22</v>
      </c>
      <c r="L61" s="439">
        <v>2619.15</v>
      </c>
      <c r="M61" s="439">
        <v>16474.37</v>
      </c>
      <c r="N61" s="439">
        <v>1286.56</v>
      </c>
      <c r="O61" s="439">
        <v>789107.66</v>
      </c>
      <c r="P61" s="439">
        <v>17760.93</v>
      </c>
    </row>
    <row r="62" spans="2:16" x14ac:dyDescent="0.25">
      <c r="I62" s="444">
        <v>16</v>
      </c>
      <c r="J62" s="439">
        <v>789107.66</v>
      </c>
      <c r="K62" s="439">
        <v>13809.38</v>
      </c>
      <c r="L62" s="439">
        <v>2664.99</v>
      </c>
      <c r="M62" s="439">
        <v>16474.37</v>
      </c>
      <c r="N62" s="439">
        <v>1282.3</v>
      </c>
      <c r="O62" s="439">
        <v>786442.67</v>
      </c>
      <c r="P62" s="439">
        <v>17756.669999999998</v>
      </c>
    </row>
    <row r="63" spans="2:16" x14ac:dyDescent="0.25">
      <c r="I63" s="444">
        <v>17</v>
      </c>
      <c r="J63" s="439">
        <v>786442.67</v>
      </c>
      <c r="K63" s="439">
        <v>13762.75</v>
      </c>
      <c r="L63" s="439">
        <v>2711.62</v>
      </c>
      <c r="M63" s="439">
        <v>16474.37</v>
      </c>
      <c r="N63" s="439">
        <v>1277.97</v>
      </c>
      <c r="O63" s="439">
        <v>783731.05</v>
      </c>
      <c r="P63" s="439">
        <v>17752.34</v>
      </c>
    </row>
    <row r="64" spans="2:16" x14ac:dyDescent="0.25">
      <c r="I64" s="444">
        <v>18</v>
      </c>
      <c r="J64" s="439">
        <v>783731.05</v>
      </c>
      <c r="K64" s="439">
        <v>13715.29</v>
      </c>
      <c r="L64" s="439">
        <v>2759.08</v>
      </c>
      <c r="M64" s="439">
        <v>16474.37</v>
      </c>
      <c r="N64" s="439">
        <v>1273.56</v>
      </c>
      <c r="O64" s="439">
        <v>780971.97</v>
      </c>
      <c r="P64" s="439">
        <v>17747.93</v>
      </c>
    </row>
    <row r="65" spans="9:16" x14ac:dyDescent="0.25">
      <c r="I65" s="444">
        <v>19</v>
      </c>
      <c r="J65" s="439">
        <v>780971.97</v>
      </c>
      <c r="K65" s="439">
        <v>13667.01</v>
      </c>
      <c r="L65" s="439">
        <v>2807.36</v>
      </c>
      <c r="M65" s="439">
        <v>16474.37</v>
      </c>
      <c r="N65" s="439">
        <v>1269.08</v>
      </c>
      <c r="O65" s="439">
        <v>778164.61</v>
      </c>
      <c r="P65" s="439">
        <v>17743.45</v>
      </c>
    </row>
    <row r="66" spans="9:16" x14ac:dyDescent="0.25">
      <c r="I66" s="444">
        <v>20</v>
      </c>
      <c r="J66" s="439">
        <v>778164.61</v>
      </c>
      <c r="K66" s="439">
        <v>13617.88</v>
      </c>
      <c r="L66" s="439">
        <v>2856.49</v>
      </c>
      <c r="M66" s="439">
        <v>16474.37</v>
      </c>
      <c r="N66" s="439">
        <v>1264.52</v>
      </c>
      <c r="O66" s="439">
        <v>775308.12</v>
      </c>
      <c r="P66" s="439">
        <v>17738.89</v>
      </c>
    </row>
    <row r="67" spans="9:16" x14ac:dyDescent="0.25">
      <c r="I67" s="444">
        <v>21</v>
      </c>
      <c r="J67" s="439">
        <v>775308.12</v>
      </c>
      <c r="K67" s="439">
        <v>13567.89</v>
      </c>
      <c r="L67" s="439">
        <v>2906.48</v>
      </c>
      <c r="M67" s="439">
        <v>16474.37</v>
      </c>
      <c r="N67" s="439">
        <v>1259.8800000000001</v>
      </c>
      <c r="O67" s="439">
        <v>772401.64</v>
      </c>
      <c r="P67" s="439">
        <v>17734.25</v>
      </c>
    </row>
    <row r="68" spans="9:16" x14ac:dyDescent="0.25">
      <c r="I68" s="444">
        <v>22</v>
      </c>
      <c r="J68" s="439">
        <v>772401.64</v>
      </c>
      <c r="K68" s="439">
        <v>13517.03</v>
      </c>
      <c r="L68" s="439">
        <v>2957.34</v>
      </c>
      <c r="M68" s="439">
        <v>16474.37</v>
      </c>
      <c r="N68" s="439">
        <v>1255.1500000000001</v>
      </c>
      <c r="O68" s="439">
        <v>769444.3</v>
      </c>
      <c r="P68" s="439">
        <v>17729.52</v>
      </c>
    </row>
    <row r="69" spans="9:16" x14ac:dyDescent="0.25">
      <c r="I69" s="444">
        <v>23</v>
      </c>
      <c r="J69" s="439">
        <v>769444.3</v>
      </c>
      <c r="K69" s="439">
        <v>13465.28</v>
      </c>
      <c r="L69" s="439">
        <v>3009.09</v>
      </c>
      <c r="M69" s="439">
        <v>16474.37</v>
      </c>
      <c r="N69" s="439">
        <v>1250.3499999999999</v>
      </c>
      <c r="O69" s="439">
        <v>766435.21</v>
      </c>
      <c r="P69" s="439">
        <v>17724.72</v>
      </c>
    </row>
    <row r="70" spans="9:16" x14ac:dyDescent="0.25">
      <c r="I70" s="444">
        <v>24</v>
      </c>
      <c r="J70" s="439">
        <v>766435.21</v>
      </c>
      <c r="K70" s="439">
        <v>13412.62</v>
      </c>
      <c r="L70" s="439">
        <v>3061.75</v>
      </c>
      <c r="M70" s="439">
        <v>16474.37</v>
      </c>
      <c r="N70" s="439">
        <v>1245.46</v>
      </c>
      <c r="O70" s="439">
        <v>763373.45</v>
      </c>
      <c r="P70" s="439">
        <v>17719.830000000002</v>
      </c>
    </row>
    <row r="71" spans="9:16" x14ac:dyDescent="0.25">
      <c r="I71" s="444">
        <v>25</v>
      </c>
      <c r="J71" s="439">
        <v>763373.45</v>
      </c>
      <c r="K71" s="439">
        <v>13359.04</v>
      </c>
      <c r="L71" s="439">
        <v>3115.33</v>
      </c>
      <c r="M71" s="439">
        <v>16474.37</v>
      </c>
      <c r="N71" s="439">
        <v>1240.48</v>
      </c>
      <c r="O71" s="439">
        <v>760258.12</v>
      </c>
      <c r="P71" s="439">
        <v>17714.849999999999</v>
      </c>
    </row>
    <row r="72" spans="9:16" x14ac:dyDescent="0.25">
      <c r="I72" s="444">
        <v>26</v>
      </c>
      <c r="J72" s="439">
        <v>760258.12</v>
      </c>
      <c r="K72" s="439">
        <v>13304.52</v>
      </c>
      <c r="L72" s="439">
        <v>3169.85</v>
      </c>
      <c r="M72" s="439">
        <v>16474.37</v>
      </c>
      <c r="N72" s="439">
        <v>1235.42</v>
      </c>
      <c r="O72" s="439">
        <v>757088.27</v>
      </c>
      <c r="P72" s="439">
        <v>17709.79</v>
      </c>
    </row>
    <row r="73" spans="9:16" x14ac:dyDescent="0.25">
      <c r="I73" s="444">
        <v>27</v>
      </c>
      <c r="J73" s="439">
        <v>757088.27</v>
      </c>
      <c r="K73" s="439">
        <v>13249.04</v>
      </c>
      <c r="L73" s="439">
        <v>3225.33</v>
      </c>
      <c r="M73" s="439">
        <v>16474.37</v>
      </c>
      <c r="N73" s="439">
        <v>1230.27</v>
      </c>
      <c r="O73" s="439">
        <v>753862.94</v>
      </c>
      <c r="P73" s="439">
        <v>17704.64</v>
      </c>
    </row>
    <row r="74" spans="9:16" x14ac:dyDescent="0.25">
      <c r="I74" s="444">
        <v>28</v>
      </c>
      <c r="J74" s="439">
        <v>753862.94</v>
      </c>
      <c r="K74" s="439">
        <v>13192.6</v>
      </c>
      <c r="L74" s="439">
        <v>3281.77</v>
      </c>
      <c r="M74" s="439">
        <v>16474.37</v>
      </c>
      <c r="N74" s="439">
        <v>1225.03</v>
      </c>
      <c r="O74" s="439">
        <v>750581.17</v>
      </c>
      <c r="P74" s="439">
        <v>17699.400000000001</v>
      </c>
    </row>
    <row r="75" spans="9:16" x14ac:dyDescent="0.25">
      <c r="I75" s="444">
        <v>29</v>
      </c>
      <c r="J75" s="439">
        <v>750581.17</v>
      </c>
      <c r="K75" s="439">
        <v>13135.17</v>
      </c>
      <c r="L75" s="439">
        <v>3339.2</v>
      </c>
      <c r="M75" s="439">
        <v>16474.37</v>
      </c>
      <c r="N75" s="439">
        <v>1219.69</v>
      </c>
      <c r="O75" s="439">
        <v>747241.97</v>
      </c>
      <c r="P75" s="439">
        <v>17694.060000000001</v>
      </c>
    </row>
    <row r="76" spans="9:16" x14ac:dyDescent="0.25">
      <c r="I76" s="444">
        <v>30</v>
      </c>
      <c r="J76" s="439">
        <v>747241.97</v>
      </c>
      <c r="K76" s="439">
        <v>13076.73</v>
      </c>
      <c r="L76" s="439">
        <v>3397.64</v>
      </c>
      <c r="M76" s="439">
        <v>16474.37</v>
      </c>
      <c r="N76" s="439">
        <v>1214.27</v>
      </c>
      <c r="O76" s="439">
        <v>743844.34</v>
      </c>
      <c r="P76" s="439">
        <v>17688.64</v>
      </c>
    </row>
    <row r="77" spans="9:16" x14ac:dyDescent="0.25">
      <c r="I77" s="444">
        <v>31</v>
      </c>
      <c r="J77" s="439">
        <v>743844.34</v>
      </c>
      <c r="K77" s="439">
        <v>13017.28</v>
      </c>
      <c r="L77" s="439">
        <v>3457.09</v>
      </c>
      <c r="M77" s="439">
        <v>16474.37</v>
      </c>
      <c r="N77" s="439">
        <v>1208.75</v>
      </c>
      <c r="O77" s="439">
        <v>740387.24</v>
      </c>
      <c r="P77" s="439">
        <v>17683.12</v>
      </c>
    </row>
    <row r="78" spans="9:16" x14ac:dyDescent="0.25">
      <c r="I78" s="444">
        <v>32</v>
      </c>
      <c r="J78" s="439">
        <v>740387.24</v>
      </c>
      <c r="K78" s="439">
        <v>12956.78</v>
      </c>
      <c r="L78" s="439">
        <v>3517.59</v>
      </c>
      <c r="M78" s="439">
        <v>16474.37</v>
      </c>
      <c r="N78" s="439">
        <v>1203.1300000000001</v>
      </c>
      <c r="O78" s="439">
        <v>736869.65</v>
      </c>
      <c r="P78" s="439">
        <v>17677.5</v>
      </c>
    </row>
    <row r="79" spans="9:16" x14ac:dyDescent="0.25">
      <c r="I79" s="444">
        <v>33</v>
      </c>
      <c r="J79" s="439">
        <v>736869.65</v>
      </c>
      <c r="K79" s="439">
        <v>12895.22</v>
      </c>
      <c r="L79" s="439">
        <v>3579.15</v>
      </c>
      <c r="M79" s="439">
        <v>16474.37</v>
      </c>
      <c r="N79" s="439">
        <v>1197.4100000000001</v>
      </c>
      <c r="O79" s="439">
        <v>733290.5</v>
      </c>
      <c r="P79" s="439">
        <v>17671.78</v>
      </c>
    </row>
    <row r="80" spans="9:16" x14ac:dyDescent="0.25">
      <c r="I80" s="444">
        <v>34</v>
      </c>
      <c r="J80" s="439">
        <v>733290.5</v>
      </c>
      <c r="K80" s="439">
        <v>12832.58</v>
      </c>
      <c r="L80" s="439">
        <v>3641.79</v>
      </c>
      <c r="M80" s="439">
        <v>16474.37</v>
      </c>
      <c r="N80" s="439">
        <v>1191.5999999999999</v>
      </c>
      <c r="O80" s="439">
        <v>729648.71</v>
      </c>
      <c r="P80" s="439">
        <v>17665.97</v>
      </c>
    </row>
    <row r="81" spans="9:16" x14ac:dyDescent="0.25">
      <c r="I81" s="444">
        <v>35</v>
      </c>
      <c r="J81" s="439">
        <v>729648.71</v>
      </c>
      <c r="K81" s="439">
        <v>12768.85</v>
      </c>
      <c r="L81" s="439">
        <v>3705.52</v>
      </c>
      <c r="M81" s="439">
        <v>16474.37</v>
      </c>
      <c r="N81" s="439">
        <v>1185.68</v>
      </c>
      <c r="O81" s="439">
        <v>725943.19</v>
      </c>
      <c r="P81" s="439">
        <v>17660.05</v>
      </c>
    </row>
    <row r="82" spans="9:16" x14ac:dyDescent="0.25">
      <c r="I82" s="444">
        <v>36</v>
      </c>
      <c r="J82" s="439">
        <v>725943.19</v>
      </c>
      <c r="K82" s="439">
        <v>12704.01</v>
      </c>
      <c r="L82" s="439">
        <v>3770.36</v>
      </c>
      <c r="M82" s="439">
        <v>16474.37</v>
      </c>
      <c r="N82" s="439">
        <v>1179.6600000000001</v>
      </c>
      <c r="O82" s="439">
        <v>722172.83</v>
      </c>
      <c r="P82" s="439">
        <v>17654.03</v>
      </c>
    </row>
    <row r="83" spans="9:16" x14ac:dyDescent="0.25">
      <c r="I83" s="444">
        <v>37</v>
      </c>
      <c r="J83" s="439">
        <v>722172.83</v>
      </c>
      <c r="K83" s="439">
        <v>12638.02</v>
      </c>
      <c r="L83" s="439">
        <v>3836.35</v>
      </c>
      <c r="M83" s="439">
        <v>16474.37</v>
      </c>
      <c r="N83" s="439">
        <v>1173.53</v>
      </c>
      <c r="O83" s="439">
        <v>718336.48</v>
      </c>
      <c r="P83" s="439">
        <v>17647.900000000001</v>
      </c>
    </row>
    <row r="84" spans="9:16" x14ac:dyDescent="0.25">
      <c r="I84" s="444">
        <v>38</v>
      </c>
      <c r="J84" s="439">
        <v>718336.48</v>
      </c>
      <c r="K84" s="439">
        <v>12570.89</v>
      </c>
      <c r="L84" s="439">
        <v>3903.48</v>
      </c>
      <c r="M84" s="439">
        <v>16474.37</v>
      </c>
      <c r="N84" s="439">
        <v>1167.3</v>
      </c>
      <c r="O84" s="439">
        <v>714433</v>
      </c>
      <c r="P84" s="439">
        <v>17641.669999999998</v>
      </c>
    </row>
    <row r="85" spans="9:16" x14ac:dyDescent="0.25">
      <c r="I85" s="444">
        <v>39</v>
      </c>
      <c r="J85" s="439">
        <v>714433</v>
      </c>
      <c r="K85" s="439">
        <v>12502.58</v>
      </c>
      <c r="L85" s="439">
        <v>3971.79</v>
      </c>
      <c r="M85" s="439">
        <v>16474.37</v>
      </c>
      <c r="N85" s="439">
        <v>1160.95</v>
      </c>
      <c r="O85" s="439">
        <v>710461.21</v>
      </c>
      <c r="P85" s="439">
        <v>17635.32</v>
      </c>
    </row>
    <row r="86" spans="9:16" x14ac:dyDescent="0.25">
      <c r="I86" s="444">
        <v>40</v>
      </c>
      <c r="J86" s="439">
        <v>710461.21</v>
      </c>
      <c r="K86" s="439">
        <v>12433.07</v>
      </c>
      <c r="L86" s="439">
        <v>4041.3</v>
      </c>
      <c r="M86" s="439">
        <v>16474.37</v>
      </c>
      <c r="N86" s="439">
        <v>1154.5</v>
      </c>
      <c r="O86" s="439">
        <v>706419.91</v>
      </c>
      <c r="P86" s="439">
        <v>17628.87</v>
      </c>
    </row>
    <row r="87" spans="9:16" x14ac:dyDescent="0.25">
      <c r="I87" s="444">
        <v>41</v>
      </c>
      <c r="J87" s="439">
        <v>706419.91</v>
      </c>
      <c r="K87" s="439">
        <v>12362.35</v>
      </c>
      <c r="L87" s="439">
        <v>4112.0200000000004</v>
      </c>
      <c r="M87" s="439">
        <v>16474.37</v>
      </c>
      <c r="N87" s="439">
        <v>1147.93</v>
      </c>
      <c r="O87" s="439">
        <v>702307.89</v>
      </c>
      <c r="P87" s="439">
        <v>17622.3</v>
      </c>
    </row>
    <row r="88" spans="9:16" x14ac:dyDescent="0.25">
      <c r="I88" s="444">
        <v>42</v>
      </c>
      <c r="J88" s="439">
        <v>702307.89</v>
      </c>
      <c r="K88" s="439">
        <v>12290.39</v>
      </c>
      <c r="L88" s="439">
        <v>4183.9799999999996</v>
      </c>
      <c r="M88" s="439">
        <v>16474.37</v>
      </c>
      <c r="N88" s="439">
        <v>1141.25</v>
      </c>
      <c r="O88" s="439">
        <v>698123.91</v>
      </c>
      <c r="P88" s="439">
        <v>17615.62</v>
      </c>
    </row>
    <row r="89" spans="9:16" x14ac:dyDescent="0.25">
      <c r="I89" s="444">
        <v>43</v>
      </c>
      <c r="J89" s="439">
        <v>698123.91</v>
      </c>
      <c r="K89" s="439">
        <v>12217.17</v>
      </c>
      <c r="L89" s="439">
        <v>4257.2</v>
      </c>
      <c r="M89" s="439">
        <v>16474.37</v>
      </c>
      <c r="N89" s="439">
        <v>1134.45</v>
      </c>
      <c r="O89" s="439">
        <v>693866.71</v>
      </c>
      <c r="P89" s="439">
        <v>17608.82</v>
      </c>
    </row>
    <row r="90" spans="9:16" x14ac:dyDescent="0.25">
      <c r="I90" s="444">
        <v>44</v>
      </c>
      <c r="J90" s="439">
        <v>693866.71</v>
      </c>
      <c r="K90" s="439">
        <v>12142.67</v>
      </c>
      <c r="L90" s="439">
        <v>4331.7</v>
      </c>
      <c r="M90" s="439">
        <v>16474.37</v>
      </c>
      <c r="N90" s="439">
        <v>1127.53</v>
      </c>
      <c r="O90" s="439">
        <v>689535</v>
      </c>
      <c r="P90" s="439">
        <v>17601.900000000001</v>
      </c>
    </row>
    <row r="91" spans="9:16" x14ac:dyDescent="0.25">
      <c r="I91" s="444">
        <v>45</v>
      </c>
      <c r="J91" s="439">
        <v>689535</v>
      </c>
      <c r="K91" s="439">
        <v>12066.86</v>
      </c>
      <c r="L91" s="439">
        <v>4407.51</v>
      </c>
      <c r="M91" s="439">
        <v>16474.37</v>
      </c>
      <c r="N91" s="439">
        <v>1120.49</v>
      </c>
      <c r="O91" s="439">
        <v>685127.5</v>
      </c>
      <c r="P91" s="439">
        <v>17594.86</v>
      </c>
    </row>
    <row r="92" spans="9:16" x14ac:dyDescent="0.25">
      <c r="I92" s="444">
        <v>46</v>
      </c>
      <c r="J92" s="439">
        <v>685127.5</v>
      </c>
      <c r="K92" s="439">
        <v>11989.73</v>
      </c>
      <c r="L92" s="439">
        <v>4484.6400000000003</v>
      </c>
      <c r="M92" s="439">
        <v>16474.37</v>
      </c>
      <c r="N92" s="439">
        <v>1113.33</v>
      </c>
      <c r="O92" s="439">
        <v>680642.86</v>
      </c>
      <c r="P92" s="439">
        <v>17587.7</v>
      </c>
    </row>
    <row r="93" spans="9:16" x14ac:dyDescent="0.25">
      <c r="I93" s="444">
        <v>47</v>
      </c>
      <c r="J93" s="439">
        <v>680642.86</v>
      </c>
      <c r="K93" s="439">
        <v>11911.25</v>
      </c>
      <c r="L93" s="439">
        <v>4563.12</v>
      </c>
      <c r="M93" s="439">
        <v>16474.37</v>
      </c>
      <c r="N93" s="439">
        <v>1106.04</v>
      </c>
      <c r="O93" s="439">
        <v>676079.74</v>
      </c>
      <c r="P93" s="439">
        <v>17580.41</v>
      </c>
    </row>
    <row r="94" spans="9:16" x14ac:dyDescent="0.25">
      <c r="I94" s="444">
        <v>48</v>
      </c>
      <c r="J94" s="439">
        <v>676079.74</v>
      </c>
      <c r="K94" s="439">
        <v>11831.4</v>
      </c>
      <c r="L94" s="439">
        <v>4642.97</v>
      </c>
      <c r="M94" s="439">
        <v>16474.37</v>
      </c>
      <c r="N94" s="439">
        <v>1098.6300000000001</v>
      </c>
      <c r="O94" s="439">
        <v>671436.76</v>
      </c>
      <c r="P94" s="439">
        <v>17573</v>
      </c>
    </row>
    <row r="95" spans="9:16" x14ac:dyDescent="0.25">
      <c r="I95" s="444">
        <v>49</v>
      </c>
      <c r="J95" s="439">
        <v>671436.76</v>
      </c>
      <c r="K95" s="439">
        <v>11750.14</v>
      </c>
      <c r="L95" s="439">
        <v>4724.2299999999996</v>
      </c>
      <c r="M95" s="439">
        <v>16474.37</v>
      </c>
      <c r="N95" s="439">
        <v>1091.08</v>
      </c>
      <c r="O95" s="439">
        <v>666712.54</v>
      </c>
      <c r="P95" s="439">
        <v>17565.45</v>
      </c>
    </row>
    <row r="96" spans="9:16" x14ac:dyDescent="0.25">
      <c r="I96" s="444">
        <v>50</v>
      </c>
      <c r="J96" s="439">
        <v>666712.54</v>
      </c>
      <c r="K96" s="439">
        <v>11667.47</v>
      </c>
      <c r="L96" s="439">
        <v>4806.8999999999996</v>
      </c>
      <c r="M96" s="439">
        <v>16474.37</v>
      </c>
      <c r="N96" s="439">
        <v>1083.4100000000001</v>
      </c>
      <c r="O96" s="439">
        <v>661905.64</v>
      </c>
      <c r="P96" s="439">
        <v>17557.78</v>
      </c>
    </row>
    <row r="97" spans="9:16" x14ac:dyDescent="0.25">
      <c r="I97" s="444">
        <v>51</v>
      </c>
      <c r="J97" s="439">
        <v>661905.64</v>
      </c>
      <c r="K97" s="439">
        <v>11583.35</v>
      </c>
      <c r="L97" s="439">
        <v>4891.0200000000004</v>
      </c>
      <c r="M97" s="439">
        <v>16474.37</v>
      </c>
      <c r="N97" s="439">
        <v>1075.5999999999999</v>
      </c>
      <c r="O97" s="439">
        <v>657014.61</v>
      </c>
      <c r="P97" s="439">
        <v>17549.97</v>
      </c>
    </row>
    <row r="98" spans="9:16" x14ac:dyDescent="0.25">
      <c r="I98" s="444">
        <v>52</v>
      </c>
      <c r="J98" s="439">
        <v>657014.61</v>
      </c>
      <c r="K98" s="439">
        <v>11497.76</v>
      </c>
      <c r="L98" s="439">
        <v>4976.6099999999997</v>
      </c>
      <c r="M98" s="439">
        <v>16474.37</v>
      </c>
      <c r="N98" s="439">
        <v>1067.6500000000001</v>
      </c>
      <c r="O98" s="439">
        <v>652038</v>
      </c>
      <c r="P98" s="439">
        <v>17542.02</v>
      </c>
    </row>
    <row r="99" spans="9:16" x14ac:dyDescent="0.25">
      <c r="I99" s="444">
        <v>53</v>
      </c>
      <c r="J99" s="439">
        <v>652038</v>
      </c>
      <c r="K99" s="439">
        <v>11410.66</v>
      </c>
      <c r="L99" s="439">
        <v>5063.71</v>
      </c>
      <c r="M99" s="439">
        <v>16474.37</v>
      </c>
      <c r="N99" s="439">
        <v>1059.56</v>
      </c>
      <c r="O99" s="439">
        <v>646974.29</v>
      </c>
      <c r="P99" s="439">
        <v>17533.93</v>
      </c>
    </row>
    <row r="100" spans="9:16" x14ac:dyDescent="0.25">
      <c r="I100" s="444">
        <v>54</v>
      </c>
      <c r="J100" s="439">
        <v>646974.29</v>
      </c>
      <c r="K100" s="439">
        <v>11322.05</v>
      </c>
      <c r="L100" s="439">
        <v>5152.32</v>
      </c>
      <c r="M100" s="439">
        <v>16474.37</v>
      </c>
      <c r="N100" s="439">
        <v>1051.33</v>
      </c>
      <c r="O100" s="439">
        <v>641821.97</v>
      </c>
      <c r="P100" s="439">
        <v>17525.7</v>
      </c>
    </row>
    <row r="101" spans="9:16" x14ac:dyDescent="0.25">
      <c r="I101" s="444">
        <v>55</v>
      </c>
      <c r="J101" s="439">
        <v>641821.97</v>
      </c>
      <c r="K101" s="439">
        <v>11231.88</v>
      </c>
      <c r="L101" s="439">
        <v>5242.49</v>
      </c>
      <c r="M101" s="439">
        <v>16474.37</v>
      </c>
      <c r="N101" s="439">
        <v>1042.96</v>
      </c>
      <c r="O101" s="439">
        <v>636579.49</v>
      </c>
      <c r="P101" s="439">
        <v>17517.330000000002</v>
      </c>
    </row>
    <row r="102" spans="9:16" x14ac:dyDescent="0.25">
      <c r="I102" s="444">
        <v>56</v>
      </c>
      <c r="J102" s="439">
        <v>636579.49</v>
      </c>
      <c r="K102" s="439">
        <v>11140.14</v>
      </c>
      <c r="L102" s="439">
        <v>5334.23</v>
      </c>
      <c r="M102" s="439">
        <v>16474.37</v>
      </c>
      <c r="N102" s="439">
        <v>1034.44</v>
      </c>
      <c r="O102" s="439">
        <v>631245.26</v>
      </c>
      <c r="P102" s="439">
        <v>17508.810000000001</v>
      </c>
    </row>
    <row r="103" spans="9:16" x14ac:dyDescent="0.25">
      <c r="I103" s="444">
        <v>57</v>
      </c>
      <c r="J103" s="439">
        <v>631245.26</v>
      </c>
      <c r="K103" s="439">
        <v>11046.79</v>
      </c>
      <c r="L103" s="439">
        <v>5427.58</v>
      </c>
      <c r="M103" s="439">
        <v>16474.37</v>
      </c>
      <c r="N103" s="439">
        <v>1025.77</v>
      </c>
      <c r="O103" s="439">
        <v>625817.68000000005</v>
      </c>
      <c r="P103" s="439">
        <v>17500.14</v>
      </c>
    </row>
    <row r="104" spans="9:16" x14ac:dyDescent="0.25">
      <c r="I104" s="444">
        <v>58</v>
      </c>
      <c r="J104" s="439">
        <v>625817.68000000005</v>
      </c>
      <c r="K104" s="439">
        <v>10951.81</v>
      </c>
      <c r="L104" s="439">
        <v>5522.56</v>
      </c>
      <c r="M104" s="439">
        <v>16474.37</v>
      </c>
      <c r="N104" s="439">
        <v>1016.95</v>
      </c>
      <c r="O104" s="439">
        <v>620295.12</v>
      </c>
      <c r="P104" s="439">
        <v>17491.32</v>
      </c>
    </row>
    <row r="105" spans="9:16" x14ac:dyDescent="0.25">
      <c r="I105" s="444">
        <v>59</v>
      </c>
      <c r="J105" s="439">
        <v>620295.12</v>
      </c>
      <c r="K105" s="439">
        <v>10855.16</v>
      </c>
      <c r="L105" s="439">
        <v>5619.21</v>
      </c>
      <c r="M105" s="439">
        <v>16474.37</v>
      </c>
      <c r="N105" s="439">
        <v>1007.98</v>
      </c>
      <c r="O105" s="439">
        <v>614675.92000000004</v>
      </c>
      <c r="P105" s="439">
        <v>17482.349999999999</v>
      </c>
    </row>
    <row r="106" spans="9:16" x14ac:dyDescent="0.25">
      <c r="I106" s="444">
        <v>60</v>
      </c>
      <c r="J106" s="439">
        <v>614675.92000000004</v>
      </c>
      <c r="K106" s="439">
        <v>10756.83</v>
      </c>
      <c r="L106" s="439">
        <v>5717.54</v>
      </c>
      <c r="M106" s="439">
        <v>16474.37</v>
      </c>
      <c r="N106" s="439">
        <v>998.85</v>
      </c>
      <c r="O106" s="439">
        <v>608958.37</v>
      </c>
      <c r="P106" s="439">
        <v>17473.22</v>
      </c>
    </row>
    <row r="107" spans="9:16" x14ac:dyDescent="0.25">
      <c r="I107" s="444">
        <v>61</v>
      </c>
      <c r="J107" s="439">
        <v>608958.37</v>
      </c>
      <c r="K107" s="439">
        <v>10656.77</v>
      </c>
      <c r="L107" s="439">
        <v>5817.6</v>
      </c>
      <c r="M107" s="439">
        <v>16474.37</v>
      </c>
      <c r="N107" s="439">
        <v>989.56</v>
      </c>
      <c r="O107" s="439">
        <v>603140.78</v>
      </c>
      <c r="P107" s="439">
        <v>17463.93</v>
      </c>
    </row>
    <row r="108" spans="9:16" x14ac:dyDescent="0.25">
      <c r="I108" s="444">
        <v>62</v>
      </c>
      <c r="J108" s="439">
        <v>603140.78</v>
      </c>
      <c r="K108" s="439">
        <v>10554.96</v>
      </c>
      <c r="L108" s="439">
        <v>5919.41</v>
      </c>
      <c r="M108" s="439">
        <v>16474.37</v>
      </c>
      <c r="N108" s="439">
        <v>980.1</v>
      </c>
      <c r="O108" s="439">
        <v>597221.37</v>
      </c>
      <c r="P108" s="439">
        <v>17454.47</v>
      </c>
    </row>
    <row r="109" spans="9:16" x14ac:dyDescent="0.25">
      <c r="I109" s="444">
        <v>63</v>
      </c>
      <c r="J109" s="439">
        <v>597221.37</v>
      </c>
      <c r="K109" s="439">
        <v>10451.370000000001</v>
      </c>
      <c r="L109" s="439">
        <v>6023</v>
      </c>
      <c r="M109" s="439">
        <v>16474.37</v>
      </c>
      <c r="N109" s="439">
        <v>970.48</v>
      </c>
      <c r="O109" s="439">
        <v>591198.37</v>
      </c>
      <c r="P109" s="439">
        <v>17444.849999999999</v>
      </c>
    </row>
    <row r="110" spans="9:16" x14ac:dyDescent="0.25">
      <c r="I110" s="444">
        <v>64</v>
      </c>
      <c r="J110" s="439">
        <v>591198.37</v>
      </c>
      <c r="K110" s="439">
        <v>10345.969999999999</v>
      </c>
      <c r="L110" s="439">
        <v>6128.4</v>
      </c>
      <c r="M110" s="439">
        <v>16474.37</v>
      </c>
      <c r="N110" s="439">
        <v>960.7</v>
      </c>
      <c r="O110" s="439">
        <v>585069.98</v>
      </c>
      <c r="P110" s="439">
        <v>17435.07</v>
      </c>
    </row>
    <row r="111" spans="9:16" x14ac:dyDescent="0.25">
      <c r="I111" s="444">
        <v>65</v>
      </c>
      <c r="J111" s="439">
        <v>585069.98</v>
      </c>
      <c r="K111" s="439">
        <v>10238.719999999999</v>
      </c>
      <c r="L111" s="439">
        <v>6235.65</v>
      </c>
      <c r="M111" s="439">
        <v>16474.37</v>
      </c>
      <c r="N111" s="439">
        <v>950.74</v>
      </c>
      <c r="O111" s="439">
        <v>578834.32999999996</v>
      </c>
      <c r="P111" s="439">
        <v>17425.11</v>
      </c>
    </row>
    <row r="112" spans="9:16" x14ac:dyDescent="0.25">
      <c r="I112" s="444">
        <v>66</v>
      </c>
      <c r="J112" s="439">
        <v>578834.32999999996</v>
      </c>
      <c r="K112" s="439">
        <v>10129.6</v>
      </c>
      <c r="L112" s="439">
        <v>6344.77</v>
      </c>
      <c r="M112" s="439">
        <v>16474.37</v>
      </c>
      <c r="N112" s="439">
        <v>940.61</v>
      </c>
      <c r="O112" s="439">
        <v>572489.56000000006</v>
      </c>
      <c r="P112" s="439">
        <v>17414.98</v>
      </c>
    </row>
    <row r="113" spans="9:16" x14ac:dyDescent="0.25">
      <c r="I113" s="444">
        <v>67</v>
      </c>
      <c r="J113" s="439">
        <v>572489.56000000006</v>
      </c>
      <c r="K113" s="439">
        <v>10018.57</v>
      </c>
      <c r="L113" s="439">
        <v>6455.8</v>
      </c>
      <c r="M113" s="439">
        <v>16474.37</v>
      </c>
      <c r="N113" s="439">
        <v>930.3</v>
      </c>
      <c r="O113" s="439">
        <v>566033.76</v>
      </c>
      <c r="P113" s="439">
        <v>17404.669999999998</v>
      </c>
    </row>
    <row r="114" spans="9:16" x14ac:dyDescent="0.25">
      <c r="I114" s="444">
        <v>68</v>
      </c>
      <c r="J114" s="439">
        <v>566033.76</v>
      </c>
      <c r="K114" s="439">
        <v>9905.59</v>
      </c>
      <c r="L114" s="439">
        <v>6568.78</v>
      </c>
      <c r="M114" s="439">
        <v>16474.37</v>
      </c>
      <c r="N114" s="439">
        <v>919.8</v>
      </c>
      <c r="O114" s="439">
        <v>559464.98</v>
      </c>
      <c r="P114" s="439">
        <v>17394.169999999998</v>
      </c>
    </row>
    <row r="115" spans="9:16" x14ac:dyDescent="0.25">
      <c r="I115" s="444">
        <v>69</v>
      </c>
      <c r="J115" s="439">
        <v>559464.98</v>
      </c>
      <c r="K115" s="439">
        <v>9790.64</v>
      </c>
      <c r="L115" s="439">
        <v>6683.73</v>
      </c>
      <c r="M115" s="439">
        <v>16474.37</v>
      </c>
      <c r="N115" s="439">
        <v>909.13</v>
      </c>
      <c r="O115" s="439">
        <v>552781.25</v>
      </c>
      <c r="P115" s="439">
        <v>17383.5</v>
      </c>
    </row>
    <row r="116" spans="9:16" x14ac:dyDescent="0.25">
      <c r="I116" s="444">
        <v>70</v>
      </c>
      <c r="J116" s="439">
        <v>552781.25</v>
      </c>
      <c r="K116" s="439">
        <v>9673.67</v>
      </c>
      <c r="L116" s="439">
        <v>6800.7</v>
      </c>
      <c r="M116" s="439">
        <v>16474.37</v>
      </c>
      <c r="N116" s="439">
        <v>898.27</v>
      </c>
      <c r="O116" s="439">
        <v>545980.55000000005</v>
      </c>
      <c r="P116" s="439">
        <v>17372.64</v>
      </c>
    </row>
    <row r="117" spans="9:16" x14ac:dyDescent="0.25">
      <c r="I117" s="444">
        <v>71</v>
      </c>
      <c r="J117" s="439">
        <v>545980.55000000005</v>
      </c>
      <c r="K117" s="439">
        <v>9554.66</v>
      </c>
      <c r="L117" s="439">
        <v>6919.71</v>
      </c>
      <c r="M117" s="439">
        <v>16474.37</v>
      </c>
      <c r="N117" s="439">
        <v>887.22</v>
      </c>
      <c r="O117" s="439">
        <v>539060.84</v>
      </c>
      <c r="P117" s="439">
        <v>17361.59</v>
      </c>
    </row>
    <row r="118" spans="9:16" x14ac:dyDescent="0.25">
      <c r="I118" s="444">
        <v>72</v>
      </c>
      <c r="J118" s="439">
        <v>539060.84</v>
      </c>
      <c r="K118" s="439">
        <v>9433.56</v>
      </c>
      <c r="L118" s="439">
        <v>7040.81</v>
      </c>
      <c r="M118" s="439">
        <v>16474.37</v>
      </c>
      <c r="N118" s="439">
        <v>875.97</v>
      </c>
      <c r="O118" s="439">
        <v>532020.03</v>
      </c>
      <c r="P118" s="439">
        <v>17350.34</v>
      </c>
    </row>
    <row r="119" spans="9:16" x14ac:dyDescent="0.25">
      <c r="I119" s="444">
        <v>73</v>
      </c>
      <c r="J119" s="439">
        <v>532020.03</v>
      </c>
      <c r="K119" s="439">
        <v>9310.35</v>
      </c>
      <c r="L119" s="439">
        <v>7164.02</v>
      </c>
      <c r="M119" s="439">
        <v>16474.37</v>
      </c>
      <c r="N119" s="439">
        <v>864.53</v>
      </c>
      <c r="O119" s="439">
        <v>524856.01</v>
      </c>
      <c r="P119" s="439">
        <v>17338.900000000001</v>
      </c>
    </row>
    <row r="120" spans="9:16" x14ac:dyDescent="0.25">
      <c r="I120" s="444">
        <v>74</v>
      </c>
      <c r="J120" s="439">
        <v>524856.01</v>
      </c>
      <c r="K120" s="439">
        <v>9184.98</v>
      </c>
      <c r="L120" s="439">
        <v>7289.39</v>
      </c>
      <c r="M120" s="439">
        <v>16474.37</v>
      </c>
      <c r="N120" s="439">
        <v>852.89</v>
      </c>
      <c r="O120" s="439">
        <v>517566.62</v>
      </c>
      <c r="P120" s="439">
        <v>17327.259999999998</v>
      </c>
    </row>
    <row r="121" spans="9:16" x14ac:dyDescent="0.25">
      <c r="I121" s="444">
        <v>75</v>
      </c>
      <c r="J121" s="439">
        <v>517566.62</v>
      </c>
      <c r="K121" s="439">
        <v>9057.42</v>
      </c>
      <c r="L121" s="439">
        <v>7416.95</v>
      </c>
      <c r="M121" s="439">
        <v>16474.37</v>
      </c>
      <c r="N121" s="439">
        <v>841.05</v>
      </c>
      <c r="O121" s="439">
        <v>510149.67</v>
      </c>
      <c r="P121" s="439">
        <v>17315.419999999998</v>
      </c>
    </row>
    <row r="122" spans="9:16" x14ac:dyDescent="0.25">
      <c r="I122" s="444">
        <v>76</v>
      </c>
      <c r="J122" s="439">
        <v>510149.67</v>
      </c>
      <c r="K122" s="439">
        <v>8927.6200000000008</v>
      </c>
      <c r="L122" s="439">
        <v>7546.75</v>
      </c>
      <c r="M122" s="439">
        <v>16474.37</v>
      </c>
      <c r="N122" s="439">
        <v>828.99</v>
      </c>
      <c r="O122" s="439">
        <v>502602.92</v>
      </c>
      <c r="P122" s="439">
        <v>17303.36</v>
      </c>
    </row>
    <row r="123" spans="9:16" x14ac:dyDescent="0.25">
      <c r="I123" s="444">
        <v>77</v>
      </c>
      <c r="J123" s="439">
        <v>502602.92</v>
      </c>
      <c r="K123" s="439">
        <v>8795.5499999999993</v>
      </c>
      <c r="L123" s="439">
        <v>7678.82</v>
      </c>
      <c r="M123" s="439">
        <v>16474.37</v>
      </c>
      <c r="N123" s="439">
        <v>816.73</v>
      </c>
      <c r="O123" s="439">
        <v>494924.1</v>
      </c>
      <c r="P123" s="439">
        <v>17291.099999999999</v>
      </c>
    </row>
    <row r="124" spans="9:16" x14ac:dyDescent="0.25">
      <c r="I124" s="444">
        <v>78</v>
      </c>
      <c r="J124" s="439">
        <v>494924.1</v>
      </c>
      <c r="K124" s="439">
        <v>8661.17</v>
      </c>
      <c r="L124" s="439">
        <v>7813.2</v>
      </c>
      <c r="M124" s="439">
        <v>16474.37</v>
      </c>
      <c r="N124" s="439">
        <v>804.25</v>
      </c>
      <c r="O124" s="439">
        <v>487110.9</v>
      </c>
      <c r="P124" s="439">
        <v>17278.62</v>
      </c>
    </row>
    <row r="125" spans="9:16" x14ac:dyDescent="0.25">
      <c r="I125" s="444">
        <v>79</v>
      </c>
      <c r="J125" s="439">
        <v>487110.9</v>
      </c>
      <c r="K125" s="439">
        <v>8524.44</v>
      </c>
      <c r="L125" s="439">
        <v>7949.93</v>
      </c>
      <c r="M125" s="439">
        <v>16474.37</v>
      </c>
      <c r="N125" s="439">
        <v>791.56</v>
      </c>
      <c r="O125" s="439">
        <v>479160.97</v>
      </c>
      <c r="P125" s="439">
        <v>17265.93</v>
      </c>
    </row>
    <row r="126" spans="9:16" x14ac:dyDescent="0.25">
      <c r="I126" s="444">
        <v>80</v>
      </c>
      <c r="J126" s="439">
        <v>479160.97</v>
      </c>
      <c r="K126" s="439">
        <v>8385.32</v>
      </c>
      <c r="L126" s="439">
        <v>8089.05</v>
      </c>
      <c r="M126" s="439">
        <v>16474.37</v>
      </c>
      <c r="N126" s="439">
        <v>778.64</v>
      </c>
      <c r="O126" s="439">
        <v>471071.92</v>
      </c>
      <c r="P126" s="439">
        <v>17253.009999999998</v>
      </c>
    </row>
    <row r="127" spans="9:16" x14ac:dyDescent="0.25">
      <c r="I127" s="444">
        <v>81</v>
      </c>
      <c r="J127" s="439">
        <v>471071.92</v>
      </c>
      <c r="K127" s="439">
        <v>8243.76</v>
      </c>
      <c r="L127" s="439">
        <v>8230.61</v>
      </c>
      <c r="M127" s="439">
        <v>16474.37</v>
      </c>
      <c r="N127" s="439">
        <v>765.49</v>
      </c>
      <c r="O127" s="439">
        <v>462841.31</v>
      </c>
      <c r="P127" s="439">
        <v>17239.86</v>
      </c>
    </row>
    <row r="128" spans="9:16" x14ac:dyDescent="0.25">
      <c r="I128" s="444">
        <v>82</v>
      </c>
      <c r="J128" s="439">
        <v>462841.31</v>
      </c>
      <c r="K128" s="439">
        <v>8099.72</v>
      </c>
      <c r="L128" s="439">
        <v>8374.65</v>
      </c>
      <c r="M128" s="439">
        <v>16474.37</v>
      </c>
      <c r="N128" s="439">
        <v>752.12</v>
      </c>
      <c r="O128" s="439">
        <v>454466.66</v>
      </c>
      <c r="P128" s="439">
        <v>17226.490000000002</v>
      </c>
    </row>
    <row r="129" spans="9:16" x14ac:dyDescent="0.25">
      <c r="I129" s="444">
        <v>83</v>
      </c>
      <c r="J129" s="439">
        <v>454466.66</v>
      </c>
      <c r="K129" s="439">
        <v>7953.17</v>
      </c>
      <c r="L129" s="439">
        <v>8521.2000000000007</v>
      </c>
      <c r="M129" s="439">
        <v>16474.37</v>
      </c>
      <c r="N129" s="439">
        <v>738.51</v>
      </c>
      <c r="O129" s="439">
        <v>445945.46</v>
      </c>
      <c r="P129" s="439">
        <v>17212.88</v>
      </c>
    </row>
    <row r="130" spans="9:16" x14ac:dyDescent="0.25">
      <c r="I130" s="444">
        <v>84</v>
      </c>
      <c r="J130" s="439">
        <v>445945.46</v>
      </c>
      <c r="K130" s="439">
        <v>7804.05</v>
      </c>
      <c r="L130" s="439">
        <v>8670.32</v>
      </c>
      <c r="M130" s="439">
        <v>16474.37</v>
      </c>
      <c r="N130" s="439">
        <v>724.66</v>
      </c>
      <c r="O130" s="439">
        <v>437275.13</v>
      </c>
      <c r="P130" s="439">
        <v>17199.03</v>
      </c>
    </row>
    <row r="131" spans="9:16" x14ac:dyDescent="0.25">
      <c r="I131" s="444">
        <v>85</v>
      </c>
      <c r="J131" s="439">
        <v>437275.13</v>
      </c>
      <c r="K131" s="439">
        <v>7652.31</v>
      </c>
      <c r="L131" s="439">
        <v>8822.06</v>
      </c>
      <c r="M131" s="439">
        <v>16474.37</v>
      </c>
      <c r="N131" s="439">
        <v>710.57</v>
      </c>
      <c r="O131" s="439">
        <v>428453.08</v>
      </c>
      <c r="P131" s="439">
        <v>17184.939999999999</v>
      </c>
    </row>
    <row r="132" spans="9:16" x14ac:dyDescent="0.25">
      <c r="I132" s="444">
        <v>86</v>
      </c>
      <c r="J132" s="439">
        <v>428453.08</v>
      </c>
      <c r="K132" s="439">
        <v>7497.93</v>
      </c>
      <c r="L132" s="439">
        <v>8976.44</v>
      </c>
      <c r="M132" s="439">
        <v>16474.37</v>
      </c>
      <c r="N132" s="439">
        <v>696.24</v>
      </c>
      <c r="O132" s="439">
        <v>419476.63</v>
      </c>
      <c r="P132" s="439">
        <v>17170.61</v>
      </c>
    </row>
    <row r="133" spans="9:16" x14ac:dyDescent="0.25">
      <c r="I133" s="444">
        <v>87</v>
      </c>
      <c r="J133" s="439">
        <v>419476.63</v>
      </c>
      <c r="K133" s="439">
        <v>7340.84</v>
      </c>
      <c r="L133" s="439">
        <v>9133.5300000000007</v>
      </c>
      <c r="M133" s="439">
        <v>16474.37</v>
      </c>
      <c r="N133" s="439">
        <v>681.65</v>
      </c>
      <c r="O133" s="439">
        <v>410343.11</v>
      </c>
      <c r="P133" s="439">
        <v>17156.02</v>
      </c>
    </row>
    <row r="134" spans="9:16" x14ac:dyDescent="0.25">
      <c r="I134" s="444">
        <v>88</v>
      </c>
      <c r="J134" s="439">
        <v>410343.11</v>
      </c>
      <c r="K134" s="439">
        <v>7181</v>
      </c>
      <c r="L134" s="439">
        <v>9293.3700000000008</v>
      </c>
      <c r="M134" s="439">
        <v>16474.37</v>
      </c>
      <c r="N134" s="439">
        <v>666.81</v>
      </c>
      <c r="O134" s="439">
        <v>401049.74</v>
      </c>
      <c r="P134" s="439">
        <v>17141.18</v>
      </c>
    </row>
    <row r="135" spans="9:16" x14ac:dyDescent="0.25">
      <c r="I135" s="444">
        <v>89</v>
      </c>
      <c r="J135" s="439">
        <v>401049.74</v>
      </c>
      <c r="K135" s="439">
        <v>7018.37</v>
      </c>
      <c r="L135" s="439">
        <v>9456</v>
      </c>
      <c r="M135" s="439">
        <v>16474.37</v>
      </c>
      <c r="N135" s="439">
        <v>651.71</v>
      </c>
      <c r="O135" s="439">
        <v>391593.74</v>
      </c>
      <c r="P135" s="439">
        <v>17126.080000000002</v>
      </c>
    </row>
    <row r="136" spans="9:16" x14ac:dyDescent="0.25">
      <c r="I136" s="444">
        <v>90</v>
      </c>
      <c r="J136" s="439">
        <v>391593.74</v>
      </c>
      <c r="K136" s="439">
        <v>6852.89</v>
      </c>
      <c r="L136" s="439">
        <v>9621.48</v>
      </c>
      <c r="M136" s="439">
        <v>16474.37</v>
      </c>
      <c r="N136" s="439">
        <v>636.34</v>
      </c>
      <c r="O136" s="439">
        <v>381972.26</v>
      </c>
      <c r="P136" s="439">
        <v>17110.71</v>
      </c>
    </row>
    <row r="137" spans="9:16" x14ac:dyDescent="0.25">
      <c r="I137" s="444">
        <v>91</v>
      </c>
      <c r="J137" s="439">
        <v>381972.26</v>
      </c>
      <c r="K137" s="439">
        <v>6684.51</v>
      </c>
      <c r="L137" s="439">
        <v>9789.86</v>
      </c>
      <c r="M137" s="439">
        <v>16474.37</v>
      </c>
      <c r="N137" s="439">
        <v>620.70000000000005</v>
      </c>
      <c r="O137" s="439">
        <v>372182.41</v>
      </c>
      <c r="P137" s="439">
        <v>17095.07</v>
      </c>
    </row>
    <row r="138" spans="9:16" x14ac:dyDescent="0.25">
      <c r="I138" s="444">
        <v>92</v>
      </c>
      <c r="J138" s="439">
        <v>372182.41</v>
      </c>
      <c r="K138" s="439">
        <v>6513.19</v>
      </c>
      <c r="L138" s="439">
        <v>9961.18</v>
      </c>
      <c r="M138" s="439">
        <v>16474.37</v>
      </c>
      <c r="N138" s="439">
        <v>604.79999999999995</v>
      </c>
      <c r="O138" s="439">
        <v>362221.23</v>
      </c>
      <c r="P138" s="439">
        <v>17079.169999999998</v>
      </c>
    </row>
    <row r="139" spans="9:16" x14ac:dyDescent="0.25">
      <c r="I139" s="444">
        <v>93</v>
      </c>
      <c r="J139" s="439">
        <v>362221.23</v>
      </c>
      <c r="K139" s="439">
        <v>6338.87</v>
      </c>
      <c r="L139" s="439">
        <v>10135.5</v>
      </c>
      <c r="M139" s="439">
        <v>16474.37</v>
      </c>
      <c r="N139" s="439">
        <v>588.61</v>
      </c>
      <c r="O139" s="439">
        <v>352085.73</v>
      </c>
      <c r="P139" s="439">
        <v>17062.98</v>
      </c>
    </row>
    <row r="140" spans="9:16" x14ac:dyDescent="0.25">
      <c r="I140" s="444">
        <v>94</v>
      </c>
      <c r="J140" s="439">
        <v>352085.73</v>
      </c>
      <c r="K140" s="439">
        <v>6161.5</v>
      </c>
      <c r="L140" s="439">
        <v>10312.870000000001</v>
      </c>
      <c r="M140" s="439">
        <v>16474.37</v>
      </c>
      <c r="N140" s="439">
        <v>572.14</v>
      </c>
      <c r="O140" s="439">
        <v>341772.86</v>
      </c>
      <c r="P140" s="439">
        <v>17046.509999999998</v>
      </c>
    </row>
    <row r="141" spans="9:16" x14ac:dyDescent="0.25">
      <c r="I141" s="444">
        <v>95</v>
      </c>
      <c r="J141" s="439">
        <v>341772.86</v>
      </c>
      <c r="K141" s="439">
        <v>5981.03</v>
      </c>
      <c r="L141" s="439">
        <v>10493.34</v>
      </c>
      <c r="M141" s="439">
        <v>16474.37</v>
      </c>
      <c r="N141" s="439">
        <v>555.38</v>
      </c>
      <c r="O141" s="439">
        <v>331279.51</v>
      </c>
      <c r="P141" s="439">
        <v>17029.75</v>
      </c>
    </row>
    <row r="142" spans="9:16" x14ac:dyDescent="0.25">
      <c r="I142" s="444">
        <v>96</v>
      </c>
      <c r="J142" s="439">
        <v>331279.51</v>
      </c>
      <c r="K142" s="439">
        <v>5797.39</v>
      </c>
      <c r="L142" s="439">
        <v>10676.98</v>
      </c>
      <c r="M142" s="439">
        <v>16474.37</v>
      </c>
      <c r="N142" s="439">
        <v>538.33000000000004</v>
      </c>
      <c r="O142" s="439">
        <v>320602.53999999998</v>
      </c>
      <c r="P142" s="439">
        <v>17012.7</v>
      </c>
    </row>
    <row r="143" spans="9:16" x14ac:dyDescent="0.25">
      <c r="I143" s="444">
        <v>97</v>
      </c>
      <c r="J143" s="439">
        <v>320602.53999999998</v>
      </c>
      <c r="K143" s="439">
        <v>5610.54</v>
      </c>
      <c r="L143" s="439">
        <v>10863.83</v>
      </c>
      <c r="M143" s="439">
        <v>16474.37</v>
      </c>
      <c r="N143" s="439">
        <v>520.98</v>
      </c>
      <c r="O143" s="439">
        <v>309738.71000000002</v>
      </c>
      <c r="P143" s="439">
        <v>16995.349999999999</v>
      </c>
    </row>
    <row r="144" spans="9:16" x14ac:dyDescent="0.25">
      <c r="I144" s="444">
        <v>98</v>
      </c>
      <c r="J144" s="439">
        <v>309738.71000000002</v>
      </c>
      <c r="K144" s="439">
        <v>5420.43</v>
      </c>
      <c r="L144" s="439">
        <v>11053.94</v>
      </c>
      <c r="M144" s="439">
        <v>16474.37</v>
      </c>
      <c r="N144" s="439">
        <v>503.33</v>
      </c>
      <c r="O144" s="439">
        <v>298684.77</v>
      </c>
      <c r="P144" s="439">
        <v>16977.7</v>
      </c>
    </row>
    <row r="145" spans="9:16" x14ac:dyDescent="0.25">
      <c r="I145" s="444">
        <v>99</v>
      </c>
      <c r="J145" s="439">
        <v>298684.77</v>
      </c>
      <c r="K145" s="439">
        <v>5226.9799999999996</v>
      </c>
      <c r="L145" s="439">
        <v>11247.39</v>
      </c>
      <c r="M145" s="439">
        <v>16474.37</v>
      </c>
      <c r="N145" s="439">
        <v>485.36</v>
      </c>
      <c r="O145" s="439">
        <v>287437.38</v>
      </c>
      <c r="P145" s="439">
        <v>16959.73</v>
      </c>
    </row>
    <row r="146" spans="9:16" x14ac:dyDescent="0.25">
      <c r="I146" s="444">
        <v>100</v>
      </c>
      <c r="J146" s="439">
        <v>287437.38</v>
      </c>
      <c r="K146" s="439">
        <v>5030.1499999999996</v>
      </c>
      <c r="L146" s="439">
        <v>11444.22</v>
      </c>
      <c r="M146" s="439">
        <v>16474.37</v>
      </c>
      <c r="N146" s="439">
        <v>467.09</v>
      </c>
      <c r="O146" s="439">
        <v>275993.17</v>
      </c>
      <c r="P146" s="439">
        <v>16941.46</v>
      </c>
    </row>
    <row r="147" spans="9:16" x14ac:dyDescent="0.25">
      <c r="I147" s="444">
        <v>101</v>
      </c>
      <c r="J147" s="439">
        <v>275993.17</v>
      </c>
      <c r="K147" s="439">
        <v>4829.88</v>
      </c>
      <c r="L147" s="439">
        <v>11644.49</v>
      </c>
      <c r="M147" s="439">
        <v>16474.37</v>
      </c>
      <c r="N147" s="439">
        <v>448.49</v>
      </c>
      <c r="O147" s="439">
        <v>264348.68</v>
      </c>
      <c r="P147" s="439">
        <v>16922.86</v>
      </c>
    </row>
    <row r="148" spans="9:16" x14ac:dyDescent="0.25">
      <c r="I148" s="444">
        <v>102</v>
      </c>
      <c r="J148" s="439">
        <v>264348.68</v>
      </c>
      <c r="K148" s="439">
        <v>4626.1000000000004</v>
      </c>
      <c r="L148" s="439">
        <v>11848.27</v>
      </c>
      <c r="M148" s="439">
        <v>16474.37</v>
      </c>
      <c r="N148" s="439">
        <v>429.57</v>
      </c>
      <c r="O148" s="439">
        <v>252500.41</v>
      </c>
      <c r="P148" s="439">
        <v>16903.939999999999</v>
      </c>
    </row>
    <row r="149" spans="9:16" x14ac:dyDescent="0.25">
      <c r="I149" s="444">
        <v>103</v>
      </c>
      <c r="J149" s="439">
        <v>252500.41</v>
      </c>
      <c r="K149" s="439">
        <v>4418.76</v>
      </c>
      <c r="L149" s="439">
        <v>12055.61</v>
      </c>
      <c r="M149" s="439">
        <v>16474.37</v>
      </c>
      <c r="N149" s="439">
        <v>410.31</v>
      </c>
      <c r="O149" s="439">
        <v>240444.79</v>
      </c>
      <c r="P149" s="439">
        <v>16884.68</v>
      </c>
    </row>
    <row r="150" spans="9:16" x14ac:dyDescent="0.25">
      <c r="I150" s="444">
        <v>104</v>
      </c>
      <c r="J150" s="439">
        <v>240444.79</v>
      </c>
      <c r="K150" s="439">
        <v>4207.78</v>
      </c>
      <c r="L150" s="439">
        <v>12266.59</v>
      </c>
      <c r="M150" s="439">
        <v>16474.37</v>
      </c>
      <c r="N150" s="439">
        <v>390.72</v>
      </c>
      <c r="O150" s="439">
        <v>228178.21</v>
      </c>
      <c r="P150" s="439">
        <v>16865.09</v>
      </c>
    </row>
    <row r="151" spans="9:16" x14ac:dyDescent="0.25">
      <c r="I151" s="444">
        <v>105</v>
      </c>
      <c r="J151" s="439">
        <v>228178.21</v>
      </c>
      <c r="K151" s="439">
        <v>3993.12</v>
      </c>
      <c r="L151" s="439">
        <v>12481.25</v>
      </c>
      <c r="M151" s="439">
        <v>16474.37</v>
      </c>
      <c r="N151" s="439">
        <v>370.79</v>
      </c>
      <c r="O151" s="439">
        <v>215696.96</v>
      </c>
      <c r="P151" s="439">
        <v>16845.16</v>
      </c>
    </row>
    <row r="152" spans="9:16" x14ac:dyDescent="0.25">
      <c r="I152" s="444">
        <v>106</v>
      </c>
      <c r="J152" s="439">
        <v>215696.96</v>
      </c>
      <c r="K152" s="439">
        <v>3774.7</v>
      </c>
      <c r="L152" s="439">
        <v>12699.67</v>
      </c>
      <c r="M152" s="439">
        <v>16474.37</v>
      </c>
      <c r="N152" s="439">
        <v>350.51</v>
      </c>
      <c r="O152" s="439">
        <v>202997.28</v>
      </c>
      <c r="P152" s="439">
        <v>16824.88</v>
      </c>
    </row>
    <row r="153" spans="9:16" x14ac:dyDescent="0.25">
      <c r="I153" s="444">
        <v>107</v>
      </c>
      <c r="J153" s="439">
        <v>202997.28</v>
      </c>
      <c r="K153" s="439">
        <v>3552.45</v>
      </c>
      <c r="L153" s="439">
        <v>12921.92</v>
      </c>
      <c r="M153" s="439">
        <v>16474.37</v>
      </c>
      <c r="N153" s="439">
        <v>329.87</v>
      </c>
      <c r="O153" s="439">
        <v>190075.37</v>
      </c>
      <c r="P153" s="439">
        <v>16804.240000000002</v>
      </c>
    </row>
    <row r="154" spans="9:16" x14ac:dyDescent="0.25">
      <c r="I154" s="444">
        <v>108</v>
      </c>
      <c r="J154" s="439">
        <v>190075.37</v>
      </c>
      <c r="K154" s="439">
        <v>3326.32</v>
      </c>
      <c r="L154" s="439">
        <v>13148.05</v>
      </c>
      <c r="M154" s="439">
        <v>16474.37</v>
      </c>
      <c r="N154" s="439">
        <v>308.87</v>
      </c>
      <c r="O154" s="439">
        <v>176927.32</v>
      </c>
      <c r="P154" s="439">
        <v>16783.240000000002</v>
      </c>
    </row>
    <row r="155" spans="9:16" x14ac:dyDescent="0.25">
      <c r="I155" s="444">
        <v>109</v>
      </c>
      <c r="J155" s="439">
        <v>176927.32</v>
      </c>
      <c r="K155" s="439">
        <v>3096.23</v>
      </c>
      <c r="L155" s="439">
        <v>13378.14</v>
      </c>
      <c r="M155" s="439">
        <v>16474.37</v>
      </c>
      <c r="N155" s="439">
        <v>287.51</v>
      </c>
      <c r="O155" s="439">
        <v>163549.17000000001</v>
      </c>
      <c r="P155" s="439">
        <v>16761.88</v>
      </c>
    </row>
    <row r="156" spans="9:16" x14ac:dyDescent="0.25">
      <c r="I156" s="444">
        <v>110</v>
      </c>
      <c r="J156" s="439">
        <v>163549.17000000001</v>
      </c>
      <c r="K156" s="439">
        <v>2862.11</v>
      </c>
      <c r="L156" s="439">
        <v>13612.26</v>
      </c>
      <c r="M156" s="439">
        <v>16474.37</v>
      </c>
      <c r="N156" s="439">
        <v>265.77</v>
      </c>
      <c r="O156" s="439">
        <v>149936.91</v>
      </c>
      <c r="P156" s="439">
        <v>16740.14</v>
      </c>
    </row>
    <row r="157" spans="9:16" x14ac:dyDescent="0.25">
      <c r="I157" s="444">
        <v>111</v>
      </c>
      <c r="J157" s="439">
        <v>149936.91</v>
      </c>
      <c r="K157" s="439">
        <v>2623.9</v>
      </c>
      <c r="L157" s="439">
        <v>13850.47</v>
      </c>
      <c r="M157" s="439">
        <v>16474.37</v>
      </c>
      <c r="N157" s="439">
        <v>243.65</v>
      </c>
      <c r="O157" s="439">
        <v>136086.44</v>
      </c>
      <c r="P157" s="439">
        <v>16718.02</v>
      </c>
    </row>
    <row r="158" spans="9:16" x14ac:dyDescent="0.25">
      <c r="I158" s="444">
        <v>112</v>
      </c>
      <c r="J158" s="439">
        <v>136086.44</v>
      </c>
      <c r="K158" s="439">
        <v>2381.5100000000002</v>
      </c>
      <c r="L158" s="439">
        <v>14092.86</v>
      </c>
      <c r="M158" s="439">
        <v>16474.37</v>
      </c>
      <c r="N158" s="439">
        <v>221.14</v>
      </c>
      <c r="O158" s="439">
        <v>121993.58</v>
      </c>
      <c r="P158" s="439">
        <v>16695.509999999998</v>
      </c>
    </row>
    <row r="159" spans="9:16" x14ac:dyDescent="0.25">
      <c r="I159" s="444">
        <v>113</v>
      </c>
      <c r="J159" s="439">
        <v>121993.58</v>
      </c>
      <c r="K159" s="439">
        <v>2134.89</v>
      </c>
      <c r="L159" s="439">
        <v>14339.48</v>
      </c>
      <c r="M159" s="439">
        <v>16474.37</v>
      </c>
      <c r="N159" s="439">
        <v>198.24</v>
      </c>
      <c r="O159" s="439">
        <v>107654.1</v>
      </c>
      <c r="P159" s="439">
        <v>16672.61</v>
      </c>
    </row>
    <row r="160" spans="9:16" x14ac:dyDescent="0.25">
      <c r="I160" s="444">
        <v>114</v>
      </c>
      <c r="J160" s="439">
        <v>107654.1</v>
      </c>
      <c r="K160" s="439">
        <v>1883.95</v>
      </c>
      <c r="L160" s="439">
        <v>14590.42</v>
      </c>
      <c r="M160" s="439">
        <v>16474.37</v>
      </c>
      <c r="N160" s="439">
        <v>174.94</v>
      </c>
      <c r="O160" s="439">
        <v>93063.679999999993</v>
      </c>
      <c r="P160" s="439">
        <v>16649.310000000001</v>
      </c>
    </row>
    <row r="161" spans="9:16" x14ac:dyDescent="0.25">
      <c r="I161" s="444">
        <v>115</v>
      </c>
      <c r="J161" s="439">
        <v>93063.679999999993</v>
      </c>
      <c r="K161" s="439">
        <v>1628.61</v>
      </c>
      <c r="L161" s="439">
        <v>14845.76</v>
      </c>
      <c r="M161" s="439">
        <v>16474.37</v>
      </c>
      <c r="N161" s="439">
        <v>151.22999999999999</v>
      </c>
      <c r="O161" s="439">
        <v>78217.919999999998</v>
      </c>
      <c r="P161" s="439">
        <v>16625.599999999999</v>
      </c>
    </row>
    <row r="162" spans="9:16" x14ac:dyDescent="0.25">
      <c r="I162" s="444">
        <v>116</v>
      </c>
      <c r="J162" s="439">
        <v>78217.919999999998</v>
      </c>
      <c r="K162" s="439">
        <v>1368.81</v>
      </c>
      <c r="L162" s="439">
        <v>15105.56</v>
      </c>
      <c r="M162" s="439">
        <v>16474.37</v>
      </c>
      <c r="N162" s="439">
        <v>127.1</v>
      </c>
      <c r="O162" s="439">
        <v>63112.36</v>
      </c>
      <c r="P162" s="439">
        <v>16601.47</v>
      </c>
    </row>
    <row r="163" spans="9:16" x14ac:dyDescent="0.25">
      <c r="I163" s="444">
        <v>117</v>
      </c>
      <c r="J163" s="439">
        <v>63112.36</v>
      </c>
      <c r="K163" s="439">
        <v>1104.47</v>
      </c>
      <c r="L163" s="439">
        <v>15369.9</v>
      </c>
      <c r="M163" s="439">
        <v>16474.37</v>
      </c>
      <c r="N163" s="439">
        <v>102.56</v>
      </c>
      <c r="O163" s="439">
        <v>47742.46</v>
      </c>
      <c r="P163" s="439">
        <v>16576.93</v>
      </c>
    </row>
    <row r="164" spans="9:16" x14ac:dyDescent="0.25">
      <c r="I164" s="444">
        <v>118</v>
      </c>
      <c r="J164" s="439">
        <v>47742.46</v>
      </c>
      <c r="K164" s="439">
        <v>835.49</v>
      </c>
      <c r="L164" s="439">
        <v>15638.88</v>
      </c>
      <c r="M164" s="439">
        <v>16474.37</v>
      </c>
      <c r="N164" s="439">
        <v>77.58</v>
      </c>
      <c r="O164" s="439">
        <v>32103.58</v>
      </c>
      <c r="P164" s="439">
        <v>16551.95</v>
      </c>
    </row>
    <row r="165" spans="9:16" x14ac:dyDescent="0.25">
      <c r="I165" s="444">
        <v>119</v>
      </c>
      <c r="J165" s="439">
        <v>32103.58</v>
      </c>
      <c r="K165" s="439">
        <v>561.80999999999995</v>
      </c>
      <c r="L165" s="439">
        <v>15912.56</v>
      </c>
      <c r="M165" s="439">
        <v>16474.37</v>
      </c>
      <c r="N165" s="439">
        <v>52.17</v>
      </c>
      <c r="O165" s="439">
        <v>16191.03</v>
      </c>
      <c r="P165" s="439">
        <v>16526.54</v>
      </c>
    </row>
    <row r="166" spans="9:16" x14ac:dyDescent="0.25">
      <c r="I166" s="444">
        <v>120</v>
      </c>
      <c r="J166" s="439">
        <v>16191.03</v>
      </c>
      <c r="K166" s="439">
        <v>283.33999999999997</v>
      </c>
      <c r="L166" s="439">
        <v>16191.03</v>
      </c>
      <c r="M166" s="439">
        <v>16474.37</v>
      </c>
      <c r="N166" s="439">
        <v>26.31</v>
      </c>
      <c r="O166" s="439">
        <v>0</v>
      </c>
      <c r="P166" s="439">
        <v>16500.68</v>
      </c>
    </row>
  </sheetData>
  <hyperlinks>
    <hyperlink ref="G2" location="Finansieringsteori!A1" display="Finansieringsteori!A1" xr:uid="{00000000-0004-0000-3500-000000000000}"/>
  </hyperlinks>
  <pageMargins left="0.75" right="0.75" top="1" bottom="1" header="0.5" footer="0.5"/>
  <pageSetup paperSize="9" orientation="portrait" horizontalDpi="4294967292" verticalDpi="429496729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00B050"/>
  </sheetPr>
  <dimension ref="D3"/>
  <sheetViews>
    <sheetView workbookViewId="0">
      <selection activeCell="D3" sqref="D3"/>
    </sheetView>
  </sheetViews>
  <sheetFormatPr defaultColWidth="10.875" defaultRowHeight="15.75" x14ac:dyDescent="0.25"/>
  <cols>
    <col min="1" max="16384" width="10.875" style="1"/>
  </cols>
  <sheetData>
    <row r="3" spans="4:4" x14ac:dyDescent="0.25">
      <c r="D3" s="101" t="s">
        <v>1612</v>
      </c>
    </row>
  </sheetData>
  <hyperlinks>
    <hyperlink ref="D3" location="Finansieringsteori!A1" display="Finansieringsteori!A1" xr:uid="{00000000-0004-0000-3600-000000000000}"/>
  </hyperlinks>
  <pageMargins left="0.75" right="0.75" top="1" bottom="1" header="0.5" footer="0.5"/>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00B050"/>
  </sheetPr>
  <dimension ref="D3"/>
  <sheetViews>
    <sheetView workbookViewId="0"/>
  </sheetViews>
  <sheetFormatPr defaultColWidth="10.875" defaultRowHeight="15.75" x14ac:dyDescent="0.25"/>
  <cols>
    <col min="1" max="16384" width="10.875" style="1"/>
  </cols>
  <sheetData>
    <row r="3" spans="4:4" x14ac:dyDescent="0.25">
      <c r="D3" s="101" t="s">
        <v>1612</v>
      </c>
    </row>
  </sheetData>
  <hyperlinks>
    <hyperlink ref="D3" location="Finansieringsteori!A1" display="Finansieringsteori!A1" xr:uid="{00000000-0004-0000-3700-000000000000}"/>
  </hyperlinks>
  <pageMargins left="0.75" right="0.75" top="1" bottom="1" header="0.5" footer="0.5"/>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50"/>
  </sheetPr>
  <dimension ref="D3"/>
  <sheetViews>
    <sheetView workbookViewId="0">
      <selection activeCell="D3" sqref="D3"/>
    </sheetView>
  </sheetViews>
  <sheetFormatPr defaultColWidth="10.875" defaultRowHeight="15.75" x14ac:dyDescent="0.25"/>
  <cols>
    <col min="1" max="16384" width="10.875" style="1"/>
  </cols>
  <sheetData>
    <row r="3" spans="4:4" x14ac:dyDescent="0.25">
      <c r="D3" s="101" t="s">
        <v>1612</v>
      </c>
    </row>
  </sheetData>
  <hyperlinks>
    <hyperlink ref="D3" location="Finansieringsteori!A1" display="Finansieringsteori!A1" xr:uid="{00000000-0004-0000-3800-000000000000}"/>
  </hyperlinks>
  <pageMargins left="0.75" right="0.75" top="1" bottom="1" header="0.5" footer="0.5"/>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B050"/>
  </sheetPr>
  <dimension ref="D3"/>
  <sheetViews>
    <sheetView workbookViewId="0">
      <selection activeCell="D3" sqref="D3"/>
    </sheetView>
  </sheetViews>
  <sheetFormatPr defaultColWidth="10.875" defaultRowHeight="15.75" x14ac:dyDescent="0.25"/>
  <cols>
    <col min="1" max="16384" width="10.875" style="1"/>
  </cols>
  <sheetData>
    <row r="3" spans="4:4" x14ac:dyDescent="0.25">
      <c r="D3" s="101" t="s">
        <v>1612</v>
      </c>
    </row>
  </sheetData>
  <hyperlinks>
    <hyperlink ref="D3" location="Finansieringsteori!A1" display="Finansieringsteori!A1" xr:uid="{00000000-0004-0000-3900-000000000000}"/>
  </hyperlinks>
  <pageMargins left="0.75" right="0.75" top="1" bottom="1" header="0.5" footer="0.5"/>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00B050"/>
  </sheetPr>
  <dimension ref="A5:R47"/>
  <sheetViews>
    <sheetView workbookViewId="0">
      <selection activeCell="L29" sqref="L29"/>
    </sheetView>
  </sheetViews>
  <sheetFormatPr defaultColWidth="10.875" defaultRowHeight="15.75" x14ac:dyDescent="0.25"/>
  <cols>
    <col min="1" max="4" width="10.875" style="1"/>
    <col min="5" max="5" width="12.125" style="1" customWidth="1"/>
    <col min="6" max="10" width="10.875" style="1"/>
    <col min="11" max="11" width="15.125" style="1" customWidth="1"/>
    <col min="12" max="12" width="12.125" style="1" bestFit="1" customWidth="1"/>
    <col min="13" max="13" width="14.125" style="1" bestFit="1" customWidth="1"/>
    <col min="14" max="14" width="11.125" style="1" bestFit="1" customWidth="1"/>
    <col min="15" max="15" width="16.625" style="1" customWidth="1"/>
    <col min="16" max="16384" width="10.875" style="1"/>
  </cols>
  <sheetData>
    <row r="5" spans="3:15" x14ac:dyDescent="0.25">
      <c r="D5" s="1" t="s">
        <v>1927</v>
      </c>
    </row>
    <row r="6" spans="3:15" x14ac:dyDescent="0.25">
      <c r="C6" s="101" t="s">
        <v>1612</v>
      </c>
    </row>
    <row r="8" spans="3:15" x14ac:dyDescent="0.25">
      <c r="K8" s="425" t="s">
        <v>2201</v>
      </c>
      <c r="L8" s="36"/>
      <c r="M8" s="172"/>
      <c r="N8" s="36"/>
      <c r="O8" s="36"/>
    </row>
    <row r="9" spans="3:15" x14ac:dyDescent="0.25">
      <c r="K9" s="16" t="s">
        <v>2200</v>
      </c>
      <c r="L9" s="16"/>
      <c r="M9" s="504"/>
      <c r="N9" s="16"/>
      <c r="O9" s="16"/>
    </row>
    <row r="10" spans="3:15" x14ac:dyDescent="0.25">
      <c r="K10" s="18" t="s">
        <v>2199</v>
      </c>
      <c r="L10" s="16"/>
      <c r="M10" s="504"/>
      <c r="N10" s="16"/>
      <c r="O10" s="16"/>
    </row>
    <row r="11" spans="3:15" x14ac:dyDescent="0.25">
      <c r="K11" s="18" t="s">
        <v>2198</v>
      </c>
      <c r="L11" s="16"/>
      <c r="M11" s="504"/>
      <c r="N11" s="16"/>
      <c r="O11" s="16"/>
    </row>
    <row r="12" spans="3:15" x14ac:dyDescent="0.25">
      <c r="K12" s="18" t="s">
        <v>2197</v>
      </c>
      <c r="L12" s="16"/>
      <c r="M12" s="504"/>
      <c r="N12" s="16"/>
      <c r="O12" s="16"/>
    </row>
    <row r="13" spans="3:15" x14ac:dyDescent="0.25">
      <c r="K13" s="18" t="s">
        <v>2196</v>
      </c>
      <c r="L13" s="16"/>
      <c r="M13" s="504"/>
      <c r="N13" s="16"/>
      <c r="O13" s="16"/>
    </row>
    <row r="14" spans="3:15" x14ac:dyDescent="0.25">
      <c r="K14" s="16"/>
      <c r="L14" s="16"/>
      <c r="M14" s="504"/>
      <c r="N14" s="16"/>
      <c r="O14" s="16" t="s">
        <v>2195</v>
      </c>
    </row>
    <row r="15" spans="3:15" x14ac:dyDescent="0.25">
      <c r="K15" s="606" t="s">
        <v>2194</v>
      </c>
      <c r="L15" s="205" t="s">
        <v>2193</v>
      </c>
      <c r="M15" s="605" t="s">
        <v>2192</v>
      </c>
      <c r="N15" s="206" t="s">
        <v>2191</v>
      </c>
      <c r="O15" s="16"/>
    </row>
    <row r="16" spans="3:15" x14ac:dyDescent="0.25">
      <c r="K16" s="23">
        <v>2000</v>
      </c>
      <c r="L16" s="16">
        <v>56</v>
      </c>
      <c r="M16" s="504"/>
      <c r="N16" s="207"/>
      <c r="O16" s="16"/>
    </row>
    <row r="17" spans="1:18" x14ac:dyDescent="0.25">
      <c r="K17" s="23">
        <v>2001</v>
      </c>
      <c r="L17" s="16">
        <v>55</v>
      </c>
      <c r="M17" s="504">
        <v>4</v>
      </c>
      <c r="N17" s="509">
        <f t="shared" ref="N17:N26" si="0">+(M17+L17-L16)/L16</f>
        <v>5.3571428571428568E-2</v>
      </c>
      <c r="O17" s="602">
        <f>+N17+1</f>
        <v>1.0535714285714286</v>
      </c>
    </row>
    <row r="18" spans="1:18" x14ac:dyDescent="0.25">
      <c r="K18" s="23">
        <v>2002</v>
      </c>
      <c r="L18" s="16">
        <v>59</v>
      </c>
      <c r="M18" s="504">
        <v>0</v>
      </c>
      <c r="N18" s="509">
        <f t="shared" si="0"/>
        <v>7.2727272727272724E-2</v>
      </c>
      <c r="O18" s="602">
        <f t="shared" ref="O18:O26" si="1">+N18+1</f>
        <v>1.0727272727272728</v>
      </c>
    </row>
    <row r="19" spans="1:18" x14ac:dyDescent="0.25">
      <c r="K19" s="23">
        <v>2003</v>
      </c>
      <c r="L19" s="16">
        <v>62</v>
      </c>
      <c r="M19" s="504">
        <v>2</v>
      </c>
      <c r="N19" s="509">
        <f t="shared" si="0"/>
        <v>8.4745762711864403E-2</v>
      </c>
      <c r="O19" s="602">
        <f t="shared" si="1"/>
        <v>1.0847457627118644</v>
      </c>
    </row>
    <row r="20" spans="1:18" x14ac:dyDescent="0.25">
      <c r="K20" s="23">
        <v>2004</v>
      </c>
      <c r="L20" s="16">
        <v>63</v>
      </c>
      <c r="M20" s="504">
        <v>4</v>
      </c>
      <c r="N20" s="509">
        <f t="shared" si="0"/>
        <v>8.0645161290322578E-2</v>
      </c>
      <c r="O20" s="602">
        <f t="shared" si="1"/>
        <v>1.0806451612903225</v>
      </c>
    </row>
    <row r="21" spans="1:18" x14ac:dyDescent="0.25">
      <c r="K21" s="23">
        <v>2005</v>
      </c>
      <c r="L21" s="16">
        <v>63</v>
      </c>
      <c r="M21" s="504">
        <v>6</v>
      </c>
      <c r="N21" s="509">
        <f t="shared" si="0"/>
        <v>9.5238095238095233E-2</v>
      </c>
      <c r="O21" s="602">
        <f t="shared" si="1"/>
        <v>1.0952380952380953</v>
      </c>
    </row>
    <row r="22" spans="1:18" x14ac:dyDescent="0.25">
      <c r="K22" s="23">
        <v>2006</v>
      </c>
      <c r="L22" s="169">
        <v>67</v>
      </c>
      <c r="M22" s="16">
        <v>4</v>
      </c>
      <c r="N22" s="509">
        <f t="shared" si="0"/>
        <v>0.12698412698412698</v>
      </c>
      <c r="O22" s="602">
        <f t="shared" si="1"/>
        <v>1.126984126984127</v>
      </c>
    </row>
    <row r="23" spans="1:18" x14ac:dyDescent="0.25">
      <c r="K23" s="604">
        <v>2007</v>
      </c>
      <c r="L23" s="19">
        <v>61</v>
      </c>
      <c r="M23" s="16">
        <v>3</v>
      </c>
      <c r="N23" s="509">
        <f t="shared" si="0"/>
        <v>-4.4776119402985072E-2</v>
      </c>
      <c r="O23" s="602">
        <f t="shared" si="1"/>
        <v>0.95522388059701491</v>
      </c>
    </row>
    <row r="24" spans="1:18" x14ac:dyDescent="0.25">
      <c r="K24" s="23">
        <v>2008</v>
      </c>
      <c r="L24" s="16">
        <v>69</v>
      </c>
      <c r="M24" s="16">
        <v>5</v>
      </c>
      <c r="N24" s="509">
        <f t="shared" si="0"/>
        <v>0.21311475409836064</v>
      </c>
      <c r="O24" s="602">
        <f t="shared" si="1"/>
        <v>1.2131147540983607</v>
      </c>
    </row>
    <row r="25" spans="1:18" x14ac:dyDescent="0.25">
      <c r="K25" s="604">
        <v>2009</v>
      </c>
      <c r="L25" s="19">
        <v>73</v>
      </c>
      <c r="M25" s="19">
        <v>3</v>
      </c>
      <c r="N25" s="509">
        <f t="shared" si="0"/>
        <v>0.10144927536231885</v>
      </c>
      <c r="O25" s="602">
        <f t="shared" si="1"/>
        <v>1.1014492753623188</v>
      </c>
    </row>
    <row r="26" spans="1:18" x14ac:dyDescent="0.25">
      <c r="K26" s="26">
        <v>2010</v>
      </c>
      <c r="L26" s="187">
        <v>81</v>
      </c>
      <c r="M26" s="603">
        <v>2</v>
      </c>
      <c r="N26" s="509">
        <f t="shared" si="0"/>
        <v>0.13698630136986301</v>
      </c>
      <c r="O26" s="602">
        <f t="shared" si="1"/>
        <v>1.1369863013698631</v>
      </c>
    </row>
    <row r="27" spans="1:18" x14ac:dyDescent="0.25">
      <c r="K27" s="16"/>
      <c r="L27" s="169"/>
      <c r="M27" s="169"/>
      <c r="N27" s="169"/>
      <c r="O27" s="601">
        <f>PRODUCT(O17:O26)</f>
        <v>2.3731080508032543</v>
      </c>
    </row>
    <row r="28" spans="1:18" ht="15" customHeight="1" x14ac:dyDescent="0.25">
      <c r="K28" s="516" t="s">
        <v>3251</v>
      </c>
      <c r="L28" s="600">
        <f>SUM(N17:N26)/COUNT(N17:N26)</f>
        <v>9.2068605895066796E-2</v>
      </c>
      <c r="M28" s="597">
        <f>AVERAGE(N17:N26)</f>
        <v>9.2068605895066796E-2</v>
      </c>
      <c r="N28" s="169"/>
      <c r="O28" s="968" t="s">
        <v>2190</v>
      </c>
      <c r="P28" s="968"/>
      <c r="Q28" s="968"/>
      <c r="R28" s="968"/>
    </row>
    <row r="29" spans="1:18" x14ac:dyDescent="0.25">
      <c r="K29" s="599" t="s">
        <v>2189</v>
      </c>
      <c r="L29" s="598">
        <f>PRODUCT(O17:O26)^(1/COUNT(O17:O26))-1</f>
        <v>9.0264198682985519E-2</v>
      </c>
      <c r="M29" s="597">
        <f>GEOMEAN(O17:O26)-1</f>
        <v>9.0264198682985519E-2</v>
      </c>
      <c r="N29" s="169"/>
      <c r="O29" s="968"/>
      <c r="P29" s="968"/>
      <c r="Q29" s="968"/>
      <c r="R29" s="968"/>
    </row>
    <row r="30" spans="1:18" x14ac:dyDescent="0.25">
      <c r="A30" s="1" t="s">
        <v>3243</v>
      </c>
      <c r="K30" s="18"/>
      <c r="L30" s="597"/>
      <c r="M30" s="597"/>
      <c r="N30" s="169"/>
      <c r="O30" s="914"/>
      <c r="P30" s="914"/>
      <c r="Q30" s="914"/>
      <c r="R30" s="914"/>
    </row>
    <row r="31" spans="1:18" x14ac:dyDescent="0.25">
      <c r="A31" s="921" t="s">
        <v>3244</v>
      </c>
      <c r="K31" s="18"/>
      <c r="L31" s="597"/>
      <c r="M31" s="597"/>
      <c r="N31" s="169"/>
      <c r="O31" s="914"/>
      <c r="P31" s="914"/>
      <c r="Q31" s="914"/>
      <c r="R31" s="914"/>
    </row>
    <row r="32" spans="1:18" x14ac:dyDescent="0.25">
      <c r="A32" s="1" t="s">
        <v>3245</v>
      </c>
      <c r="K32" s="18"/>
      <c r="L32" s="597"/>
      <c r="M32" s="597"/>
      <c r="N32" s="169"/>
      <c r="O32" s="914"/>
      <c r="P32" s="914"/>
      <c r="Q32" s="914"/>
      <c r="R32" s="914"/>
    </row>
    <row r="33" spans="1:15" x14ac:dyDescent="0.25">
      <c r="A33" s="1" t="s">
        <v>3246</v>
      </c>
      <c r="K33" s="16"/>
      <c r="L33" s="169"/>
      <c r="M33" s="169"/>
      <c r="N33" s="169"/>
      <c r="O33" s="607"/>
    </row>
    <row r="34" spans="1:15" ht="16.5" thickBot="1" x14ac:dyDescent="0.3">
      <c r="K34" s="16"/>
      <c r="L34" s="169"/>
      <c r="M34" s="169"/>
      <c r="N34" s="169"/>
      <c r="O34" s="607"/>
    </row>
    <row r="35" spans="1:15" ht="43.5" thickBot="1" x14ac:dyDescent="0.3">
      <c r="C35" s="931" t="s">
        <v>1202</v>
      </c>
      <c r="D35" s="932" t="s">
        <v>3241</v>
      </c>
      <c r="E35" s="932" t="s">
        <v>3247</v>
      </c>
      <c r="F35" s="932" t="s">
        <v>3242</v>
      </c>
      <c r="G35" s="1" t="s">
        <v>3248</v>
      </c>
    </row>
    <row r="36" spans="1:15" ht="16.5" thickBot="1" x14ac:dyDescent="0.3">
      <c r="C36" s="933">
        <v>1</v>
      </c>
      <c r="D36" s="934">
        <v>9.4</v>
      </c>
      <c r="E36" s="934">
        <f>D36/100+1</f>
        <v>1.0940000000000001</v>
      </c>
      <c r="F36" s="934">
        <v>-1</v>
      </c>
      <c r="G36" s="1">
        <f>F36/100+1</f>
        <v>0.99</v>
      </c>
    </row>
    <row r="37" spans="1:15" ht="16.5" thickBot="1" x14ac:dyDescent="0.3">
      <c r="C37" s="933">
        <v>2</v>
      </c>
      <c r="D37" s="934">
        <v>7.4</v>
      </c>
      <c r="E37" s="934">
        <f t="shared" ref="E37:E45" si="2">D37/100+1</f>
        <v>1.0740000000000001</v>
      </c>
      <c r="F37" s="934">
        <v>-5.3</v>
      </c>
      <c r="G37" s="1">
        <f t="shared" ref="G37:G45" si="3">F37/100+1</f>
        <v>0.94699999999999995</v>
      </c>
    </row>
    <row r="38" spans="1:15" ht="16.5" thickBot="1" x14ac:dyDescent="0.3">
      <c r="C38" s="933">
        <v>3</v>
      </c>
      <c r="D38" s="934">
        <v>10.7</v>
      </c>
      <c r="E38" s="934">
        <f t="shared" si="2"/>
        <v>1.107</v>
      </c>
      <c r="F38" s="934">
        <v>33.299999999999997</v>
      </c>
      <c r="G38" s="1">
        <f t="shared" si="3"/>
        <v>1.333</v>
      </c>
    </row>
    <row r="39" spans="1:15" ht="16.5" thickBot="1" x14ac:dyDescent="0.3">
      <c r="C39" s="933">
        <v>4</v>
      </c>
      <c r="D39" s="934">
        <v>10.199999999999999</v>
      </c>
      <c r="E39" s="934">
        <f t="shared" si="2"/>
        <v>1.1020000000000001</v>
      </c>
      <c r="F39" s="934">
        <v>11.6</v>
      </c>
      <c r="G39" s="1">
        <f t="shared" si="3"/>
        <v>1.1160000000000001</v>
      </c>
    </row>
    <row r="40" spans="1:15" ht="16.5" thickBot="1" x14ac:dyDescent="0.3">
      <c r="C40" s="933">
        <v>5</v>
      </c>
      <c r="D40" s="934">
        <v>5.3</v>
      </c>
      <c r="E40" s="934">
        <f t="shared" si="2"/>
        <v>1.0529999999999999</v>
      </c>
      <c r="F40" s="934">
        <v>5.6</v>
      </c>
      <c r="G40" s="1">
        <f t="shared" si="3"/>
        <v>1.056</v>
      </c>
    </row>
    <row r="41" spans="1:15" ht="16.5" thickBot="1" x14ac:dyDescent="0.3">
      <c r="C41" s="933">
        <v>6</v>
      </c>
      <c r="D41" s="934">
        <v>3</v>
      </c>
      <c r="E41" s="934">
        <f t="shared" si="2"/>
        <v>1.03</v>
      </c>
      <c r="F41" s="934">
        <v>-10.9</v>
      </c>
      <c r="G41" s="1">
        <f t="shared" si="3"/>
        <v>0.89100000000000001</v>
      </c>
    </row>
    <row r="42" spans="1:15" ht="16.5" thickBot="1" x14ac:dyDescent="0.3">
      <c r="C42" s="933">
        <v>7</v>
      </c>
      <c r="D42" s="934">
        <v>11.3</v>
      </c>
      <c r="E42" s="934">
        <f t="shared" si="2"/>
        <v>1.113</v>
      </c>
      <c r="F42" s="934">
        <v>18.8</v>
      </c>
      <c r="G42" s="1">
        <f t="shared" si="3"/>
        <v>1.1879999999999999</v>
      </c>
    </row>
    <row r="43" spans="1:15" ht="16.5" thickBot="1" x14ac:dyDescent="0.3">
      <c r="C43" s="933">
        <v>8</v>
      </c>
      <c r="D43" s="934">
        <v>7.3</v>
      </c>
      <c r="E43" s="934">
        <f t="shared" si="2"/>
        <v>1.073</v>
      </c>
      <c r="F43" s="934">
        <v>-2.5</v>
      </c>
      <c r="G43" s="1">
        <f t="shared" si="3"/>
        <v>0.97499999999999998</v>
      </c>
    </row>
    <row r="44" spans="1:15" ht="16.5" thickBot="1" x14ac:dyDescent="0.3">
      <c r="C44" s="933">
        <v>9</v>
      </c>
      <c r="D44" s="934">
        <v>-0.2</v>
      </c>
      <c r="E44" s="934">
        <f t="shared" si="2"/>
        <v>0.998</v>
      </c>
      <c r="F44" s="934">
        <v>3.8</v>
      </c>
      <c r="G44" s="1">
        <f t="shared" si="3"/>
        <v>1.038</v>
      </c>
    </row>
    <row r="45" spans="1:15" ht="16.5" thickBot="1" x14ac:dyDescent="0.3">
      <c r="C45" s="933">
        <v>10</v>
      </c>
      <c r="D45" s="934">
        <v>14</v>
      </c>
      <c r="E45" s="934">
        <f t="shared" si="2"/>
        <v>1.1400000000000001</v>
      </c>
      <c r="F45" s="934">
        <v>26.8</v>
      </c>
      <c r="G45" s="1">
        <f t="shared" si="3"/>
        <v>1.268</v>
      </c>
    </row>
    <row r="46" spans="1:15" x14ac:dyDescent="0.25">
      <c r="C46" s="1" t="s">
        <v>3249</v>
      </c>
      <c r="E46" s="936">
        <f>(SUM(D36:D45)/COUNT(D36:D45))/100</f>
        <v>7.8399999999999984E-2</v>
      </c>
      <c r="G46" s="936">
        <f>(SUM(F36:F45)/COUNT(F36:F45))/100</f>
        <v>8.0199999999999994E-2</v>
      </c>
    </row>
    <row r="47" spans="1:15" x14ac:dyDescent="0.25">
      <c r="C47" s="1" t="s">
        <v>3250</v>
      </c>
      <c r="E47" s="936">
        <f>GEOMEAN(E36:E45)-1</f>
        <v>7.7642397333005597E-2</v>
      </c>
      <c r="G47" s="936">
        <f>GEOMEAN(G36:G45)-1</f>
        <v>7.1805250783316454E-2</v>
      </c>
    </row>
  </sheetData>
  <mergeCells count="1">
    <mergeCell ref="O28:R29"/>
  </mergeCells>
  <hyperlinks>
    <hyperlink ref="C6" location="Finansieringsteori!A1" display="Finansieringsteori!A1" xr:uid="{00000000-0004-0000-3A00-000000000000}"/>
  </hyperlinks>
  <pageMargins left="0.75" right="0.75" top="1" bottom="1" header="0.5" footer="0.5"/>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00B050"/>
  </sheetPr>
  <dimension ref="D5"/>
  <sheetViews>
    <sheetView workbookViewId="0">
      <selection activeCell="D5" sqref="D5"/>
    </sheetView>
  </sheetViews>
  <sheetFormatPr defaultColWidth="10.875" defaultRowHeight="15.75" x14ac:dyDescent="0.25"/>
  <cols>
    <col min="1" max="16384" width="10.875" style="1"/>
  </cols>
  <sheetData>
    <row r="5" spans="4:4" x14ac:dyDescent="0.25">
      <c r="D5" s="101" t="s">
        <v>1612</v>
      </c>
    </row>
  </sheetData>
  <hyperlinks>
    <hyperlink ref="D5" location="Finansieringsteori!A1" display="Finansieringsteori!A1" xr:uid="{00000000-0004-0000-3B00-000000000000}"/>
  </hyperlinks>
  <pageMargins left="0.75" right="0.75" top="1" bottom="1" header="0.5" footer="0.5"/>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00B050"/>
  </sheetPr>
  <dimension ref="C5"/>
  <sheetViews>
    <sheetView workbookViewId="0">
      <selection activeCell="C5" sqref="C5"/>
    </sheetView>
  </sheetViews>
  <sheetFormatPr defaultColWidth="10.875" defaultRowHeight="15.75" x14ac:dyDescent="0.25"/>
  <cols>
    <col min="1" max="16384" width="10.875" style="1"/>
  </cols>
  <sheetData>
    <row r="5" spans="3:3" x14ac:dyDescent="0.25">
      <c r="C5" s="101" t="s">
        <v>1612</v>
      </c>
    </row>
  </sheetData>
  <hyperlinks>
    <hyperlink ref="C5" location="Finansieringsteori!A1" display="Finansieringsteori!A1" xr:uid="{00000000-0004-0000-3C00-000000000000}"/>
  </hyperlinks>
  <pageMargins left="0.75" right="0.75" top="1" bottom="1" header="0.5" footer="0.5"/>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B050"/>
  </sheetPr>
  <dimension ref="C2:I72"/>
  <sheetViews>
    <sheetView workbookViewId="0">
      <selection activeCell="D2" sqref="D2"/>
    </sheetView>
  </sheetViews>
  <sheetFormatPr defaultColWidth="10.875" defaultRowHeight="15.75" x14ac:dyDescent="0.25"/>
  <cols>
    <col min="1" max="16384" width="10.875" style="1"/>
  </cols>
  <sheetData>
    <row r="2" spans="3:4" x14ac:dyDescent="0.25">
      <c r="D2" s="101" t="s">
        <v>1612</v>
      </c>
    </row>
    <row r="7" spans="3:4" x14ac:dyDescent="0.25">
      <c r="C7" s="278" t="s">
        <v>2002</v>
      </c>
    </row>
    <row r="23" spans="3:3" x14ac:dyDescent="0.25">
      <c r="C23" s="278" t="s">
        <v>2003</v>
      </c>
    </row>
    <row r="42" spans="3:3" x14ac:dyDescent="0.25">
      <c r="C42" s="278" t="s">
        <v>2003</v>
      </c>
    </row>
    <row r="63" spans="3:3" x14ac:dyDescent="0.25">
      <c r="C63" s="278" t="s">
        <v>2000</v>
      </c>
    </row>
    <row r="72" spans="9:9" x14ac:dyDescent="0.25">
      <c r="I72" s="584" t="s">
        <v>2011</v>
      </c>
    </row>
  </sheetData>
  <hyperlinks>
    <hyperlink ref="D2" location="Finansieringsteori!A1" display="Finansieringsteori!A1" xr:uid="{00000000-0004-0000-3D00-000000000000}"/>
  </hyperlinks>
  <pageMargins left="0.75" right="0.75" top="1" bottom="1" header="0.5" footer="0.5"/>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50"/>
  </sheetPr>
  <dimension ref="B4:N92"/>
  <sheetViews>
    <sheetView workbookViewId="0">
      <selection activeCell="G92" sqref="G92"/>
    </sheetView>
  </sheetViews>
  <sheetFormatPr defaultColWidth="10.875" defaultRowHeight="15.75" x14ac:dyDescent="0.25"/>
  <cols>
    <col min="1" max="5" width="10.875" style="1"/>
    <col min="6" max="6" width="13" style="1" customWidth="1"/>
    <col min="7" max="7" width="13.5" style="1" customWidth="1"/>
    <col min="8" max="16384" width="10.875" style="1"/>
  </cols>
  <sheetData>
    <row r="4" spans="4:4" x14ac:dyDescent="0.25">
      <c r="D4" s="101" t="s">
        <v>1612</v>
      </c>
    </row>
    <row r="22" spans="2:14" x14ac:dyDescent="0.25">
      <c r="B22" s="425" t="s">
        <v>2955</v>
      </c>
      <c r="C22" s="36"/>
      <c r="D22" s="172"/>
      <c r="E22" s="36"/>
      <c r="F22" s="36"/>
      <c r="G22" s="36"/>
      <c r="H22" s="36"/>
      <c r="I22" s="36"/>
      <c r="J22" s="36"/>
      <c r="K22" s="36"/>
      <c r="L22" s="36"/>
      <c r="M22" s="36"/>
      <c r="N22" s="36"/>
    </row>
    <row r="23" spans="2:14" x14ac:dyDescent="0.25">
      <c r="B23" s="16" t="s">
        <v>2954</v>
      </c>
      <c r="C23" s="16"/>
      <c r="D23" s="504"/>
      <c r="E23" s="16"/>
      <c r="F23" s="16"/>
      <c r="G23" s="16"/>
      <c r="H23" s="16"/>
      <c r="I23" s="16"/>
      <c r="J23" s="16"/>
      <c r="K23" s="16"/>
      <c r="L23" s="36"/>
      <c r="M23" s="36"/>
      <c r="N23" s="36"/>
    </row>
    <row r="24" spans="2:14" x14ac:dyDescent="0.25">
      <c r="B24" s="16"/>
      <c r="C24" s="16"/>
      <c r="D24" s="504"/>
      <c r="E24" s="16"/>
      <c r="F24" s="16"/>
      <c r="G24" s="16"/>
      <c r="H24" s="16"/>
      <c r="I24" s="16"/>
      <c r="J24" s="16"/>
      <c r="K24" s="16"/>
      <c r="L24" s="36"/>
      <c r="M24" s="36"/>
      <c r="N24" s="36"/>
    </row>
    <row r="25" spans="2:14" x14ac:dyDescent="0.25">
      <c r="B25" s="18" t="s">
        <v>2953</v>
      </c>
      <c r="C25" s="16"/>
      <c r="D25" s="504"/>
      <c r="E25" s="16"/>
      <c r="F25" s="16"/>
      <c r="G25" s="16"/>
      <c r="H25" s="16"/>
      <c r="I25" s="16"/>
      <c r="J25" s="16"/>
      <c r="K25" s="16"/>
      <c r="L25" s="36"/>
      <c r="M25" s="36"/>
      <c r="N25" s="36"/>
    </row>
    <row r="26" spans="2:14" x14ac:dyDescent="0.25">
      <c r="B26" s="16" t="s">
        <v>2952</v>
      </c>
      <c r="C26" s="16"/>
      <c r="D26" s="504"/>
      <c r="E26" s="16"/>
      <c r="F26" s="16"/>
      <c r="G26" s="16"/>
      <c r="H26" s="16"/>
      <c r="I26" s="16"/>
      <c r="J26" s="16"/>
      <c r="K26" s="16"/>
      <c r="L26" s="36"/>
      <c r="M26" s="36"/>
      <c r="N26" s="36"/>
    </row>
    <row r="27" spans="2:14" x14ac:dyDescent="0.25">
      <c r="B27" s="16"/>
      <c r="C27" s="16"/>
      <c r="D27" s="504"/>
      <c r="E27" s="16"/>
      <c r="F27" s="16"/>
      <c r="G27" s="16"/>
      <c r="H27" s="16"/>
      <c r="I27" s="16"/>
      <c r="J27" s="16"/>
      <c r="K27" s="16"/>
      <c r="L27" s="36"/>
      <c r="M27" s="36"/>
      <c r="N27" s="36"/>
    </row>
    <row r="28" spans="2:14" x14ac:dyDescent="0.25">
      <c r="B28" s="18" t="s">
        <v>2951</v>
      </c>
      <c r="C28" s="16"/>
      <c r="D28" s="504"/>
      <c r="E28" s="16"/>
      <c r="F28" s="16"/>
      <c r="G28" s="16"/>
      <c r="H28" s="16"/>
      <c r="I28" s="16"/>
      <c r="J28" s="16"/>
      <c r="K28" s="16"/>
      <c r="L28" s="36"/>
      <c r="M28" s="36"/>
      <c r="N28" s="36"/>
    </row>
    <row r="29" spans="2:14" x14ac:dyDescent="0.25">
      <c r="B29" s="18"/>
      <c r="C29" s="16"/>
      <c r="D29" s="504"/>
      <c r="E29" s="16"/>
      <c r="F29" s="16"/>
      <c r="G29" s="16"/>
      <c r="H29" s="16"/>
      <c r="I29" s="16"/>
      <c r="J29" s="16"/>
      <c r="K29" s="16"/>
      <c r="L29" s="36"/>
      <c r="M29" s="36"/>
      <c r="N29" s="36"/>
    </row>
    <row r="30" spans="2:14" x14ac:dyDescent="0.25">
      <c r="B30" s="18" t="s">
        <v>2950</v>
      </c>
      <c r="C30" s="16"/>
      <c r="D30" s="504"/>
      <c r="E30" s="16"/>
      <c r="F30" s="16"/>
      <c r="G30" s="16"/>
      <c r="H30" s="16"/>
      <c r="I30" s="16"/>
      <c r="J30" s="16"/>
      <c r="K30" s="16"/>
      <c r="L30" s="36"/>
      <c r="M30" s="36"/>
      <c r="N30" s="36"/>
    </row>
    <row r="31" spans="2:14" x14ac:dyDescent="0.25">
      <c r="B31" s="16"/>
      <c r="C31" s="815" t="s">
        <v>2203</v>
      </c>
      <c r="D31" s="815" t="s">
        <v>2203</v>
      </c>
      <c r="E31" s="815" t="s">
        <v>2203</v>
      </c>
      <c r="F31" s="815" t="s">
        <v>2203</v>
      </c>
      <c r="G31" s="16" t="s">
        <v>2218</v>
      </c>
      <c r="H31" s="16"/>
      <c r="I31" s="16"/>
      <c r="J31" s="16"/>
      <c r="K31" s="16" t="s">
        <v>2949</v>
      </c>
      <c r="L31" s="969" t="s">
        <v>2948</v>
      </c>
      <c r="M31" s="969"/>
      <c r="N31" s="969"/>
    </row>
    <row r="32" spans="2:14" x14ac:dyDescent="0.25">
      <c r="B32" s="606" t="s">
        <v>2947</v>
      </c>
      <c r="C32" s="205" t="s">
        <v>2934</v>
      </c>
      <c r="D32" s="205" t="s">
        <v>2932</v>
      </c>
      <c r="E32" s="205" t="s">
        <v>2930</v>
      </c>
      <c r="F32" s="206" t="s">
        <v>2929</v>
      </c>
      <c r="G32" s="205" t="s">
        <v>2934</v>
      </c>
      <c r="H32" s="205" t="s">
        <v>2932</v>
      </c>
      <c r="I32" s="205" t="s">
        <v>2930</v>
      </c>
      <c r="J32" s="206" t="s">
        <v>2929</v>
      </c>
      <c r="K32" s="606" t="s">
        <v>2934</v>
      </c>
      <c r="L32" s="205" t="s">
        <v>2932</v>
      </c>
      <c r="M32" s="205" t="s">
        <v>2930</v>
      </c>
      <c r="N32" s="206" t="s">
        <v>2929</v>
      </c>
    </row>
    <row r="33" spans="2:14" x14ac:dyDescent="0.25">
      <c r="B33" s="23">
        <v>1990</v>
      </c>
      <c r="C33" s="19">
        <v>0.11</v>
      </c>
      <c r="D33" s="19">
        <v>-0.15</v>
      </c>
      <c r="E33" s="19">
        <v>0.1</v>
      </c>
      <c r="F33" s="534">
        <v>0.22</v>
      </c>
      <c r="G33" s="16">
        <f t="shared" ref="G33:G53" si="0">(C33-C$54)^2</f>
        <v>1.9070294784580432E-4</v>
      </c>
      <c r="H33" s="16">
        <f t="shared" ref="H33:H53" si="1">(D33-D$54)^2</f>
        <v>5.3559183673469388E-2</v>
      </c>
      <c r="I33" s="16">
        <f t="shared" ref="I33:I53" si="2">(E33-E$54)^2</f>
        <v>4.7981859410430754E-4</v>
      </c>
      <c r="J33" s="16">
        <f t="shared" ref="J33:J53" si="3">(F33-F$54)^2</f>
        <v>1.3389795918367354E-2</v>
      </c>
      <c r="K33" s="514">
        <f t="shared" ref="K33:K53" si="4">(C33-C$54)</f>
        <v>1.3809523809523785E-2</v>
      </c>
      <c r="L33" s="622">
        <f t="shared" ref="L33:L53" si="5">(D33-D$54)</f>
        <v>-0.23142857142857143</v>
      </c>
      <c r="M33" s="622">
        <f t="shared" ref="M33:M53" si="6">(E33-E$54)</f>
        <v>-2.1904761904761885E-2</v>
      </c>
      <c r="N33" s="612">
        <f t="shared" ref="N33:N53" si="7">(F33-F$54)</f>
        <v>0.11571428571428574</v>
      </c>
    </row>
    <row r="34" spans="2:14" x14ac:dyDescent="0.25">
      <c r="B34" s="23">
        <v>1991</v>
      </c>
      <c r="C34" s="19">
        <v>0.05</v>
      </c>
      <c r="D34" s="19">
        <v>-0.12</v>
      </c>
      <c r="E34" s="19">
        <v>0.1</v>
      </c>
      <c r="F34" s="534">
        <v>0.14000000000000001</v>
      </c>
      <c r="G34" s="16">
        <f t="shared" si="0"/>
        <v>2.13356009070295E-3</v>
      </c>
      <c r="H34" s="16">
        <f t="shared" si="1"/>
        <v>4.05734693877551E-2</v>
      </c>
      <c r="I34" s="16">
        <f t="shared" si="2"/>
        <v>4.7981859410430754E-4</v>
      </c>
      <c r="J34" s="16">
        <f t="shared" si="3"/>
        <v>1.2755102040816356E-3</v>
      </c>
      <c r="K34" s="514">
        <f t="shared" si="4"/>
        <v>-4.6190476190476212E-2</v>
      </c>
      <c r="L34" s="622">
        <f t="shared" si="5"/>
        <v>-0.20142857142857143</v>
      </c>
      <c r="M34" s="622">
        <f t="shared" si="6"/>
        <v>-2.1904761904761885E-2</v>
      </c>
      <c r="N34" s="612">
        <f t="shared" si="7"/>
        <v>3.5714285714285754E-2</v>
      </c>
    </row>
    <row r="35" spans="2:14" x14ac:dyDescent="0.25">
      <c r="B35" s="23">
        <v>1992</v>
      </c>
      <c r="C35" s="19">
        <v>0.06</v>
      </c>
      <c r="D35" s="19">
        <v>0.14000000000000001</v>
      </c>
      <c r="E35" s="19">
        <v>0.23</v>
      </c>
      <c r="F35" s="534">
        <v>0.12</v>
      </c>
      <c r="G35" s="16">
        <f t="shared" si="0"/>
        <v>1.309750566893426E-3</v>
      </c>
      <c r="H35" s="16">
        <f t="shared" si="1"/>
        <v>3.43061224489796E-3</v>
      </c>
      <c r="I35" s="16">
        <f t="shared" si="2"/>
        <v>1.1684580498866219E-2</v>
      </c>
      <c r="J35" s="16">
        <f t="shared" si="3"/>
        <v>2.4693877551020476E-4</v>
      </c>
      <c r="K35" s="614">
        <f t="shared" si="4"/>
        <v>-3.6190476190476217E-2</v>
      </c>
      <c r="L35" s="622">
        <f t="shared" si="5"/>
        <v>5.857142857142858E-2</v>
      </c>
      <c r="M35" s="622">
        <f t="shared" si="6"/>
        <v>0.10809523809523812</v>
      </c>
      <c r="N35" s="612">
        <f t="shared" si="7"/>
        <v>1.5714285714285736E-2</v>
      </c>
    </row>
    <row r="36" spans="2:14" x14ac:dyDescent="0.25">
      <c r="B36" s="23">
        <v>1993</v>
      </c>
      <c r="C36" s="19">
        <v>0.11</v>
      </c>
      <c r="D36" s="19">
        <v>0.12</v>
      </c>
      <c r="E36" s="19">
        <v>0.22</v>
      </c>
      <c r="F36" s="534">
        <v>0.08</v>
      </c>
      <c r="G36" s="16">
        <f t="shared" si="0"/>
        <v>1.9070294784580432E-4</v>
      </c>
      <c r="H36" s="16">
        <f t="shared" si="1"/>
        <v>1.4877551020408156E-3</v>
      </c>
      <c r="I36" s="16">
        <f t="shared" si="2"/>
        <v>9.6226757369614543E-3</v>
      </c>
      <c r="J36" s="16">
        <f t="shared" si="3"/>
        <v>5.8979591836734555E-4</v>
      </c>
      <c r="K36" s="614">
        <f t="shared" si="4"/>
        <v>1.3809523809523785E-2</v>
      </c>
      <c r="L36" s="622">
        <f t="shared" si="5"/>
        <v>3.8571428571428562E-2</v>
      </c>
      <c r="M36" s="622">
        <f t="shared" si="6"/>
        <v>9.809523809523811E-2</v>
      </c>
      <c r="N36" s="612">
        <f t="shared" si="7"/>
        <v>-2.4285714285714258E-2</v>
      </c>
    </row>
    <row r="37" spans="2:14" x14ac:dyDescent="0.25">
      <c r="B37" s="23">
        <v>1994</v>
      </c>
      <c r="C37" s="19">
        <v>0.14000000000000001</v>
      </c>
      <c r="D37" s="19">
        <v>0.04</v>
      </c>
      <c r="E37" s="19">
        <v>0.17</v>
      </c>
      <c r="F37" s="534">
        <v>0.15</v>
      </c>
      <c r="G37" s="16">
        <f t="shared" si="0"/>
        <v>1.9192743764172326E-3</v>
      </c>
      <c r="H37" s="16">
        <f t="shared" si="1"/>
        <v>1.7163265306122453E-3</v>
      </c>
      <c r="I37" s="16">
        <f t="shared" si="2"/>
        <v>2.3131519274376443E-3</v>
      </c>
      <c r="J37" s="16">
        <f t="shared" si="3"/>
        <v>2.0897959183673489E-3</v>
      </c>
      <c r="K37" s="614">
        <f t="shared" si="4"/>
        <v>4.3809523809523798E-2</v>
      </c>
      <c r="L37" s="622">
        <f t="shared" si="5"/>
        <v>-4.1428571428571433E-2</v>
      </c>
      <c r="M37" s="622">
        <f t="shared" si="6"/>
        <v>4.8095238095238121E-2</v>
      </c>
      <c r="N37" s="612">
        <f t="shared" si="7"/>
        <v>4.5714285714285735E-2</v>
      </c>
    </row>
    <row r="38" spans="2:14" x14ac:dyDescent="0.25">
      <c r="B38" s="23">
        <v>1995</v>
      </c>
      <c r="C38" s="19">
        <v>0.02</v>
      </c>
      <c r="D38" s="19">
        <v>7.0000000000000007E-2</v>
      </c>
      <c r="E38" s="19">
        <v>0.13</v>
      </c>
      <c r="F38" s="534">
        <v>0.14000000000000001</v>
      </c>
      <c r="G38" s="16">
        <f t="shared" si="0"/>
        <v>5.8049886621315229E-3</v>
      </c>
      <c r="H38" s="16">
        <f t="shared" si="1"/>
        <v>1.3061224489795915E-4</v>
      </c>
      <c r="I38" s="16">
        <f t="shared" si="2"/>
        <v>6.5532879818594399E-5</v>
      </c>
      <c r="J38" s="16">
        <f t="shared" si="3"/>
        <v>1.2755102040816356E-3</v>
      </c>
      <c r="K38" s="614">
        <f t="shared" si="4"/>
        <v>-7.6190476190476211E-2</v>
      </c>
      <c r="L38" s="622">
        <f t="shared" si="5"/>
        <v>-1.1428571428571427E-2</v>
      </c>
      <c r="M38" s="622">
        <f t="shared" si="6"/>
        <v>8.0952380952381137E-3</v>
      </c>
      <c r="N38" s="612">
        <f t="shared" si="7"/>
        <v>3.5714285714285754E-2</v>
      </c>
    </row>
    <row r="39" spans="2:14" x14ac:dyDescent="0.25">
      <c r="B39" s="23">
        <v>1996</v>
      </c>
      <c r="C39" s="19">
        <v>0.11</v>
      </c>
      <c r="D39" s="19">
        <v>0.22</v>
      </c>
      <c r="E39" s="19">
        <v>0.06</v>
      </c>
      <c r="F39" s="534">
        <v>-0.04</v>
      </c>
      <c r="G39" s="16">
        <f t="shared" si="0"/>
        <v>1.9070294784580432E-4</v>
      </c>
      <c r="H39" s="16">
        <f t="shared" si="1"/>
        <v>1.9202040816326531E-2</v>
      </c>
      <c r="I39" s="16">
        <f t="shared" si="2"/>
        <v>3.8321995464852595E-3</v>
      </c>
      <c r="J39" s="16">
        <f t="shared" si="3"/>
        <v>2.081836734693877E-2</v>
      </c>
      <c r="K39" s="614">
        <f t="shared" si="4"/>
        <v>1.3809523809523785E-2</v>
      </c>
      <c r="L39" s="622">
        <f t="shared" si="5"/>
        <v>0.13857142857142857</v>
      </c>
      <c r="M39" s="622">
        <f t="shared" si="6"/>
        <v>-6.1904761904761893E-2</v>
      </c>
      <c r="N39" s="612">
        <f t="shared" si="7"/>
        <v>-0.14428571428571427</v>
      </c>
    </row>
    <row r="40" spans="2:14" x14ac:dyDescent="0.25">
      <c r="B40" s="23">
        <v>1997</v>
      </c>
      <c r="C40" s="19">
        <v>0.14000000000000001</v>
      </c>
      <c r="D40" s="19">
        <v>0.17</v>
      </c>
      <c r="E40" s="19">
        <v>0.16</v>
      </c>
      <c r="F40" s="534">
        <v>0.12</v>
      </c>
      <c r="G40" s="16">
        <f t="shared" si="0"/>
        <v>1.9192743764172326E-3</v>
      </c>
      <c r="H40" s="16">
        <f t="shared" si="1"/>
        <v>7.8448979591836752E-3</v>
      </c>
      <c r="I40" s="16">
        <f t="shared" si="2"/>
        <v>1.4512471655328811E-3</v>
      </c>
      <c r="J40" s="16">
        <f t="shared" si="3"/>
        <v>2.4693877551020476E-4</v>
      </c>
      <c r="K40" s="614">
        <f t="shared" si="4"/>
        <v>4.3809523809523798E-2</v>
      </c>
      <c r="L40" s="622">
        <f t="shared" si="5"/>
        <v>8.8571428571428579E-2</v>
      </c>
      <c r="M40" s="622">
        <f t="shared" si="6"/>
        <v>3.8095238095238113E-2</v>
      </c>
      <c r="N40" s="612">
        <f t="shared" si="7"/>
        <v>1.5714285714285736E-2</v>
      </c>
    </row>
    <row r="41" spans="2:14" x14ac:dyDescent="0.25">
      <c r="B41" s="23">
        <v>1998</v>
      </c>
      <c r="C41" s="19">
        <v>0.1</v>
      </c>
      <c r="D41" s="19">
        <v>0.06</v>
      </c>
      <c r="E41" s="19">
        <v>0.19</v>
      </c>
      <c r="F41" s="534">
        <v>0.15</v>
      </c>
      <c r="G41" s="16">
        <f t="shared" si="0"/>
        <v>1.4512471655328654E-5</v>
      </c>
      <c r="H41" s="16">
        <f t="shared" si="1"/>
        <v>4.5918367346938806E-4</v>
      </c>
      <c r="I41" s="16">
        <f t="shared" si="2"/>
        <v>4.6369614512471674E-3</v>
      </c>
      <c r="J41" s="16">
        <f t="shared" si="3"/>
        <v>2.0897959183673489E-3</v>
      </c>
      <c r="K41" s="614">
        <f t="shared" si="4"/>
        <v>3.8095238095237904E-3</v>
      </c>
      <c r="L41" s="622">
        <f t="shared" si="5"/>
        <v>-2.1428571428571436E-2</v>
      </c>
      <c r="M41" s="622">
        <f t="shared" si="6"/>
        <v>6.8095238095238111E-2</v>
      </c>
      <c r="N41" s="612">
        <f t="shared" si="7"/>
        <v>4.5714285714285735E-2</v>
      </c>
    </row>
    <row r="42" spans="2:14" x14ac:dyDescent="0.25">
      <c r="B42" s="23">
        <v>1999</v>
      </c>
      <c r="C42" s="19">
        <v>0.15</v>
      </c>
      <c r="D42" s="19">
        <v>0.01</v>
      </c>
      <c r="E42" s="19">
        <v>0.22</v>
      </c>
      <c r="F42" s="534">
        <v>0.22</v>
      </c>
      <c r="G42" s="16">
        <f t="shared" si="0"/>
        <v>2.8954648526077066E-3</v>
      </c>
      <c r="H42" s="16">
        <f t="shared" si="1"/>
        <v>5.1020408163265319E-3</v>
      </c>
      <c r="I42" s="16">
        <f t="shared" si="2"/>
        <v>9.6226757369614543E-3</v>
      </c>
      <c r="J42" s="16">
        <f t="shared" si="3"/>
        <v>1.3389795918367354E-2</v>
      </c>
      <c r="K42" s="614">
        <f t="shared" si="4"/>
        <v>5.3809523809523779E-2</v>
      </c>
      <c r="L42" s="622">
        <f t="shared" si="5"/>
        <v>-7.1428571428571438E-2</v>
      </c>
      <c r="M42" s="622">
        <f t="shared" si="6"/>
        <v>9.809523809523811E-2</v>
      </c>
      <c r="N42" s="612">
        <f t="shared" si="7"/>
        <v>0.11571428571428574</v>
      </c>
    </row>
    <row r="43" spans="2:14" x14ac:dyDescent="0.25">
      <c r="B43" s="23">
        <v>2000</v>
      </c>
      <c r="C43" s="19">
        <v>0.25</v>
      </c>
      <c r="D43" s="19">
        <v>-0.1</v>
      </c>
      <c r="E43" s="19">
        <v>7.0000000000000007E-2</v>
      </c>
      <c r="F43" s="534">
        <v>0.16</v>
      </c>
      <c r="G43" s="16">
        <f t="shared" si="0"/>
        <v>2.3657369614512463E-2</v>
      </c>
      <c r="H43" s="16">
        <f t="shared" si="1"/>
        <v>3.2916326530612251E-2</v>
      </c>
      <c r="I43" s="16">
        <f t="shared" si="2"/>
        <v>2.6941043083900207E-3</v>
      </c>
      <c r="J43" s="16">
        <f t="shared" si="3"/>
        <v>3.1040816326530643E-3</v>
      </c>
      <c r="K43" s="614">
        <f t="shared" si="4"/>
        <v>0.15380952380952378</v>
      </c>
      <c r="L43" s="622">
        <f t="shared" si="5"/>
        <v>-0.18142857142857144</v>
      </c>
      <c r="M43" s="622">
        <f t="shared" si="6"/>
        <v>-5.1904761904761884E-2</v>
      </c>
      <c r="N43" s="612">
        <f t="shared" si="7"/>
        <v>5.5714285714285744E-2</v>
      </c>
    </row>
    <row r="44" spans="2:14" x14ac:dyDescent="0.25">
      <c r="B44" s="23">
        <v>2001</v>
      </c>
      <c r="C44" s="19">
        <v>0.14000000000000001</v>
      </c>
      <c r="D44" s="19">
        <v>-0.04</v>
      </c>
      <c r="E44" s="19">
        <v>0.04</v>
      </c>
      <c r="F44" s="534">
        <v>0.06</v>
      </c>
      <c r="G44" s="16">
        <f t="shared" si="0"/>
        <v>1.9192743764172326E-3</v>
      </c>
      <c r="H44" s="16">
        <f t="shared" si="1"/>
        <v>1.4744897959183677E-2</v>
      </c>
      <c r="I44" s="16">
        <f t="shared" si="2"/>
        <v>6.7083900226757353E-3</v>
      </c>
      <c r="J44" s="16">
        <f t="shared" si="3"/>
        <v>1.9612244897959162E-3</v>
      </c>
      <c r="K44" s="614">
        <f t="shared" si="4"/>
        <v>4.3809523809523798E-2</v>
      </c>
      <c r="L44" s="622">
        <f t="shared" si="5"/>
        <v>-0.12142857142857144</v>
      </c>
      <c r="M44" s="622">
        <f t="shared" si="6"/>
        <v>-8.1904761904761897E-2</v>
      </c>
      <c r="N44" s="612">
        <f t="shared" si="7"/>
        <v>-4.4285714285714262E-2</v>
      </c>
    </row>
    <row r="45" spans="2:14" x14ac:dyDescent="0.25">
      <c r="B45" s="23">
        <v>2002</v>
      </c>
      <c r="C45" s="19">
        <v>-0.12</v>
      </c>
      <c r="D45" s="19">
        <v>0.22</v>
      </c>
      <c r="E45" s="19">
        <v>0.22</v>
      </c>
      <c r="F45" s="534">
        <v>0.14000000000000001</v>
      </c>
      <c r="G45" s="16">
        <f t="shared" si="0"/>
        <v>4.6738321995464863E-2</v>
      </c>
      <c r="H45" s="16">
        <f t="shared" si="1"/>
        <v>1.9202040816326531E-2</v>
      </c>
      <c r="I45" s="16">
        <f t="shared" si="2"/>
        <v>9.6226757369614543E-3</v>
      </c>
      <c r="J45" s="16">
        <f t="shared" si="3"/>
        <v>1.2755102040816356E-3</v>
      </c>
      <c r="K45" s="614">
        <f t="shared" si="4"/>
        <v>-0.21619047619047621</v>
      </c>
      <c r="L45" s="622">
        <f t="shared" si="5"/>
        <v>0.13857142857142857</v>
      </c>
      <c r="M45" s="622">
        <f t="shared" si="6"/>
        <v>9.809523809523811E-2</v>
      </c>
      <c r="N45" s="612">
        <f t="shared" si="7"/>
        <v>3.5714285714285754E-2</v>
      </c>
    </row>
    <row r="46" spans="2:14" x14ac:dyDescent="0.25">
      <c r="B46" s="23">
        <v>2003</v>
      </c>
      <c r="C46" s="19">
        <v>0.14000000000000001</v>
      </c>
      <c r="D46" s="19">
        <v>0.17</v>
      </c>
      <c r="E46" s="19">
        <v>-0.06</v>
      </c>
      <c r="F46" s="534">
        <v>-0.05</v>
      </c>
      <c r="G46" s="16">
        <f t="shared" si="0"/>
        <v>1.9192743764172326E-3</v>
      </c>
      <c r="H46" s="16">
        <f t="shared" si="1"/>
        <v>7.8448979591836752E-3</v>
      </c>
      <c r="I46" s="16">
        <f t="shared" si="2"/>
        <v>3.3089342403628118E-2</v>
      </c>
      <c r="J46" s="16">
        <f t="shared" si="3"/>
        <v>2.3804081632653049E-2</v>
      </c>
      <c r="K46" s="614">
        <f t="shared" si="4"/>
        <v>4.3809523809523798E-2</v>
      </c>
      <c r="L46" s="622">
        <f t="shared" si="5"/>
        <v>8.8571428571428579E-2</v>
      </c>
      <c r="M46" s="622">
        <f t="shared" si="6"/>
        <v>-0.1819047619047619</v>
      </c>
      <c r="N46" s="612">
        <f t="shared" si="7"/>
        <v>-0.15428571428571425</v>
      </c>
    </row>
    <row r="47" spans="2:14" x14ac:dyDescent="0.25">
      <c r="B47" s="23">
        <v>2004</v>
      </c>
      <c r="C47" s="19">
        <v>0.04</v>
      </c>
      <c r="D47" s="19">
        <v>0.14000000000000001</v>
      </c>
      <c r="E47" s="19">
        <v>0.12</v>
      </c>
      <c r="F47" s="534">
        <v>-0.19</v>
      </c>
      <c r="G47" s="16">
        <f t="shared" si="0"/>
        <v>3.1573696145124745E-3</v>
      </c>
      <c r="H47" s="16">
        <f t="shared" si="1"/>
        <v>3.43061224489796E-3</v>
      </c>
      <c r="I47" s="16">
        <f t="shared" si="2"/>
        <v>3.6281179138321634E-6</v>
      </c>
      <c r="J47" s="16">
        <f t="shared" si="3"/>
        <v>8.660408163265304E-2</v>
      </c>
      <c r="K47" s="614">
        <f t="shared" si="4"/>
        <v>-5.6190476190476214E-2</v>
      </c>
      <c r="L47" s="622">
        <f t="shared" si="5"/>
        <v>5.857142857142858E-2</v>
      </c>
      <c r="M47" s="622">
        <f t="shared" si="6"/>
        <v>-1.9047619047618952E-3</v>
      </c>
      <c r="N47" s="612">
        <f t="shared" si="7"/>
        <v>-0.29428571428571426</v>
      </c>
    </row>
    <row r="48" spans="2:14" x14ac:dyDescent="0.25">
      <c r="B48" s="23">
        <v>2005</v>
      </c>
      <c r="C48" s="19">
        <v>0.02</v>
      </c>
      <c r="D48" s="19">
        <v>0.06</v>
      </c>
      <c r="E48" s="19">
        <v>0.11</v>
      </c>
      <c r="F48" s="534">
        <v>0.12</v>
      </c>
      <c r="G48" s="16">
        <f t="shared" si="0"/>
        <v>5.8049886621315229E-3</v>
      </c>
      <c r="H48" s="16">
        <f t="shared" si="1"/>
        <v>4.5918367346938806E-4</v>
      </c>
      <c r="I48" s="16">
        <f t="shared" si="2"/>
        <v>1.4172335600906995E-4</v>
      </c>
      <c r="J48" s="16">
        <f t="shared" si="3"/>
        <v>2.4693877551020476E-4</v>
      </c>
      <c r="K48" s="614">
        <f t="shared" si="4"/>
        <v>-7.6190476190476211E-2</v>
      </c>
      <c r="L48" s="622">
        <f t="shared" si="5"/>
        <v>-2.1428571428571436E-2</v>
      </c>
      <c r="M48" s="622">
        <f t="shared" si="6"/>
        <v>-1.190476190476189E-2</v>
      </c>
      <c r="N48" s="612">
        <f t="shared" si="7"/>
        <v>1.5714285714285736E-2</v>
      </c>
    </row>
    <row r="49" spans="2:14" x14ac:dyDescent="0.25">
      <c r="B49" s="23">
        <v>2006</v>
      </c>
      <c r="C49" s="19">
        <v>-0.09</v>
      </c>
      <c r="D49" s="19">
        <v>7.0000000000000007E-2</v>
      </c>
      <c r="E49" s="19">
        <v>0.24</v>
      </c>
      <c r="F49" s="534">
        <v>-0.04</v>
      </c>
      <c r="G49" s="16">
        <f t="shared" si="0"/>
        <v>3.4666893424036289E-2</v>
      </c>
      <c r="H49" s="16">
        <f t="shared" si="1"/>
        <v>1.3061224489795915E-4</v>
      </c>
      <c r="I49" s="16">
        <f t="shared" si="2"/>
        <v>1.3946485260770976E-2</v>
      </c>
      <c r="J49" s="16">
        <f t="shared" si="3"/>
        <v>2.081836734693877E-2</v>
      </c>
      <c r="K49" s="614">
        <f t="shared" si="4"/>
        <v>-0.18619047619047621</v>
      </c>
      <c r="L49" s="622">
        <f t="shared" si="5"/>
        <v>-1.1428571428571427E-2</v>
      </c>
      <c r="M49" s="622">
        <f t="shared" si="6"/>
        <v>0.1180952380952381</v>
      </c>
      <c r="N49" s="612">
        <f t="shared" si="7"/>
        <v>-0.14428571428571427</v>
      </c>
    </row>
    <row r="50" spans="2:14" x14ac:dyDescent="0.25">
      <c r="B50" s="23">
        <v>2007</v>
      </c>
      <c r="C50" s="19">
        <v>0.14000000000000001</v>
      </c>
      <c r="D50" s="19">
        <v>0.02</v>
      </c>
      <c r="E50" s="19">
        <v>0.09</v>
      </c>
      <c r="F50" s="534">
        <v>0.22</v>
      </c>
      <c r="G50" s="16">
        <f t="shared" si="0"/>
        <v>1.9192743764172326E-3</v>
      </c>
      <c r="H50" s="16">
        <f t="shared" si="1"/>
        <v>3.7734693877551021E-3</v>
      </c>
      <c r="I50" s="16">
        <f t="shared" si="2"/>
        <v>1.0179138321995459E-3</v>
      </c>
      <c r="J50" s="16">
        <f t="shared" si="3"/>
        <v>1.3389795918367354E-2</v>
      </c>
      <c r="K50" s="614">
        <f t="shared" si="4"/>
        <v>4.3809523809523798E-2</v>
      </c>
      <c r="L50" s="622">
        <f t="shared" si="5"/>
        <v>-6.142857142857143E-2</v>
      </c>
      <c r="M50" s="622">
        <f t="shared" si="6"/>
        <v>-3.1904761904761894E-2</v>
      </c>
      <c r="N50" s="612">
        <f t="shared" si="7"/>
        <v>0.11571428571428574</v>
      </c>
    </row>
    <row r="51" spans="2:14" x14ac:dyDescent="0.25">
      <c r="B51" s="23">
        <v>2008</v>
      </c>
      <c r="C51" s="19">
        <v>0.12</v>
      </c>
      <c r="D51" s="19">
        <v>0.19</v>
      </c>
      <c r="E51" s="19">
        <v>0.1</v>
      </c>
      <c r="F51" s="534">
        <v>0.18</v>
      </c>
      <c r="G51" s="16">
        <f t="shared" si="0"/>
        <v>5.6689342403627978E-4</v>
      </c>
      <c r="H51" s="16">
        <f t="shared" si="1"/>
        <v>1.1787755102040815E-2</v>
      </c>
      <c r="I51" s="16">
        <f t="shared" si="2"/>
        <v>4.7981859410430754E-4</v>
      </c>
      <c r="J51" s="16">
        <f t="shared" si="3"/>
        <v>5.7326530612244924E-3</v>
      </c>
      <c r="K51" s="614">
        <f t="shared" si="4"/>
        <v>2.380952380952378E-2</v>
      </c>
      <c r="L51" s="622">
        <f t="shared" si="5"/>
        <v>0.10857142857142857</v>
      </c>
      <c r="M51" s="622">
        <f t="shared" si="6"/>
        <v>-2.1904761904761885E-2</v>
      </c>
      <c r="N51" s="612">
        <f t="shared" si="7"/>
        <v>7.5714285714285734E-2</v>
      </c>
    </row>
    <row r="52" spans="2:14" x14ac:dyDescent="0.25">
      <c r="B52" s="23">
        <v>2009</v>
      </c>
      <c r="C52" s="19">
        <v>0.14000000000000001</v>
      </c>
      <c r="D52" s="19">
        <v>0.18</v>
      </c>
      <c r="E52" s="19">
        <v>-0.13</v>
      </c>
      <c r="F52" s="534">
        <v>0.19</v>
      </c>
      <c r="G52" s="16">
        <f t="shared" si="0"/>
        <v>1.9192743764172326E-3</v>
      </c>
      <c r="H52" s="16">
        <f t="shared" si="1"/>
        <v>9.7163265306122425E-3</v>
      </c>
      <c r="I52" s="16">
        <f t="shared" si="2"/>
        <v>6.3456009070294792E-2</v>
      </c>
      <c r="J52" s="16">
        <f t="shared" si="3"/>
        <v>7.3469387755102089E-3</v>
      </c>
      <c r="K52" s="614">
        <f t="shared" si="4"/>
        <v>4.3809523809523798E-2</v>
      </c>
      <c r="L52" s="622">
        <f t="shared" si="5"/>
        <v>9.857142857142856E-2</v>
      </c>
      <c r="M52" s="622">
        <f t="shared" si="6"/>
        <v>-0.25190476190476191</v>
      </c>
      <c r="N52" s="612">
        <f t="shared" si="7"/>
        <v>8.5714285714285743E-2</v>
      </c>
    </row>
    <row r="53" spans="2:14" x14ac:dyDescent="0.25">
      <c r="B53" s="26">
        <v>2010</v>
      </c>
      <c r="C53" s="603">
        <v>0.25</v>
      </c>
      <c r="D53" s="603">
        <v>0.24</v>
      </c>
      <c r="E53" s="603">
        <v>0.18</v>
      </c>
      <c r="F53" s="867">
        <v>0.1</v>
      </c>
      <c r="G53" s="16">
        <f t="shared" si="0"/>
        <v>2.3657369614512463E-2</v>
      </c>
      <c r="H53" s="16">
        <f t="shared" si="1"/>
        <v>2.5144897959183669E-2</v>
      </c>
      <c r="I53" s="16">
        <f t="shared" si="2"/>
        <v>3.3750566893424043E-3</v>
      </c>
      <c r="J53" s="16">
        <f t="shared" si="3"/>
        <v>1.8367346938775237E-5</v>
      </c>
      <c r="K53" s="611">
        <f t="shared" si="4"/>
        <v>0.15380952380952378</v>
      </c>
      <c r="L53" s="866">
        <f t="shared" si="5"/>
        <v>0.15857142857142856</v>
      </c>
      <c r="M53" s="866">
        <f t="shared" si="6"/>
        <v>5.8095238095238103E-2</v>
      </c>
      <c r="N53" s="865">
        <f t="shared" si="7"/>
        <v>-4.2857142857142538E-3</v>
      </c>
    </row>
    <row r="54" spans="2:14" x14ac:dyDescent="0.25">
      <c r="B54" s="20" t="s">
        <v>2946</v>
      </c>
      <c r="C54" s="864">
        <f>SUM(C33:C53)/COUNT(C33:C53)</f>
        <v>9.6190476190476215E-2</v>
      </c>
      <c r="D54" s="864">
        <f>SUM(D33:D53)/COUNT(D33:D53)</f>
        <v>8.1428571428571433E-2</v>
      </c>
      <c r="E54" s="864">
        <f>SUM(E33:E53)/COUNT(E33:E53)</f>
        <v>0.12190476190476189</v>
      </c>
      <c r="F54" s="864">
        <f>SUM(F33:F53)/COUNT(F33:F53)</f>
        <v>0.10428571428571426</v>
      </c>
      <c r="G54" s="16"/>
      <c r="H54" s="16"/>
      <c r="I54" s="16"/>
      <c r="J54" s="16"/>
      <c r="K54" s="23" t="s">
        <v>2945</v>
      </c>
      <c r="L54" s="36"/>
      <c r="M54" s="36"/>
      <c r="N54" s="36"/>
    </row>
    <row r="55" spans="2:14" x14ac:dyDescent="0.25">
      <c r="B55" s="23" t="s">
        <v>2944</v>
      </c>
      <c r="C55" s="16">
        <f>_xlfn.VAR.S(C33:C53)</f>
        <v>8.124761904761902E-3</v>
      </c>
      <c r="D55" s="16">
        <f>_xlfn.VAR.S(D33:D53)</f>
        <v>1.3132857142857144E-2</v>
      </c>
      <c r="E55" s="16">
        <f>_xlfn.VAR.S(E33:E53)</f>
        <v>8.936190476190483E-3</v>
      </c>
      <c r="F55" s="16">
        <f>_xlfn.VAR.S(F33:F53)</f>
        <v>1.0985714285714293E-2</v>
      </c>
      <c r="G55" s="16">
        <f>SUM(G33:G53)/(COUNT(G33:G53)-1)</f>
        <v>8.1247619047619037E-3</v>
      </c>
      <c r="H55" s="16">
        <f>SUM(H33:H53)/(COUNT(H33:H53)-1)</f>
        <v>1.3132857142857144E-2</v>
      </c>
      <c r="I55" s="16">
        <f>SUM(I33:I53)/(COUNT(I33:I53)-1)</f>
        <v>8.9361904761904778E-3</v>
      </c>
      <c r="J55" s="16">
        <f>SUM(J33:J53)/(COUNT(J33:J53)-1)</f>
        <v>1.0985714285714288E-2</v>
      </c>
      <c r="K55" s="36" t="s">
        <v>2943</v>
      </c>
      <c r="L55" s="23">
        <f>SUMPRODUCT($K33:$K53,L33:L53)/(COUNT($K33:$K53)-1)</f>
        <v>-1.2392857142857149E-3</v>
      </c>
      <c r="M55" s="23">
        <f>SUMPRODUCT($K33:$K53,M33:M53)/(COUNT($K33:$K53)-1)</f>
        <v>-2.9873809523809523E-3</v>
      </c>
      <c r="N55" s="23">
        <f>SUMPRODUCT($K33:$K53,N33:N53)/(COUNT($K33:$K53)-1)</f>
        <v>2.3871428571428568E-3</v>
      </c>
    </row>
    <row r="56" spans="2:14" x14ac:dyDescent="0.25">
      <c r="B56" s="26" t="s">
        <v>2942</v>
      </c>
      <c r="C56" s="863">
        <f>_xlfn.STDEV.S(C33:C53)</f>
        <v>9.0137461162171098E-2</v>
      </c>
      <c r="D56" s="863">
        <f>_xlfn.STDEV.S(D33:D53)</f>
        <v>0.11459867862613925</v>
      </c>
      <c r="E56" s="863">
        <f>_xlfn.STDEV.S(E33:E53)</f>
        <v>9.4531425865637314E-2</v>
      </c>
      <c r="F56" s="863">
        <f>_xlfn.STDEV.S(F33:F53)</f>
        <v>0.10481275822014366</v>
      </c>
      <c r="G56" s="502">
        <f>SQRT(G55)</f>
        <v>9.0137461162171098E-2</v>
      </c>
      <c r="H56" s="502">
        <f>SQRT(H55)</f>
        <v>0.11459867862613925</v>
      </c>
      <c r="I56" s="502">
        <f>SQRT(I55)</f>
        <v>9.4531425865637286E-2</v>
      </c>
      <c r="J56" s="502">
        <f>SQRT(J55)</f>
        <v>0.10481275822014365</v>
      </c>
      <c r="K56" s="23"/>
      <c r="L56" s="36"/>
      <c r="M56" s="36"/>
      <c r="N56" s="36"/>
    </row>
    <row r="57" spans="2:14" x14ac:dyDescent="0.25">
      <c r="B57" s="36"/>
      <c r="C57" s="16"/>
      <c r="D57" s="16"/>
      <c r="E57" s="16"/>
      <c r="F57" s="16"/>
      <c r="G57" s="16"/>
      <c r="H57" s="16"/>
      <c r="I57" s="16"/>
      <c r="J57" s="16"/>
      <c r="K57" s="16"/>
      <c r="L57" s="36"/>
      <c r="M57" s="36"/>
      <c r="N57" s="36"/>
    </row>
    <row r="58" spans="2:14" x14ac:dyDescent="0.25">
      <c r="B58" s="18" t="s">
        <v>2941</v>
      </c>
      <c r="C58" s="16"/>
      <c r="D58" s="16"/>
      <c r="E58" s="16"/>
      <c r="F58" s="16"/>
      <c r="G58" s="16"/>
      <c r="H58" s="16"/>
      <c r="I58" s="16"/>
      <c r="J58" s="16"/>
      <c r="K58" s="16"/>
      <c r="L58" s="36"/>
      <c r="M58" s="36"/>
      <c r="N58" s="36"/>
    </row>
    <row r="59" spans="2:14" x14ac:dyDescent="0.25">
      <c r="B59" s="20"/>
      <c r="C59" s="64"/>
      <c r="D59" s="858" t="s">
        <v>2934</v>
      </c>
      <c r="E59" s="858" t="s">
        <v>2932</v>
      </c>
      <c r="F59" s="858" t="s">
        <v>2930</v>
      </c>
      <c r="G59" s="857" t="s">
        <v>2929</v>
      </c>
      <c r="H59" s="36"/>
      <c r="I59" s="36"/>
      <c r="J59" s="36"/>
      <c r="K59" s="36"/>
      <c r="L59" s="36"/>
      <c r="M59" s="36"/>
      <c r="N59" s="36"/>
    </row>
    <row r="60" spans="2:14" x14ac:dyDescent="0.25">
      <c r="B60" s="23"/>
      <c r="C60" s="16"/>
      <c r="D60" s="815">
        <v>0.25</v>
      </c>
      <c r="E60" s="815">
        <v>0.25</v>
      </c>
      <c r="F60" s="815">
        <v>0.25</v>
      </c>
      <c r="G60" s="762">
        <v>0.25</v>
      </c>
      <c r="H60" s="36"/>
      <c r="I60" s="36"/>
      <c r="J60" s="36"/>
      <c r="K60" s="36"/>
      <c r="L60" s="36"/>
      <c r="M60" s="36"/>
      <c r="N60" s="36"/>
    </row>
    <row r="61" spans="2:14" x14ac:dyDescent="0.25">
      <c r="B61" s="23" t="s">
        <v>2940</v>
      </c>
      <c r="C61" s="16">
        <v>0.25</v>
      </c>
      <c r="D61" s="855">
        <f>_xlfn.COVARIANCE.S($C33:$C53,C33:C53)</f>
        <v>8.1247619047619037E-3</v>
      </c>
      <c r="E61" s="862">
        <f>_xlfn.COVARIANCE.S($C33:$C53,D33:D53)</f>
        <v>-1.2392857142857149E-3</v>
      </c>
      <c r="F61" s="862">
        <f>_xlfn.COVARIANCE.S($C33:$C53,E33:E53)</f>
        <v>-2.9873809523809523E-3</v>
      </c>
      <c r="G61" s="861">
        <f>_xlfn.COVARIANCE.S($C33:$C53,F33:F53)</f>
        <v>2.3871428571428568E-3</v>
      </c>
      <c r="H61" s="36"/>
      <c r="I61" s="36"/>
      <c r="J61" s="36"/>
      <c r="K61" s="36"/>
      <c r="L61" s="36"/>
      <c r="M61" s="36"/>
      <c r="N61" s="36"/>
    </row>
    <row r="62" spans="2:14" x14ac:dyDescent="0.25">
      <c r="B62" s="23" t="s">
        <v>2939</v>
      </c>
      <c r="C62" s="16">
        <v>0.25</v>
      </c>
      <c r="D62" s="862">
        <f>+E61</f>
        <v>-1.2392857142857149E-3</v>
      </c>
      <c r="E62" s="855">
        <f>_xlfn.COVARIANCE.S($D33:$D53,D33:D53)</f>
        <v>1.3132857142857144E-2</v>
      </c>
      <c r="F62" s="862">
        <f>_xlfn.COVARIANCE.S($D33:$D53,E33:E53)</f>
        <v>1.7214285714285682E-4</v>
      </c>
      <c r="G62" s="861">
        <f>_xlfn.COVARIANCE.S($D33:$D53,F33:F53)</f>
        <v>-4.2314285714285726E-3</v>
      </c>
      <c r="H62" s="36"/>
      <c r="I62" s="36"/>
      <c r="J62" s="36"/>
      <c r="K62" s="36"/>
      <c r="L62" s="36"/>
      <c r="M62" s="36"/>
      <c r="N62" s="36"/>
    </row>
    <row r="63" spans="2:14" x14ac:dyDescent="0.25">
      <c r="B63" s="23" t="s">
        <v>2938</v>
      </c>
      <c r="C63" s="16">
        <v>0.25</v>
      </c>
      <c r="D63" s="862">
        <f>+F61</f>
        <v>-2.9873809523809523E-3</v>
      </c>
      <c r="E63" s="862">
        <f>+F62</f>
        <v>1.7214285714285682E-4</v>
      </c>
      <c r="F63" s="855">
        <f>_xlfn.COVARIANCE.S($E33:$E53,E33:E53)</f>
        <v>8.9361904761904778E-3</v>
      </c>
      <c r="G63" s="861">
        <f>_xlfn.COVARIANCE.S($E33:$E53,F33:F53)</f>
        <v>5.4642857142857184E-4</v>
      </c>
      <c r="H63" s="36"/>
      <c r="I63" s="36"/>
      <c r="J63" s="36"/>
      <c r="K63" s="36"/>
      <c r="L63" s="36"/>
      <c r="M63" s="36"/>
      <c r="N63" s="36"/>
    </row>
    <row r="64" spans="2:14" x14ac:dyDescent="0.25">
      <c r="B64" s="26" t="s">
        <v>2937</v>
      </c>
      <c r="C64" s="208">
        <v>0.25</v>
      </c>
      <c r="D64" s="860">
        <f>+G61</f>
        <v>2.3871428571428568E-3</v>
      </c>
      <c r="E64" s="860">
        <f>+G62</f>
        <v>-4.2314285714285726E-3</v>
      </c>
      <c r="F64" s="860">
        <f>+G63</f>
        <v>5.4642857142857184E-4</v>
      </c>
      <c r="G64" s="859">
        <f>_xlfn.COVARIANCE.S($F33:$F53,F33:F53)</f>
        <v>1.0985714285714288E-2</v>
      </c>
      <c r="H64" s="36"/>
      <c r="I64" s="36"/>
      <c r="J64" s="36"/>
      <c r="K64" s="36"/>
      <c r="L64" s="36"/>
      <c r="M64" s="36"/>
      <c r="N64" s="36"/>
    </row>
    <row r="65" spans="2:14" x14ac:dyDescent="0.25">
      <c r="B65" s="36"/>
      <c r="C65" s="36">
        <v>0.25</v>
      </c>
      <c r="D65" s="36">
        <v>0.25</v>
      </c>
      <c r="E65" s="36">
        <v>0.25</v>
      </c>
      <c r="F65" s="36">
        <v>0.25</v>
      </c>
      <c r="G65" s="36"/>
      <c r="H65" s="36"/>
      <c r="I65" s="36"/>
      <c r="J65" s="36"/>
      <c r="K65" s="36"/>
      <c r="L65" s="36"/>
      <c r="M65" s="36"/>
      <c r="N65" s="36"/>
    </row>
    <row r="66" spans="2:14" x14ac:dyDescent="0.25">
      <c r="B66" s="36"/>
      <c r="C66" s="36"/>
      <c r="D66" s="36"/>
      <c r="E66" s="36"/>
      <c r="F66" s="36"/>
      <c r="G66" s="36"/>
      <c r="H66" s="36"/>
      <c r="I66" s="36"/>
      <c r="J66" s="36"/>
      <c r="K66" s="36"/>
      <c r="L66" s="36"/>
      <c r="M66" s="36"/>
      <c r="N66" s="36"/>
    </row>
    <row r="67" spans="2:14" x14ac:dyDescent="0.25">
      <c r="B67" s="36"/>
      <c r="C67" s="36"/>
      <c r="D67" s="36"/>
      <c r="E67" s="36"/>
      <c r="F67" s="20"/>
      <c r="G67" s="64"/>
      <c r="H67" s="858" t="s">
        <v>2934</v>
      </c>
      <c r="I67" s="858" t="s">
        <v>2932</v>
      </c>
      <c r="J67" s="858" t="s">
        <v>2930</v>
      </c>
      <c r="K67" s="857" t="s">
        <v>2929</v>
      </c>
      <c r="L67" s="36"/>
      <c r="M67" s="36"/>
      <c r="N67" s="36"/>
    </row>
    <row r="68" spans="2:14" x14ac:dyDescent="0.25">
      <c r="B68" s="37" t="s">
        <v>2936</v>
      </c>
      <c r="C68" s="36"/>
      <c r="D68" s="36"/>
      <c r="E68" s="36"/>
      <c r="F68" s="23"/>
      <c r="G68" s="16"/>
      <c r="H68" s="815"/>
      <c r="I68" s="815"/>
      <c r="J68" s="815"/>
      <c r="K68" s="762"/>
      <c r="L68" s="36"/>
      <c r="M68" s="36"/>
      <c r="N68" s="36"/>
    </row>
    <row r="69" spans="2:14" x14ac:dyDescent="0.25">
      <c r="B69" s="20" t="s">
        <v>2935</v>
      </c>
      <c r="C69" s="856">
        <f>C65*C54+D54*D65+E65*E54+F54*F65</f>
        <v>0.10095238095238095</v>
      </c>
      <c r="D69" s="59">
        <f t="array" ref="D69">MMULT(C65:F65,TRANSPOSE(C54:F54))</f>
        <v>0.10095238095238095</v>
      </c>
      <c r="E69" s="36"/>
      <c r="F69" s="23" t="s">
        <v>2934</v>
      </c>
      <c r="G69" s="16"/>
      <c r="H69" s="855">
        <f t="shared" ref="H69:K72" si="8">$C61*D$60*D61</f>
        <v>5.0779761904761898E-4</v>
      </c>
      <c r="I69" s="855">
        <f t="shared" si="8"/>
        <v>-7.7455357142857181E-5</v>
      </c>
      <c r="J69" s="855">
        <f t="shared" si="8"/>
        <v>-1.8671130952380952E-4</v>
      </c>
      <c r="K69" s="855">
        <f t="shared" si="8"/>
        <v>1.4919642857142855E-4</v>
      </c>
      <c r="L69" s="36"/>
      <c r="M69" s="36"/>
      <c r="N69" s="36"/>
    </row>
    <row r="70" spans="2:14" x14ac:dyDescent="0.25">
      <c r="B70" s="23" t="s">
        <v>2933</v>
      </c>
      <c r="C70" s="207">
        <f t="array" ref="C70">MMULT(MMULT(TRANSPOSE(C61:C64),D61:G64),C61:C64)</f>
        <v>1.9046726190476192E-3</v>
      </c>
      <c r="D70" s="36"/>
      <c r="E70" s="36"/>
      <c r="F70" s="23" t="s">
        <v>2932</v>
      </c>
      <c r="G70" s="16"/>
      <c r="H70" s="855">
        <f t="shared" si="8"/>
        <v>-7.7455357142857181E-5</v>
      </c>
      <c r="I70" s="855">
        <f t="shared" si="8"/>
        <v>8.208035714285715E-4</v>
      </c>
      <c r="J70" s="855">
        <f t="shared" si="8"/>
        <v>1.0758928571428551E-5</v>
      </c>
      <c r="K70" s="855">
        <f t="shared" si="8"/>
        <v>-2.6446428571428579E-4</v>
      </c>
      <c r="L70" s="36"/>
      <c r="M70" s="36"/>
      <c r="N70" s="36"/>
    </row>
    <row r="71" spans="2:14" x14ac:dyDescent="0.25">
      <c r="B71" s="26" t="s">
        <v>2931</v>
      </c>
      <c r="C71" s="505">
        <f>SQRT(C70)</f>
        <v>4.3642555138850646E-2</v>
      </c>
      <c r="D71" s="36"/>
      <c r="E71" s="36"/>
      <c r="F71" s="23" t="s">
        <v>2930</v>
      </c>
      <c r="G71" s="16"/>
      <c r="H71" s="855">
        <f t="shared" si="8"/>
        <v>-1.8671130952380952E-4</v>
      </c>
      <c r="I71" s="855">
        <f t="shared" si="8"/>
        <v>1.0758928571428551E-5</v>
      </c>
      <c r="J71" s="855">
        <f t="shared" si="8"/>
        <v>5.5851190476190486E-4</v>
      </c>
      <c r="K71" s="855">
        <f t="shared" si="8"/>
        <v>3.415178571428574E-5</v>
      </c>
      <c r="L71" s="36"/>
      <c r="M71" s="36"/>
      <c r="N71" s="36"/>
    </row>
    <row r="72" spans="2:14" x14ac:dyDescent="0.25">
      <c r="B72" s="36"/>
      <c r="C72" s="36"/>
      <c r="D72" s="36"/>
      <c r="E72" s="36"/>
      <c r="F72" s="26" t="s">
        <v>2929</v>
      </c>
      <c r="G72" s="208"/>
      <c r="H72" s="855">
        <f t="shared" si="8"/>
        <v>1.4919642857142855E-4</v>
      </c>
      <c r="I72" s="855">
        <f t="shared" si="8"/>
        <v>-2.6446428571428579E-4</v>
      </c>
      <c r="J72" s="855">
        <f t="shared" si="8"/>
        <v>3.415178571428574E-5</v>
      </c>
      <c r="K72" s="855">
        <f t="shared" si="8"/>
        <v>6.8660714285714299E-4</v>
      </c>
      <c r="L72" s="854" t="s">
        <v>2928</v>
      </c>
      <c r="M72" s="36"/>
      <c r="N72" s="36"/>
    </row>
    <row r="73" spans="2:14" x14ac:dyDescent="0.25">
      <c r="B73" s="37" t="s">
        <v>2927</v>
      </c>
      <c r="C73" s="36" t="s">
        <v>2926</v>
      </c>
      <c r="D73" s="36"/>
      <c r="E73" s="36"/>
      <c r="F73" s="36"/>
      <c r="G73" s="36"/>
      <c r="H73" s="853">
        <f>SUM(H69:H72)</f>
        <v>3.928273809523808E-4</v>
      </c>
      <c r="I73" s="853">
        <f>SUM(I69:I72)</f>
        <v>4.8964285714285711E-4</v>
      </c>
      <c r="J73" s="853">
        <f>SUM(J69:J72)</f>
        <v>4.1671130952380963E-4</v>
      </c>
      <c r="K73" s="853">
        <f>SUM(K69:K72)</f>
        <v>6.0549107142857149E-4</v>
      </c>
      <c r="L73" s="852">
        <f>SUM(H73:K73)</f>
        <v>1.9046726190476192E-3</v>
      </c>
      <c r="M73" s="36"/>
      <c r="N73" s="36"/>
    </row>
    <row r="74" spans="2:14" x14ac:dyDescent="0.25">
      <c r="B74" s="37" t="s">
        <v>2925</v>
      </c>
      <c r="C74" s="36" t="s">
        <v>2924</v>
      </c>
      <c r="D74" s="36"/>
      <c r="E74" s="36"/>
      <c r="F74" s="36"/>
      <c r="G74" s="36"/>
      <c r="H74" s="36"/>
      <c r="I74" s="36"/>
      <c r="J74" s="36"/>
      <c r="K74" s="36"/>
      <c r="L74" s="36"/>
      <c r="M74" s="36"/>
      <c r="N74" s="36"/>
    </row>
    <row r="75" spans="2:14" x14ac:dyDescent="0.25">
      <c r="B75" s="37"/>
      <c r="C75" s="36"/>
      <c r="D75" s="36"/>
      <c r="E75" s="36"/>
      <c r="F75" s="36"/>
      <c r="G75" s="36"/>
      <c r="H75" s="36"/>
      <c r="I75" s="36"/>
      <c r="J75" s="36"/>
      <c r="K75" s="36"/>
      <c r="L75" s="36"/>
      <c r="M75" s="36"/>
      <c r="N75" s="36"/>
    </row>
    <row r="76" spans="2:14" x14ac:dyDescent="0.25">
      <c r="B76" s="37"/>
      <c r="C76" s="36"/>
      <c r="D76" s="36"/>
      <c r="E76" s="36"/>
      <c r="F76" s="36"/>
      <c r="G76" s="36"/>
      <c r="H76" s="36"/>
      <c r="I76" s="36"/>
      <c r="J76" s="36"/>
      <c r="K76" s="36"/>
      <c r="L76" s="36"/>
      <c r="M76" s="36"/>
      <c r="N76" s="36"/>
    </row>
    <row r="77" spans="2:14" x14ac:dyDescent="0.25">
      <c r="B77" s="37"/>
      <c r="C77" s="36"/>
      <c r="D77" s="36"/>
      <c r="E77" s="36"/>
      <c r="F77" s="36"/>
      <c r="G77" s="36"/>
      <c r="H77" s="36"/>
      <c r="I77" s="36"/>
      <c r="J77" s="36"/>
      <c r="K77" s="36"/>
      <c r="L77" s="36"/>
      <c r="M77" s="36"/>
      <c r="N77" s="36"/>
    </row>
    <row r="78" spans="2:14" ht="16.5" thickBot="1" x14ac:dyDescent="0.3">
      <c r="E78" s="1" t="s">
        <v>3255</v>
      </c>
      <c r="G78" s="1" t="s">
        <v>3256</v>
      </c>
    </row>
    <row r="79" spans="2:14" ht="43.5" thickBot="1" x14ac:dyDescent="0.3">
      <c r="B79" s="937" t="s">
        <v>1202</v>
      </c>
      <c r="C79" s="938" t="s">
        <v>3241</v>
      </c>
      <c r="D79" s="938" t="s">
        <v>3242</v>
      </c>
      <c r="E79" s="938" t="s">
        <v>3241</v>
      </c>
      <c r="F79" s="938" t="s">
        <v>3242</v>
      </c>
      <c r="G79" s="938" t="s">
        <v>3241</v>
      </c>
      <c r="H79" s="938" t="s">
        <v>3242</v>
      </c>
    </row>
    <row r="80" spans="2:14" ht="16.5" thickBot="1" x14ac:dyDescent="0.3">
      <c r="B80" s="939">
        <v>1</v>
      </c>
      <c r="C80" s="940">
        <v>9.4</v>
      </c>
      <c r="D80" s="940">
        <v>-1</v>
      </c>
      <c r="E80" s="942">
        <f>C80/100</f>
        <v>9.4E-2</v>
      </c>
      <c r="F80" s="942">
        <f>D80/100</f>
        <v>-0.01</v>
      </c>
      <c r="G80" s="941">
        <f>C80-C$90</f>
        <v>1.5600000000000005</v>
      </c>
      <c r="H80" s="941">
        <f>D80-D$90</f>
        <v>-9.02</v>
      </c>
    </row>
    <row r="81" spans="2:8" ht="16.5" thickBot="1" x14ac:dyDescent="0.3">
      <c r="B81" s="939">
        <v>2</v>
      </c>
      <c r="C81" s="940">
        <v>7.4</v>
      </c>
      <c r="D81" s="940">
        <v>-5.3</v>
      </c>
      <c r="E81" s="942">
        <f t="shared" ref="E81:E89" si="9">C81/100</f>
        <v>7.400000000000001E-2</v>
      </c>
      <c r="F81" s="942">
        <f t="shared" ref="F81:F89" si="10">D81/100</f>
        <v>-5.2999999999999999E-2</v>
      </c>
      <c r="G81" s="941">
        <f t="shared" ref="G81:H89" si="11">C81-C$90</f>
        <v>-0.4399999999999995</v>
      </c>
      <c r="H81" s="941">
        <f t="shared" si="11"/>
        <v>-13.32</v>
      </c>
    </row>
    <row r="82" spans="2:8" ht="16.5" thickBot="1" x14ac:dyDescent="0.3">
      <c r="B82" s="939">
        <v>3</v>
      </c>
      <c r="C82" s="940">
        <v>10.7</v>
      </c>
      <c r="D82" s="940">
        <v>33.299999999999997</v>
      </c>
      <c r="E82" s="942">
        <f t="shared" si="9"/>
        <v>0.107</v>
      </c>
      <c r="F82" s="942">
        <f t="shared" si="10"/>
        <v>0.33299999999999996</v>
      </c>
      <c r="G82" s="941">
        <f t="shared" si="11"/>
        <v>2.8599999999999994</v>
      </c>
      <c r="H82" s="941">
        <f t="shared" si="11"/>
        <v>25.279999999999998</v>
      </c>
    </row>
    <row r="83" spans="2:8" ht="16.5" thickBot="1" x14ac:dyDescent="0.3">
      <c r="B83" s="939">
        <v>4</v>
      </c>
      <c r="C83" s="940">
        <v>10.199999999999999</v>
      </c>
      <c r="D83" s="940">
        <v>11.6</v>
      </c>
      <c r="E83" s="942">
        <f t="shared" si="9"/>
        <v>0.10199999999999999</v>
      </c>
      <c r="F83" s="942">
        <f t="shared" si="10"/>
        <v>0.11599999999999999</v>
      </c>
      <c r="G83" s="941">
        <f t="shared" si="11"/>
        <v>2.3599999999999994</v>
      </c>
      <c r="H83" s="941">
        <f t="shared" si="11"/>
        <v>3.58</v>
      </c>
    </row>
    <row r="84" spans="2:8" ht="16.5" thickBot="1" x14ac:dyDescent="0.3">
      <c r="B84" s="939">
        <v>5</v>
      </c>
      <c r="C84" s="940">
        <v>5.3</v>
      </c>
      <c r="D84" s="940">
        <v>5.6</v>
      </c>
      <c r="E84" s="942">
        <f t="shared" si="9"/>
        <v>5.2999999999999999E-2</v>
      </c>
      <c r="F84" s="942">
        <f t="shared" si="10"/>
        <v>5.5999999999999994E-2</v>
      </c>
      <c r="G84" s="941">
        <f t="shared" si="11"/>
        <v>-2.54</v>
      </c>
      <c r="H84" s="941">
        <f t="shared" si="11"/>
        <v>-2.42</v>
      </c>
    </row>
    <row r="85" spans="2:8" ht="16.5" thickBot="1" x14ac:dyDescent="0.3">
      <c r="B85" s="939">
        <v>6</v>
      </c>
      <c r="C85" s="940">
        <v>3</v>
      </c>
      <c r="D85" s="940">
        <v>-10.9</v>
      </c>
      <c r="E85" s="942">
        <f t="shared" si="9"/>
        <v>0.03</v>
      </c>
      <c r="F85" s="942">
        <f t="shared" si="10"/>
        <v>-0.109</v>
      </c>
      <c r="G85" s="941">
        <f t="shared" si="11"/>
        <v>-4.84</v>
      </c>
      <c r="H85" s="941">
        <f t="shared" si="11"/>
        <v>-18.920000000000002</v>
      </c>
    </row>
    <row r="86" spans="2:8" ht="16.5" thickBot="1" x14ac:dyDescent="0.3">
      <c r="B86" s="939">
        <v>7</v>
      </c>
      <c r="C86" s="940">
        <v>11.3</v>
      </c>
      <c r="D86" s="940">
        <v>18.8</v>
      </c>
      <c r="E86" s="942">
        <f t="shared" si="9"/>
        <v>0.113</v>
      </c>
      <c r="F86" s="942">
        <f t="shared" si="10"/>
        <v>0.188</v>
      </c>
      <c r="G86" s="941">
        <f t="shared" si="11"/>
        <v>3.4600000000000009</v>
      </c>
      <c r="H86" s="941">
        <f t="shared" si="11"/>
        <v>10.780000000000001</v>
      </c>
    </row>
    <row r="87" spans="2:8" ht="16.5" thickBot="1" x14ac:dyDescent="0.3">
      <c r="B87" s="939">
        <v>8</v>
      </c>
      <c r="C87" s="940">
        <v>7.3</v>
      </c>
      <c r="D87" s="940">
        <v>-2.5</v>
      </c>
      <c r="E87" s="942">
        <f t="shared" si="9"/>
        <v>7.2999999999999995E-2</v>
      </c>
      <c r="F87" s="942">
        <f t="shared" si="10"/>
        <v>-2.5000000000000001E-2</v>
      </c>
      <c r="G87" s="941">
        <f t="shared" si="11"/>
        <v>-0.54</v>
      </c>
      <c r="H87" s="941">
        <f t="shared" si="11"/>
        <v>-10.52</v>
      </c>
    </row>
    <row r="88" spans="2:8" ht="16.5" thickBot="1" x14ac:dyDescent="0.3">
      <c r="B88" s="939">
        <v>9</v>
      </c>
      <c r="C88" s="940">
        <v>-0.2</v>
      </c>
      <c r="D88" s="940">
        <v>3.8</v>
      </c>
      <c r="E88" s="942">
        <f t="shared" si="9"/>
        <v>-2E-3</v>
      </c>
      <c r="F88" s="942">
        <f t="shared" si="10"/>
        <v>3.7999999999999999E-2</v>
      </c>
      <c r="G88" s="941">
        <f t="shared" si="11"/>
        <v>-8.0399999999999991</v>
      </c>
      <c r="H88" s="941">
        <f t="shared" si="11"/>
        <v>-4.22</v>
      </c>
    </row>
    <row r="89" spans="2:8" ht="16.5" thickBot="1" x14ac:dyDescent="0.3">
      <c r="B89" s="939">
        <v>10</v>
      </c>
      <c r="C89" s="940">
        <v>14</v>
      </c>
      <c r="D89" s="940">
        <v>26.8</v>
      </c>
      <c r="E89" s="942">
        <f t="shared" si="9"/>
        <v>0.14000000000000001</v>
      </c>
      <c r="F89" s="942">
        <f t="shared" si="10"/>
        <v>0.26800000000000002</v>
      </c>
      <c r="G89" s="941">
        <f t="shared" si="11"/>
        <v>6.16</v>
      </c>
      <c r="H89" s="941">
        <f t="shared" si="11"/>
        <v>18.78</v>
      </c>
    </row>
    <row r="90" spans="2:8" x14ac:dyDescent="0.25">
      <c r="B90" s="1" t="s">
        <v>2968</v>
      </c>
      <c r="C90" s="1">
        <v>7.84</v>
      </c>
      <c r="D90" s="1">
        <v>8.02</v>
      </c>
      <c r="E90" s="936">
        <f>7.84/100</f>
        <v>7.8399999999999997E-2</v>
      </c>
      <c r="F90" s="936">
        <f>8.02/100</f>
        <v>8.0199999999999994E-2</v>
      </c>
    </row>
    <row r="91" spans="2:8" x14ac:dyDescent="0.25">
      <c r="F91" s="1" t="s">
        <v>2022</v>
      </c>
      <c r="G91" s="1">
        <f>COVAR(G80:G89,H80:H89)</f>
        <v>36.285199999999996</v>
      </c>
    </row>
    <row r="92" spans="2:8" x14ac:dyDescent="0.25">
      <c r="C92" s="935"/>
    </row>
  </sheetData>
  <mergeCells count="1">
    <mergeCell ref="L31:N31"/>
  </mergeCells>
  <hyperlinks>
    <hyperlink ref="D4" location="Finansieringsteori!A1" display="Finansieringsteori!A1" xr:uid="{00000000-0004-0000-3E00-000000000000}"/>
  </hyperlinks>
  <pageMargins left="0.75" right="0.75" top="1" bottom="1" header="0.5" footer="0.5"/>
  <pageSetup paperSize="9" orientation="portrait" horizontalDpi="4294967292" verticalDpi="4294967292"/>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B050"/>
  </sheetPr>
  <dimension ref="C5"/>
  <sheetViews>
    <sheetView workbookViewId="0">
      <selection activeCell="C5" sqref="C5"/>
    </sheetView>
  </sheetViews>
  <sheetFormatPr defaultColWidth="10.875" defaultRowHeight="15.75" x14ac:dyDescent="0.25"/>
  <cols>
    <col min="1" max="16384" width="10.875" style="1"/>
  </cols>
  <sheetData>
    <row r="5" spans="3:3" x14ac:dyDescent="0.25">
      <c r="C5" s="101" t="s">
        <v>1612</v>
      </c>
    </row>
  </sheetData>
  <hyperlinks>
    <hyperlink ref="C5" location="Finansieringsteori!A1" display="Finansieringsteori!A1" xr:uid="{00000000-0004-0000-3F00-000000000000}"/>
  </hyperlinks>
  <pageMargins left="0.75" right="0.75" top="1" bottom="1" header="0.5" footer="0.5"/>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00B050"/>
  </sheetPr>
  <dimension ref="D3"/>
  <sheetViews>
    <sheetView workbookViewId="0">
      <selection activeCell="D3" sqref="D3"/>
    </sheetView>
  </sheetViews>
  <sheetFormatPr defaultColWidth="10.875" defaultRowHeight="15.75" x14ac:dyDescent="0.25"/>
  <cols>
    <col min="1" max="16384" width="10.875" style="1"/>
  </cols>
  <sheetData>
    <row r="3" spans="4:4" x14ac:dyDescent="0.25">
      <c r="D3" s="101" t="s">
        <v>1612</v>
      </c>
    </row>
  </sheetData>
  <hyperlinks>
    <hyperlink ref="D3" location="Finansieringsteori!A1" display="Finansieringsteori!A1" xr:uid="{00000000-0004-0000-4000-000000000000}"/>
  </hyperlinks>
  <pageMargins left="0.75" right="0.75" top="1" bottom="1" header="0.5" footer="0.5"/>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00B050"/>
  </sheetPr>
  <dimension ref="C4:J32"/>
  <sheetViews>
    <sheetView workbookViewId="0">
      <selection activeCell="C4" sqref="C4"/>
    </sheetView>
  </sheetViews>
  <sheetFormatPr defaultColWidth="10.875" defaultRowHeight="15.75" x14ac:dyDescent="0.25"/>
  <cols>
    <col min="1" max="16384" width="10.875" style="1"/>
  </cols>
  <sheetData>
    <row r="4" spans="3:3" x14ac:dyDescent="0.25">
      <c r="C4" s="101" t="s">
        <v>1612</v>
      </c>
    </row>
    <row r="6" spans="3:3" x14ac:dyDescent="0.25">
      <c r="C6" s="278" t="s">
        <v>2086</v>
      </c>
    </row>
    <row r="29" spans="9:10" x14ac:dyDescent="0.25">
      <c r="I29" s="1" t="s">
        <v>3018</v>
      </c>
    </row>
    <row r="30" spans="9:10" x14ac:dyDescent="0.25">
      <c r="I30" s="1" t="s">
        <v>3019</v>
      </c>
    </row>
    <row r="31" spans="9:10" x14ac:dyDescent="0.25">
      <c r="I31" s="1" t="s">
        <v>3020</v>
      </c>
    </row>
    <row r="32" spans="9:10" x14ac:dyDescent="0.25">
      <c r="J32" s="1" t="s">
        <v>3021</v>
      </c>
    </row>
  </sheetData>
  <hyperlinks>
    <hyperlink ref="C4" location="Finansieringsteori!A1" display="Finansieringsteori!A1" xr:uid="{00000000-0004-0000-4100-000000000000}"/>
  </hyperlinks>
  <pageMargins left="0.75" right="0.75" top="1" bottom="1" header="0.5" footer="0.5"/>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00B050"/>
  </sheetPr>
  <dimension ref="B4:O54"/>
  <sheetViews>
    <sheetView workbookViewId="0">
      <selection activeCell="B4" sqref="B4"/>
    </sheetView>
  </sheetViews>
  <sheetFormatPr defaultColWidth="10.875" defaultRowHeight="15.75" x14ac:dyDescent="0.25"/>
  <cols>
    <col min="1" max="10" width="10.875" style="1"/>
    <col min="11" max="11" width="21.125" style="1" customWidth="1"/>
    <col min="12" max="12" width="22.625" style="1" bestFit="1" customWidth="1"/>
    <col min="13" max="13" width="21.125" style="1" bestFit="1" customWidth="1"/>
    <col min="14" max="16384" width="10.875" style="1"/>
  </cols>
  <sheetData>
    <row r="4" spans="2:15" x14ac:dyDescent="0.25">
      <c r="B4" s="101" t="s">
        <v>1612</v>
      </c>
    </row>
    <row r="9" spans="2:15" x14ac:dyDescent="0.25">
      <c r="K9" s="682" t="s">
        <v>2329</v>
      </c>
      <c r="L9" s="672"/>
      <c r="M9" s="673"/>
      <c r="N9" s="672"/>
      <c r="O9" s="672"/>
    </row>
    <row r="10" spans="2:15" x14ac:dyDescent="0.25">
      <c r="K10" s="672" t="s">
        <v>2328</v>
      </c>
      <c r="L10" s="672"/>
      <c r="M10" s="673"/>
      <c r="N10" s="672"/>
      <c r="O10" s="672"/>
    </row>
    <row r="11" spans="2:15" x14ac:dyDescent="0.25">
      <c r="K11" s="672" t="s">
        <v>2327</v>
      </c>
      <c r="L11" s="672"/>
      <c r="M11" s="673"/>
      <c r="N11" s="672"/>
      <c r="O11" s="672"/>
    </row>
    <row r="12" spans="2:15" x14ac:dyDescent="0.25">
      <c r="K12" s="672"/>
      <c r="L12" s="672"/>
      <c r="M12" s="673"/>
      <c r="N12" s="672"/>
      <c r="O12" s="672"/>
    </row>
    <row r="13" spans="2:15" x14ac:dyDescent="0.25">
      <c r="K13" s="29" t="s">
        <v>2326</v>
      </c>
      <c r="L13" s="672"/>
      <c r="M13" s="673"/>
      <c r="N13" s="672"/>
      <c r="O13" s="672"/>
    </row>
    <row r="14" spans="2:15" x14ac:dyDescent="0.25">
      <c r="K14" s="672"/>
      <c r="L14" s="672"/>
      <c r="M14" s="673"/>
      <c r="N14" s="672"/>
      <c r="O14" s="672"/>
    </row>
    <row r="15" spans="2:15" x14ac:dyDescent="0.25">
      <c r="K15" s="681"/>
      <c r="L15" s="496" t="s">
        <v>2325</v>
      </c>
      <c r="M15" s="680" t="s">
        <v>2324</v>
      </c>
      <c r="N15" s="672"/>
      <c r="O15" s="672"/>
    </row>
    <row r="16" spans="2:15" x14ac:dyDescent="0.25">
      <c r="K16" s="679" t="s">
        <v>2323</v>
      </c>
      <c r="L16" s="169">
        <v>145340300</v>
      </c>
      <c r="M16" s="509">
        <f t="shared" ref="M16:M36" si="0">L16/L$36</f>
        <v>0.36692784665938699</v>
      </c>
      <c r="N16" s="16"/>
      <c r="O16" s="16"/>
    </row>
    <row r="17" spans="11:15" x14ac:dyDescent="0.25">
      <c r="K17" s="679" t="s">
        <v>2322</v>
      </c>
      <c r="L17" s="169">
        <f>L16*0.35</f>
        <v>50869105</v>
      </c>
      <c r="M17" s="509">
        <f t="shared" si="0"/>
        <v>0.12842474633078546</v>
      </c>
      <c r="N17" s="16"/>
      <c r="O17" s="16"/>
    </row>
    <row r="18" spans="11:15" x14ac:dyDescent="0.25">
      <c r="K18" s="679" t="s">
        <v>2321</v>
      </c>
      <c r="L18" s="169">
        <f>L17*0.46</f>
        <v>23399788.300000001</v>
      </c>
      <c r="M18" s="509">
        <f t="shared" si="0"/>
        <v>5.9075383312161313E-2</v>
      </c>
      <c r="N18" s="16"/>
      <c r="O18" s="16"/>
    </row>
    <row r="19" spans="11:15" x14ac:dyDescent="0.25">
      <c r="K19" s="679" t="s">
        <v>2320</v>
      </c>
      <c r="L19" s="169">
        <f>L18*0.3</f>
        <v>7019936.4900000002</v>
      </c>
      <c r="M19" s="509">
        <f t="shared" si="0"/>
        <v>1.7722614993648394E-2</v>
      </c>
      <c r="N19" s="16"/>
      <c r="O19" s="16"/>
    </row>
    <row r="20" spans="11:15" x14ac:dyDescent="0.25">
      <c r="K20" s="679" t="s">
        <v>2319</v>
      </c>
      <c r="L20" s="169">
        <f>L19*0.5</f>
        <v>3509968.2450000001</v>
      </c>
      <c r="M20" s="509">
        <f t="shared" si="0"/>
        <v>8.8613074968241969E-3</v>
      </c>
      <c r="N20" s="16"/>
      <c r="O20" s="16"/>
    </row>
    <row r="21" spans="11:15" x14ac:dyDescent="0.25">
      <c r="K21" s="679" t="s">
        <v>2318</v>
      </c>
      <c r="L21" s="169">
        <f>L18*1.3</f>
        <v>30419724.790000003</v>
      </c>
      <c r="M21" s="509">
        <f t="shared" si="0"/>
        <v>7.6797998305809703E-2</v>
      </c>
      <c r="N21" s="16"/>
      <c r="O21" s="16"/>
    </row>
    <row r="22" spans="11:15" x14ac:dyDescent="0.25">
      <c r="K22" s="679" t="s">
        <v>2317</v>
      </c>
      <c r="L22" s="169">
        <f>L20*0.95</f>
        <v>3334469.8327500001</v>
      </c>
      <c r="M22" s="509">
        <f t="shared" si="0"/>
        <v>8.4182421219829873E-3</v>
      </c>
      <c r="N22" s="16"/>
      <c r="O22" s="16"/>
    </row>
    <row r="23" spans="11:15" x14ac:dyDescent="0.25">
      <c r="K23" s="679" t="s">
        <v>2316</v>
      </c>
      <c r="L23" s="169">
        <f>L22*1.5</f>
        <v>5001704.7491250001</v>
      </c>
      <c r="M23" s="509">
        <f t="shared" si="0"/>
        <v>1.262736318297448E-2</v>
      </c>
      <c r="N23" s="16"/>
      <c r="O23" s="16"/>
    </row>
    <row r="24" spans="11:15" x14ac:dyDescent="0.25">
      <c r="K24" s="679" t="s">
        <v>2315</v>
      </c>
      <c r="L24" s="169">
        <f>L23*0.88</f>
        <v>4401500.1792299999</v>
      </c>
      <c r="M24" s="509">
        <f t="shared" si="0"/>
        <v>1.1112079601017542E-2</v>
      </c>
      <c r="N24" s="16"/>
      <c r="O24" s="16"/>
    </row>
    <row r="25" spans="11:15" x14ac:dyDescent="0.25">
      <c r="K25" s="679" t="s">
        <v>2314</v>
      </c>
      <c r="L25" s="169">
        <f>L24*2.4</f>
        <v>10563600.430151999</v>
      </c>
      <c r="M25" s="509">
        <f t="shared" si="0"/>
        <v>2.6668991042442098E-2</v>
      </c>
      <c r="N25" s="16"/>
      <c r="O25" s="16"/>
    </row>
    <row r="26" spans="11:15" x14ac:dyDescent="0.25">
      <c r="K26" s="679" t="s">
        <v>2313</v>
      </c>
      <c r="L26" s="169">
        <f>L25*0.3</f>
        <v>3169080.1290455996</v>
      </c>
      <c r="M26" s="509">
        <f t="shared" si="0"/>
        <v>8.000697312732629E-3</v>
      </c>
      <c r="N26" s="16"/>
      <c r="O26" s="16"/>
    </row>
    <row r="27" spans="11:15" x14ac:dyDescent="0.25">
      <c r="K27" s="679" t="s">
        <v>2312</v>
      </c>
      <c r="L27" s="169">
        <f>L21*0.7</f>
        <v>21293807.353</v>
      </c>
      <c r="M27" s="509">
        <f t="shared" si="0"/>
        <v>5.3758598814066791E-2</v>
      </c>
      <c r="N27" s="16"/>
      <c r="O27" s="16"/>
    </row>
    <row r="28" spans="11:15" x14ac:dyDescent="0.25">
      <c r="K28" s="679" t="s">
        <v>2311</v>
      </c>
      <c r="L28" s="169">
        <f>L25*1.2</f>
        <v>12676320.516182398</v>
      </c>
      <c r="M28" s="509">
        <f t="shared" si="0"/>
        <v>3.2002789250930516E-2</v>
      </c>
      <c r="N28" s="16"/>
      <c r="O28" s="16"/>
    </row>
    <row r="29" spans="11:15" x14ac:dyDescent="0.25">
      <c r="K29" s="679" t="s">
        <v>2310</v>
      </c>
      <c r="L29" s="169">
        <f>L26*0.98</f>
        <v>3105698.5264646877</v>
      </c>
      <c r="M29" s="509">
        <f t="shared" si="0"/>
        <v>7.8406833664779775E-3</v>
      </c>
      <c r="N29" s="16"/>
      <c r="O29" s="16"/>
    </row>
    <row r="30" spans="11:15" x14ac:dyDescent="0.25">
      <c r="K30" s="679" t="s">
        <v>2309</v>
      </c>
      <c r="L30" s="169">
        <f>L27*0.76</f>
        <v>16183293.58828</v>
      </c>
      <c r="M30" s="509">
        <f t="shared" si="0"/>
        <v>4.0856535098690763E-2</v>
      </c>
      <c r="N30" s="16"/>
      <c r="O30" s="16"/>
    </row>
    <row r="31" spans="11:15" x14ac:dyDescent="0.25">
      <c r="K31" s="679" t="s">
        <v>2308</v>
      </c>
      <c r="L31" s="169">
        <f>L30*0.45</f>
        <v>7282482.1147260005</v>
      </c>
      <c r="M31" s="509">
        <f t="shared" si="0"/>
        <v>1.8385440794410842E-2</v>
      </c>
      <c r="N31" s="16"/>
      <c r="O31" s="16"/>
    </row>
    <row r="32" spans="11:15" x14ac:dyDescent="0.25">
      <c r="K32" s="679" t="s">
        <v>2307</v>
      </c>
      <c r="L32" s="169">
        <f>L31*0.7</f>
        <v>5097737.4803082002</v>
      </c>
      <c r="M32" s="509">
        <f t="shared" si="0"/>
        <v>1.2869808556087591E-2</v>
      </c>
      <c r="N32" s="16"/>
      <c r="O32" s="16"/>
    </row>
    <row r="33" spans="11:15" x14ac:dyDescent="0.25">
      <c r="K33" s="679" t="s">
        <v>2306</v>
      </c>
      <c r="L33" s="169">
        <f>L30*0.45</f>
        <v>7282482.1147260005</v>
      </c>
      <c r="M33" s="509">
        <f t="shared" si="0"/>
        <v>1.8385440794410842E-2</v>
      </c>
      <c r="N33" s="16"/>
      <c r="O33" s="16"/>
    </row>
    <row r="34" spans="11:15" x14ac:dyDescent="0.25">
      <c r="K34" s="679" t="s">
        <v>2305</v>
      </c>
      <c r="L34" s="169">
        <f>L27*1.4</f>
        <v>29811330.294199999</v>
      </c>
      <c r="M34" s="509">
        <f t="shared" si="0"/>
        <v>7.5262038339693513E-2</v>
      </c>
      <c r="N34" s="16"/>
      <c r="O34" s="16"/>
    </row>
    <row r="35" spans="11:15" x14ac:dyDescent="0.25">
      <c r="K35" s="678" t="s">
        <v>2304</v>
      </c>
      <c r="L35" s="187">
        <f>L26*2</f>
        <v>6338160.2580911992</v>
      </c>
      <c r="M35" s="509">
        <f t="shared" si="0"/>
        <v>1.6001394625465258E-2</v>
      </c>
      <c r="N35" s="16"/>
      <c r="O35" s="16"/>
    </row>
    <row r="36" spans="11:15" x14ac:dyDescent="0.25">
      <c r="K36" s="675" t="s">
        <v>603</v>
      </c>
      <c r="L36" s="169">
        <f>SUM(L16:L35)</f>
        <v>396100490.39128113</v>
      </c>
      <c r="M36" s="509">
        <f t="shared" si="0"/>
        <v>1</v>
      </c>
      <c r="N36" s="16"/>
      <c r="O36" s="16"/>
    </row>
    <row r="37" spans="11:15" x14ac:dyDescent="0.25">
      <c r="K37" s="675"/>
      <c r="L37" s="16"/>
      <c r="M37" s="16"/>
      <c r="N37" s="16"/>
      <c r="O37" s="16"/>
    </row>
    <row r="38" spans="11:15" x14ac:dyDescent="0.25">
      <c r="K38" s="29" t="s">
        <v>2303</v>
      </c>
      <c r="L38" s="676"/>
      <c r="M38" s="672"/>
      <c r="N38" s="676"/>
      <c r="O38" s="676"/>
    </row>
    <row r="39" spans="11:15" x14ac:dyDescent="0.25">
      <c r="K39" s="29" t="s">
        <v>2302</v>
      </c>
      <c r="L39" s="676"/>
      <c r="M39" s="672"/>
      <c r="N39" s="676"/>
      <c r="O39" s="676"/>
    </row>
    <row r="40" spans="11:15" x14ac:dyDescent="0.25">
      <c r="K40" s="672"/>
      <c r="L40" s="676"/>
      <c r="M40" s="672"/>
      <c r="N40" s="676"/>
      <c r="O40" s="676"/>
    </row>
    <row r="41" spans="11:15" x14ac:dyDescent="0.25">
      <c r="K41" s="677" t="s">
        <v>2301</v>
      </c>
      <c r="L41" s="676"/>
      <c r="M41" s="672"/>
      <c r="N41" s="676"/>
      <c r="O41" s="676"/>
    </row>
    <row r="42" spans="11:15" x14ac:dyDescent="0.25">
      <c r="K42" s="677" t="s">
        <v>2300</v>
      </c>
      <c r="L42" s="676"/>
      <c r="M42" s="672"/>
      <c r="N42" s="676"/>
      <c r="O42" s="676"/>
    </row>
    <row r="43" spans="11:15" x14ac:dyDescent="0.25">
      <c r="K43" s="672"/>
      <c r="L43" s="676"/>
      <c r="M43" s="672"/>
      <c r="N43" s="676"/>
      <c r="O43" s="676"/>
    </row>
    <row r="44" spans="11:15" x14ac:dyDescent="0.25">
      <c r="K44" s="672"/>
      <c r="L44" s="676"/>
      <c r="M44" s="672"/>
      <c r="N44" s="676"/>
      <c r="O44" s="676"/>
    </row>
    <row r="45" spans="11:15" x14ac:dyDescent="0.25">
      <c r="K45" s="675" t="s">
        <v>2299</v>
      </c>
      <c r="L45" s="672"/>
      <c r="M45" s="672"/>
      <c r="N45" s="672"/>
      <c r="O45" s="674"/>
    </row>
    <row r="46" spans="11:15" x14ac:dyDescent="0.25">
      <c r="K46" s="672" t="s">
        <v>2298</v>
      </c>
      <c r="L46" s="672"/>
      <c r="M46" s="672"/>
      <c r="N46" s="672"/>
      <c r="O46" s="672"/>
    </row>
    <row r="47" spans="11:15" x14ac:dyDescent="0.25">
      <c r="K47" s="672" t="s">
        <v>2297</v>
      </c>
      <c r="L47" s="672"/>
      <c r="M47" s="672"/>
      <c r="N47" s="672"/>
      <c r="O47" s="672"/>
    </row>
    <row r="48" spans="11:15" x14ac:dyDescent="0.25">
      <c r="K48" s="672" t="s">
        <v>2296</v>
      </c>
      <c r="L48" s="672"/>
      <c r="M48" s="673"/>
      <c r="N48" s="672"/>
      <c r="O48" s="672"/>
    </row>
    <row r="49" spans="11:15" x14ac:dyDescent="0.25">
      <c r="K49" s="672" t="s">
        <v>2295</v>
      </c>
      <c r="L49" s="674"/>
      <c r="M49" s="673"/>
      <c r="N49" s="672"/>
      <c r="O49" s="672"/>
    </row>
    <row r="50" spans="11:15" x14ac:dyDescent="0.25">
      <c r="K50" s="672" t="s">
        <v>2294</v>
      </c>
      <c r="L50" s="672"/>
      <c r="M50" s="673"/>
      <c r="N50" s="672"/>
      <c r="O50" s="672"/>
    </row>
    <row r="51" spans="11:15" x14ac:dyDescent="0.25">
      <c r="K51" s="672"/>
      <c r="L51" s="672"/>
      <c r="M51" s="673"/>
      <c r="N51" s="672"/>
      <c r="O51" s="672"/>
    </row>
    <row r="52" spans="11:15" x14ac:dyDescent="0.25">
      <c r="K52" s="672" t="s">
        <v>2293</v>
      </c>
      <c r="L52" s="672"/>
      <c r="M52" s="673"/>
      <c r="N52" s="672"/>
      <c r="O52" s="672"/>
    </row>
    <row r="53" spans="11:15" x14ac:dyDescent="0.25">
      <c r="K53" s="672" t="s">
        <v>2292</v>
      </c>
      <c r="L53" s="672"/>
      <c r="M53" s="673"/>
      <c r="N53" s="672"/>
      <c r="O53" s="672"/>
    </row>
    <row r="54" spans="11:15" x14ac:dyDescent="0.25">
      <c r="K54" s="672"/>
      <c r="L54" s="174"/>
      <c r="M54" s="672"/>
      <c r="N54" s="672"/>
      <c r="O54" s="672"/>
    </row>
  </sheetData>
  <hyperlinks>
    <hyperlink ref="B4" location="Finansieringsteori!A1" display="Finansieringsteori!A1" xr:uid="{00000000-0004-0000-4200-000000000000}"/>
    <hyperlink ref="K16" r:id="rId1" xr:uid="{00000000-0004-0000-4200-000001000000}"/>
    <hyperlink ref="K17" r:id="rId2" xr:uid="{00000000-0004-0000-4200-000002000000}"/>
    <hyperlink ref="K18" r:id="rId3" xr:uid="{00000000-0004-0000-4200-000003000000}"/>
    <hyperlink ref="K19" r:id="rId4" xr:uid="{00000000-0004-0000-4200-000004000000}"/>
    <hyperlink ref="K20" r:id="rId5" xr:uid="{00000000-0004-0000-4200-000005000000}"/>
    <hyperlink ref="K21" r:id="rId6" xr:uid="{00000000-0004-0000-4200-000006000000}"/>
    <hyperlink ref="K22" r:id="rId7" xr:uid="{00000000-0004-0000-4200-000007000000}"/>
    <hyperlink ref="K23" r:id="rId8" xr:uid="{00000000-0004-0000-4200-000008000000}"/>
    <hyperlink ref="K24" r:id="rId9" xr:uid="{00000000-0004-0000-4200-000009000000}"/>
    <hyperlink ref="K25" r:id="rId10" xr:uid="{00000000-0004-0000-4200-00000A000000}"/>
    <hyperlink ref="K26" r:id="rId11" xr:uid="{00000000-0004-0000-4200-00000B000000}"/>
    <hyperlink ref="K27" r:id="rId12" xr:uid="{00000000-0004-0000-4200-00000C000000}"/>
    <hyperlink ref="K28" r:id="rId13" xr:uid="{00000000-0004-0000-4200-00000D000000}"/>
    <hyperlink ref="K29" r:id="rId14" xr:uid="{00000000-0004-0000-4200-00000E000000}"/>
    <hyperlink ref="K30" r:id="rId15" xr:uid="{00000000-0004-0000-4200-00000F000000}"/>
    <hyperlink ref="K31" r:id="rId16" xr:uid="{00000000-0004-0000-4200-000010000000}"/>
    <hyperlink ref="K32" r:id="rId17" xr:uid="{00000000-0004-0000-4200-000011000000}"/>
    <hyperlink ref="K33" r:id="rId18" xr:uid="{00000000-0004-0000-4200-000012000000}"/>
    <hyperlink ref="K34" r:id="rId19" xr:uid="{00000000-0004-0000-4200-000013000000}"/>
    <hyperlink ref="K35" r:id="rId20" xr:uid="{00000000-0004-0000-4200-000014000000}"/>
  </hyperlinks>
  <pageMargins left="0.75" right="0.75" top="1" bottom="1" header="0.5" footer="0.5"/>
  <drawing r:id="rId2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B050"/>
  </sheetPr>
  <dimension ref="D3"/>
  <sheetViews>
    <sheetView workbookViewId="0">
      <selection activeCell="D3" sqref="D3"/>
    </sheetView>
  </sheetViews>
  <sheetFormatPr defaultColWidth="10.875" defaultRowHeight="15.75" x14ac:dyDescent="0.25"/>
  <cols>
    <col min="1" max="16384" width="10.875" style="1"/>
  </cols>
  <sheetData>
    <row r="3" spans="4:4" x14ac:dyDescent="0.25">
      <c r="D3" s="101" t="s">
        <v>1612</v>
      </c>
    </row>
  </sheetData>
  <hyperlinks>
    <hyperlink ref="D3" location="Finansieringsteori!A1" display="Finansieringsteori!A1" xr:uid="{00000000-0004-0000-4300-000000000000}"/>
  </hyperlinks>
  <pageMargins left="0.75" right="0.75" top="1" bottom="1" header="0.5" footer="0.5"/>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00B050"/>
  </sheetPr>
  <dimension ref="C5"/>
  <sheetViews>
    <sheetView workbookViewId="0">
      <selection activeCell="C5" sqref="C5"/>
    </sheetView>
  </sheetViews>
  <sheetFormatPr defaultColWidth="10.875" defaultRowHeight="15.75" x14ac:dyDescent="0.25"/>
  <cols>
    <col min="1" max="16384" width="10.875" style="1"/>
  </cols>
  <sheetData>
    <row r="5" spans="3:3" x14ac:dyDescent="0.25">
      <c r="C5" s="101" t="s">
        <v>1612</v>
      </c>
    </row>
  </sheetData>
  <hyperlinks>
    <hyperlink ref="C5" location="Finansieringsteori!A1" display="Finansieringsteori!A1" xr:uid="{00000000-0004-0000-4400-000000000000}"/>
  </hyperlinks>
  <pageMargins left="0.75" right="0.75" top="1" bottom="1" header="0.5" footer="0.5"/>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00B050"/>
  </sheetPr>
  <dimension ref="C3"/>
  <sheetViews>
    <sheetView workbookViewId="0">
      <selection activeCell="C3" sqref="C3"/>
    </sheetView>
  </sheetViews>
  <sheetFormatPr defaultColWidth="10.875" defaultRowHeight="15.75" x14ac:dyDescent="0.25"/>
  <cols>
    <col min="1" max="16384" width="10.875" style="1"/>
  </cols>
  <sheetData>
    <row r="3" spans="3:3" x14ac:dyDescent="0.25">
      <c r="C3" s="101" t="s">
        <v>1612</v>
      </c>
    </row>
  </sheetData>
  <hyperlinks>
    <hyperlink ref="C3" location="Finansieringsteori!A1" display="Finansieringsteori!A1" xr:uid="{00000000-0004-0000-4500-000000000000}"/>
  </hyperlinks>
  <pageMargins left="0.75" right="0.75" top="1" bottom="1" header="0.5" footer="0.5"/>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00B050"/>
  </sheetPr>
  <dimension ref="C4"/>
  <sheetViews>
    <sheetView workbookViewId="0">
      <selection activeCell="J23" sqref="J23"/>
    </sheetView>
  </sheetViews>
  <sheetFormatPr defaultColWidth="10.875" defaultRowHeight="15.75" x14ac:dyDescent="0.25"/>
  <cols>
    <col min="1" max="16384" width="10.875" style="1"/>
  </cols>
  <sheetData>
    <row r="4" spans="3:3" x14ac:dyDescent="0.25">
      <c r="C4" s="101" t="s">
        <v>1612</v>
      </c>
    </row>
  </sheetData>
  <hyperlinks>
    <hyperlink ref="C4" location="Finansieringsteori!A1" display="Finansieringsteori!A1" xr:uid="{00000000-0004-0000-4600-000000000000}"/>
  </hyperlinks>
  <pageMargins left="0.75" right="0.75" top="1" bottom="1" header="0.5" footer="0.5"/>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00B050"/>
  </sheetPr>
  <dimension ref="D4:S67"/>
  <sheetViews>
    <sheetView workbookViewId="0">
      <selection activeCell="D4" sqref="D4"/>
    </sheetView>
  </sheetViews>
  <sheetFormatPr defaultColWidth="10.875" defaultRowHeight="15.75" x14ac:dyDescent="0.25"/>
  <cols>
    <col min="1" max="16384" width="10.875" style="1"/>
  </cols>
  <sheetData>
    <row r="4" spans="4:11" x14ac:dyDescent="0.25">
      <c r="D4" s="101" t="s">
        <v>1612</v>
      </c>
    </row>
    <row r="10" spans="4:11" x14ac:dyDescent="0.25">
      <c r="K10" s="1" t="s">
        <v>2445</v>
      </c>
    </row>
    <row r="11" spans="4:11" x14ac:dyDescent="0.25">
      <c r="K11" s="1" t="s">
        <v>2444</v>
      </c>
    </row>
    <row r="12" spans="4:11" x14ac:dyDescent="0.25">
      <c r="K12" s="1" t="s">
        <v>2443</v>
      </c>
    </row>
    <row r="13" spans="4:11" x14ac:dyDescent="0.25">
      <c r="K13" s="1" t="s">
        <v>2442</v>
      </c>
    </row>
    <row r="14" spans="4:11" x14ac:dyDescent="0.25">
      <c r="K14" s="1" t="s">
        <v>2441</v>
      </c>
    </row>
    <row r="16" spans="4:11" x14ac:dyDescent="0.25">
      <c r="K16" s="1" t="s">
        <v>2440</v>
      </c>
    </row>
    <row r="18" spans="11:19" x14ac:dyDescent="0.25">
      <c r="K18" s="278" t="s">
        <v>2439</v>
      </c>
    </row>
    <row r="19" spans="11:19" x14ac:dyDescent="0.25">
      <c r="K19" s="278" t="s">
        <v>2438</v>
      </c>
    </row>
    <row r="20" spans="11:19" x14ac:dyDescent="0.25">
      <c r="K20" s="278" t="s">
        <v>2437</v>
      </c>
    </row>
    <row r="21" spans="11:19" x14ac:dyDescent="0.25">
      <c r="K21" s="278" t="s">
        <v>2436</v>
      </c>
    </row>
    <row r="25" spans="11:19" x14ac:dyDescent="0.25">
      <c r="L25" s="970" t="s">
        <v>2435</v>
      </c>
      <c r="M25" s="970"/>
      <c r="N25" s="608"/>
      <c r="O25" s="970" t="s">
        <v>2434</v>
      </c>
      <c r="P25" s="970"/>
      <c r="Q25" s="608"/>
      <c r="R25" s="970" t="s">
        <v>2433</v>
      </c>
      <c r="S25" s="970"/>
    </row>
    <row r="26" spans="11:19" x14ac:dyDescent="0.25">
      <c r="K26" s="89" t="s">
        <v>2432</v>
      </c>
      <c r="L26" s="755" t="s">
        <v>2431</v>
      </c>
      <c r="M26" s="755" t="s">
        <v>2430</v>
      </c>
      <c r="N26" s="755"/>
      <c r="O26" s="755" t="s">
        <v>2431</v>
      </c>
      <c r="P26" s="755" t="s">
        <v>2430</v>
      </c>
      <c r="Q26" s="755"/>
      <c r="R26" s="755" t="s">
        <v>2431</v>
      </c>
      <c r="S26" s="755" t="s">
        <v>2430</v>
      </c>
    </row>
    <row r="27" spans="11:19" x14ac:dyDescent="0.25">
      <c r="K27" s="13">
        <v>-20</v>
      </c>
      <c r="L27" s="1">
        <v>9.2999999999999999E-2</v>
      </c>
      <c r="M27" s="752">
        <f>+L27</f>
        <v>9.2999999999999999E-2</v>
      </c>
      <c r="O27" s="753">
        <v>0.08</v>
      </c>
      <c r="P27" s="754">
        <f>+O27</f>
        <v>0.08</v>
      </c>
      <c r="Q27" s="753"/>
      <c r="R27" s="1">
        <v>-0.107</v>
      </c>
      <c r="S27" s="752">
        <f>+R27</f>
        <v>-0.107</v>
      </c>
    </row>
    <row r="28" spans="11:19" x14ac:dyDescent="0.25">
      <c r="K28" s="14">
        <v>-19</v>
      </c>
      <c r="L28" s="1">
        <v>-0.17699999999999999</v>
      </c>
      <c r="M28" s="752">
        <f t="shared" ref="M28:M67" si="0">+M27+L28</f>
        <v>-8.3999999999999991E-2</v>
      </c>
      <c r="O28" s="753">
        <v>1.7999999999999999E-2</v>
      </c>
      <c r="P28" s="754">
        <f t="shared" ref="P28:P67" si="1">+P27+O28</f>
        <v>9.8000000000000004E-2</v>
      </c>
      <c r="Q28" s="753"/>
      <c r="R28" s="1">
        <v>-0.18</v>
      </c>
      <c r="S28" s="752">
        <f t="shared" ref="S28:S67" si="2">+S27+R28</f>
        <v>-0.28699999999999998</v>
      </c>
    </row>
    <row r="29" spans="11:19" x14ac:dyDescent="0.25">
      <c r="K29" s="14">
        <v>-18</v>
      </c>
      <c r="L29" s="1">
        <v>8.7999999999999995E-2</v>
      </c>
      <c r="M29" s="752">
        <f t="shared" si="0"/>
        <v>4.0000000000000036E-3</v>
      </c>
      <c r="O29" s="753">
        <v>1.2E-2</v>
      </c>
      <c r="P29" s="754">
        <f t="shared" si="1"/>
        <v>0.11</v>
      </c>
      <c r="Q29" s="753"/>
      <c r="R29" s="1">
        <v>2.9000000000000001E-2</v>
      </c>
      <c r="S29" s="752">
        <f t="shared" si="2"/>
        <v>-0.25799999999999995</v>
      </c>
    </row>
    <row r="30" spans="11:19" x14ac:dyDescent="0.25">
      <c r="K30" s="14">
        <v>-17</v>
      </c>
      <c r="L30" s="1">
        <v>2.4E-2</v>
      </c>
      <c r="M30" s="752">
        <f t="shared" si="0"/>
        <v>2.8000000000000004E-2</v>
      </c>
      <c r="O30" s="753">
        <v>-0.151</v>
      </c>
      <c r="P30" s="754">
        <f t="shared" si="1"/>
        <v>-4.0999999999999995E-2</v>
      </c>
      <c r="Q30" s="753"/>
      <c r="R30" s="1">
        <v>-7.9000000000000001E-2</v>
      </c>
      <c r="S30" s="752">
        <f t="shared" si="2"/>
        <v>-0.33699999999999997</v>
      </c>
    </row>
    <row r="31" spans="11:19" x14ac:dyDescent="0.25">
      <c r="K31" s="14">
        <v>-16</v>
      </c>
      <c r="L31" s="1">
        <v>-1.7999999999999999E-2</v>
      </c>
      <c r="M31" s="752">
        <f t="shared" si="0"/>
        <v>1.0000000000000005E-2</v>
      </c>
      <c r="O31" s="753">
        <v>-1.9E-2</v>
      </c>
      <c r="P31" s="754">
        <f t="shared" si="1"/>
        <v>-0.06</v>
      </c>
      <c r="Q31" s="753"/>
      <c r="R31" s="1">
        <v>-0.01</v>
      </c>
      <c r="S31" s="752">
        <f t="shared" si="2"/>
        <v>-0.34699999999999998</v>
      </c>
    </row>
    <row r="32" spans="11:19" x14ac:dyDescent="0.25">
      <c r="K32" s="14">
        <v>-15</v>
      </c>
      <c r="L32" s="1">
        <v>-0.04</v>
      </c>
      <c r="M32" s="752">
        <f t="shared" si="0"/>
        <v>-2.9999999999999995E-2</v>
      </c>
      <c r="O32" s="753">
        <v>1.2999999999999999E-2</v>
      </c>
      <c r="P32" s="754">
        <f t="shared" si="1"/>
        <v>-4.7E-2</v>
      </c>
      <c r="Q32" s="753"/>
      <c r="R32" s="1">
        <v>-5.3999999999999999E-2</v>
      </c>
      <c r="S32" s="752">
        <f t="shared" si="2"/>
        <v>-0.40099999999999997</v>
      </c>
    </row>
    <row r="33" spans="11:19" x14ac:dyDescent="0.25">
      <c r="K33" s="14">
        <v>-14</v>
      </c>
      <c r="L33" s="1">
        <v>3.7999999999999999E-2</v>
      </c>
      <c r="M33" s="752">
        <f t="shared" si="0"/>
        <v>8.0000000000000036E-3</v>
      </c>
      <c r="O33" s="753">
        <v>0.04</v>
      </c>
      <c r="P33" s="754">
        <f t="shared" si="1"/>
        <v>-6.9999999999999993E-3</v>
      </c>
      <c r="Q33" s="753"/>
      <c r="R33" s="1">
        <v>-2.1000000000000001E-2</v>
      </c>
      <c r="S33" s="752">
        <f t="shared" si="2"/>
        <v>-0.42199999999999999</v>
      </c>
    </row>
    <row r="34" spans="11:19" x14ac:dyDescent="0.25">
      <c r="K34" s="14">
        <v>-13</v>
      </c>
      <c r="L34" s="1">
        <v>5.6000000000000001E-2</v>
      </c>
      <c r="M34" s="752">
        <f t="shared" si="0"/>
        <v>6.4000000000000001E-2</v>
      </c>
      <c r="O34" s="753">
        <v>-5.7000000000000002E-2</v>
      </c>
      <c r="P34" s="754">
        <f t="shared" si="1"/>
        <v>-6.4000000000000001E-2</v>
      </c>
      <c r="Q34" s="753"/>
      <c r="R34" s="1">
        <v>7.0000000000000001E-3</v>
      </c>
      <c r="S34" s="752">
        <f t="shared" si="2"/>
        <v>-0.41499999999999998</v>
      </c>
    </row>
    <row r="35" spans="11:19" x14ac:dyDescent="0.25">
      <c r="K35" s="14">
        <v>-12</v>
      </c>
      <c r="L35" s="1">
        <v>6.5000000000000002E-2</v>
      </c>
      <c r="M35" s="752">
        <f t="shared" si="0"/>
        <v>0.129</v>
      </c>
      <c r="O35" s="753">
        <v>0.14599999999999999</v>
      </c>
      <c r="P35" s="754">
        <f t="shared" si="1"/>
        <v>8.199999999999999E-2</v>
      </c>
      <c r="Q35" s="753"/>
      <c r="R35" s="1">
        <v>-0.09</v>
      </c>
      <c r="S35" s="752">
        <f t="shared" si="2"/>
        <v>-0.505</v>
      </c>
    </row>
    <row r="36" spans="11:19" x14ac:dyDescent="0.25">
      <c r="K36" s="14">
        <v>-11</v>
      </c>
      <c r="L36" s="1">
        <v>6.9000000000000006E-2</v>
      </c>
      <c r="M36" s="752">
        <f t="shared" si="0"/>
        <v>0.19800000000000001</v>
      </c>
      <c r="O36" s="753">
        <v>-0.02</v>
      </c>
      <c r="P36" s="754">
        <f t="shared" si="1"/>
        <v>6.1999999999999986E-2</v>
      </c>
      <c r="Q36" s="753"/>
      <c r="R36" s="1">
        <v>-8.7999999999999995E-2</v>
      </c>
      <c r="S36" s="752">
        <f t="shared" si="2"/>
        <v>-0.59299999999999997</v>
      </c>
    </row>
    <row r="37" spans="11:19" x14ac:dyDescent="0.25">
      <c r="K37" s="14">
        <v>-10</v>
      </c>
      <c r="L37" s="1">
        <v>2.8000000000000001E-2</v>
      </c>
      <c r="M37" s="752">
        <f t="shared" si="0"/>
        <v>0.22600000000000001</v>
      </c>
      <c r="O37" s="753">
        <v>2.5000000000000001E-2</v>
      </c>
      <c r="P37" s="754">
        <f t="shared" si="1"/>
        <v>8.6999999999999994E-2</v>
      </c>
      <c r="Q37" s="753"/>
      <c r="R37" s="1">
        <v>-9.1999999999999998E-2</v>
      </c>
      <c r="S37" s="752">
        <f t="shared" si="2"/>
        <v>-0.68499999999999994</v>
      </c>
    </row>
    <row r="38" spans="11:19" x14ac:dyDescent="0.25">
      <c r="K38" s="14">
        <v>-9</v>
      </c>
      <c r="L38" s="1">
        <v>0.155</v>
      </c>
      <c r="M38" s="752">
        <f t="shared" si="0"/>
        <v>0.38100000000000001</v>
      </c>
      <c r="O38" s="753">
        <v>0.115</v>
      </c>
      <c r="P38" s="754">
        <f t="shared" si="1"/>
        <v>0.20200000000000001</v>
      </c>
      <c r="Q38" s="753"/>
      <c r="R38" s="1">
        <v>-0.04</v>
      </c>
      <c r="S38" s="752">
        <f t="shared" si="2"/>
        <v>-0.72499999999999998</v>
      </c>
    </row>
    <row r="39" spans="11:19" x14ac:dyDescent="0.25">
      <c r="K39" s="14">
        <v>-8</v>
      </c>
      <c r="L39" s="1">
        <v>5.7000000000000002E-2</v>
      </c>
      <c r="M39" s="752">
        <f t="shared" si="0"/>
        <v>0.438</v>
      </c>
      <c r="O39" s="753">
        <v>7.0000000000000007E-2</v>
      </c>
      <c r="P39" s="754">
        <f t="shared" si="1"/>
        <v>0.27200000000000002</v>
      </c>
      <c r="Q39" s="753"/>
      <c r="R39" s="1">
        <v>7.1999999999999995E-2</v>
      </c>
      <c r="S39" s="752">
        <f t="shared" si="2"/>
        <v>-0.65300000000000002</v>
      </c>
    </row>
    <row r="40" spans="11:19" x14ac:dyDescent="0.25">
      <c r="K40" s="14">
        <v>-7</v>
      </c>
      <c r="L40" s="1">
        <v>-0.01</v>
      </c>
      <c r="M40" s="752">
        <f t="shared" si="0"/>
        <v>0.42799999999999999</v>
      </c>
      <c r="O40" s="753">
        <v>-0.106</v>
      </c>
      <c r="P40" s="754">
        <f t="shared" si="1"/>
        <v>0.16600000000000004</v>
      </c>
      <c r="Q40" s="753"/>
      <c r="R40" s="1">
        <v>-2.5999999999999999E-2</v>
      </c>
      <c r="S40" s="752">
        <f t="shared" si="2"/>
        <v>-0.67900000000000005</v>
      </c>
    </row>
    <row r="41" spans="11:19" x14ac:dyDescent="0.25">
      <c r="K41" s="14">
        <v>-6</v>
      </c>
      <c r="L41" s="1">
        <v>0.104</v>
      </c>
      <c r="M41" s="752">
        <f t="shared" si="0"/>
        <v>0.53200000000000003</v>
      </c>
      <c r="O41" s="753">
        <v>2.5999999999999999E-2</v>
      </c>
      <c r="P41" s="754">
        <f t="shared" si="1"/>
        <v>0.19200000000000003</v>
      </c>
      <c r="Q41" s="753"/>
      <c r="R41" s="1">
        <v>-1.2999999999999999E-2</v>
      </c>
      <c r="S41" s="752">
        <f t="shared" si="2"/>
        <v>-0.69200000000000006</v>
      </c>
    </row>
    <row r="42" spans="11:19" x14ac:dyDescent="0.25">
      <c r="K42" s="14">
        <v>-5</v>
      </c>
      <c r="L42" s="1">
        <v>8.5000000000000006E-2</v>
      </c>
      <c r="M42" s="752">
        <f t="shared" si="0"/>
        <v>0.61699999999999999</v>
      </c>
      <c r="O42" s="753">
        <v>-8.5000000000000006E-2</v>
      </c>
      <c r="P42" s="754">
        <f t="shared" si="1"/>
        <v>0.10700000000000003</v>
      </c>
      <c r="Q42" s="753"/>
      <c r="R42" s="1">
        <v>0.16400000000000001</v>
      </c>
      <c r="S42" s="752">
        <f t="shared" si="2"/>
        <v>-0.52800000000000002</v>
      </c>
    </row>
    <row r="43" spans="11:19" x14ac:dyDescent="0.25">
      <c r="K43" s="14">
        <v>-4</v>
      </c>
      <c r="L43" s="1">
        <v>9.9000000000000005E-2</v>
      </c>
      <c r="M43" s="752">
        <f t="shared" si="0"/>
        <v>0.71599999999999997</v>
      </c>
      <c r="O43" s="753">
        <v>0.04</v>
      </c>
      <c r="P43" s="754">
        <f t="shared" si="1"/>
        <v>0.14700000000000002</v>
      </c>
      <c r="Q43" s="753"/>
      <c r="R43" s="1">
        <v>-0.13900000000000001</v>
      </c>
      <c r="S43" s="752">
        <f t="shared" si="2"/>
        <v>-0.66700000000000004</v>
      </c>
    </row>
    <row r="44" spans="11:19" x14ac:dyDescent="0.25">
      <c r="K44" s="14">
        <v>-3</v>
      </c>
      <c r="L44" s="1">
        <v>0.11700000000000001</v>
      </c>
      <c r="M44" s="752">
        <f t="shared" si="0"/>
        <v>0.83299999999999996</v>
      </c>
      <c r="O44" s="753">
        <v>3.5999999999999997E-2</v>
      </c>
      <c r="P44" s="754">
        <f t="shared" si="1"/>
        <v>0.18300000000000002</v>
      </c>
      <c r="Q44" s="753"/>
      <c r="R44" s="1">
        <v>9.8000000000000004E-2</v>
      </c>
      <c r="S44" s="752">
        <f t="shared" si="2"/>
        <v>-0.56900000000000006</v>
      </c>
    </row>
    <row r="45" spans="11:19" x14ac:dyDescent="0.25">
      <c r="K45" s="14">
        <v>-2</v>
      </c>
      <c r="L45" s="1">
        <v>6.0000000000000001E-3</v>
      </c>
      <c r="M45" s="752">
        <f t="shared" si="0"/>
        <v>0.83899999999999997</v>
      </c>
      <c r="O45" s="753">
        <v>0.22600000000000001</v>
      </c>
      <c r="P45" s="754">
        <f t="shared" si="1"/>
        <v>0.40900000000000003</v>
      </c>
      <c r="Q45" s="753"/>
      <c r="R45" s="1">
        <v>-0.112</v>
      </c>
      <c r="S45" s="752">
        <f t="shared" si="2"/>
        <v>-0.68100000000000005</v>
      </c>
    </row>
    <row r="46" spans="11:19" x14ac:dyDescent="0.25">
      <c r="K46" s="14">
        <v>-1</v>
      </c>
      <c r="L46" s="1">
        <v>0.16400000000000001</v>
      </c>
      <c r="M46" s="752">
        <f t="shared" si="0"/>
        <v>1.0029999999999999</v>
      </c>
      <c r="O46" s="753">
        <v>-0.16800000000000001</v>
      </c>
      <c r="P46" s="754">
        <f t="shared" si="1"/>
        <v>0.24100000000000002</v>
      </c>
      <c r="Q46" s="753"/>
      <c r="R46" s="1">
        <v>-0.18</v>
      </c>
      <c r="S46" s="752">
        <f t="shared" si="2"/>
        <v>-0.86099999999999999</v>
      </c>
    </row>
    <row r="47" spans="11:19" x14ac:dyDescent="0.25">
      <c r="K47" s="14">
        <v>0</v>
      </c>
      <c r="L47" s="1">
        <v>0.96499999999999997</v>
      </c>
      <c r="M47" s="752">
        <f t="shared" si="0"/>
        <v>1.968</v>
      </c>
      <c r="O47" s="753">
        <v>-9.0999999999999998E-2</v>
      </c>
      <c r="P47" s="754">
        <f t="shared" si="1"/>
        <v>0.15000000000000002</v>
      </c>
      <c r="Q47" s="753"/>
      <c r="R47" s="1">
        <v>-0.67900000000000005</v>
      </c>
      <c r="S47" s="752">
        <f t="shared" si="2"/>
        <v>-1.54</v>
      </c>
    </row>
    <row r="48" spans="11:19" x14ac:dyDescent="0.25">
      <c r="K48" s="14">
        <v>1</v>
      </c>
      <c r="L48" s="1">
        <v>0.251</v>
      </c>
      <c r="M48" s="752">
        <f t="shared" si="0"/>
        <v>2.2189999999999999</v>
      </c>
      <c r="O48" s="753">
        <v>-8.0000000000000002E-3</v>
      </c>
      <c r="P48" s="754">
        <f t="shared" si="1"/>
        <v>0.14200000000000002</v>
      </c>
      <c r="Q48" s="753"/>
      <c r="R48" s="1">
        <v>-0.20399999999999999</v>
      </c>
      <c r="S48" s="752">
        <f t="shared" si="2"/>
        <v>-1.744</v>
      </c>
    </row>
    <row r="49" spans="11:19" x14ac:dyDescent="0.25">
      <c r="K49" s="14">
        <v>2</v>
      </c>
      <c r="L49" s="1">
        <v>-1.4E-2</v>
      </c>
      <c r="M49" s="752">
        <f t="shared" si="0"/>
        <v>2.2050000000000001</v>
      </c>
      <c r="O49" s="753">
        <v>7.0000000000000001E-3</v>
      </c>
      <c r="P49" s="754">
        <f t="shared" si="1"/>
        <v>0.14900000000000002</v>
      </c>
      <c r="Q49" s="753"/>
      <c r="R49" s="1">
        <v>7.1999999999999995E-2</v>
      </c>
      <c r="S49" s="752">
        <f t="shared" si="2"/>
        <v>-1.6719999999999999</v>
      </c>
    </row>
    <row r="50" spans="11:19" x14ac:dyDescent="0.25">
      <c r="K50" s="14">
        <v>3</v>
      </c>
      <c r="L50" s="1">
        <v>-0.16400000000000001</v>
      </c>
      <c r="M50" s="752">
        <f t="shared" si="0"/>
        <v>2.0409999999999999</v>
      </c>
      <c r="O50" s="753">
        <v>4.2000000000000003E-2</v>
      </c>
      <c r="P50" s="754">
        <f t="shared" si="1"/>
        <v>0.19100000000000003</v>
      </c>
      <c r="Q50" s="753"/>
      <c r="R50" s="1">
        <v>8.3000000000000004E-2</v>
      </c>
      <c r="S50" s="752">
        <f t="shared" si="2"/>
        <v>-1.589</v>
      </c>
    </row>
    <row r="51" spans="11:19" x14ac:dyDescent="0.25">
      <c r="K51" s="14">
        <v>4</v>
      </c>
      <c r="L51" s="1">
        <v>-1.4E-2</v>
      </c>
      <c r="M51" s="752">
        <f t="shared" si="0"/>
        <v>2.0270000000000001</v>
      </c>
      <c r="O51" s="753">
        <v>0</v>
      </c>
      <c r="P51" s="754">
        <f t="shared" si="1"/>
        <v>0.19100000000000003</v>
      </c>
      <c r="Q51" s="753"/>
      <c r="R51" s="1">
        <v>0.106</v>
      </c>
      <c r="S51" s="752">
        <f t="shared" si="2"/>
        <v>-1.4829999999999999</v>
      </c>
    </row>
    <row r="52" spans="11:19" x14ac:dyDescent="0.25">
      <c r="K52" s="14">
        <v>5</v>
      </c>
      <c r="L52" s="1">
        <v>0.13500000000000001</v>
      </c>
      <c r="M52" s="752">
        <f t="shared" si="0"/>
        <v>2.1619999999999999</v>
      </c>
      <c r="O52" s="753">
        <v>-3.7999999999999999E-2</v>
      </c>
      <c r="P52" s="754">
        <f t="shared" si="1"/>
        <v>0.15300000000000002</v>
      </c>
      <c r="Q52" s="753"/>
      <c r="R52" s="1">
        <v>0.19400000000000001</v>
      </c>
      <c r="S52" s="752">
        <f t="shared" si="2"/>
        <v>-1.2889999999999999</v>
      </c>
    </row>
    <row r="53" spans="11:19" x14ac:dyDescent="0.25">
      <c r="K53" s="14">
        <v>6</v>
      </c>
      <c r="L53" s="1">
        <v>-5.1999999999999998E-2</v>
      </c>
      <c r="M53" s="752">
        <f t="shared" si="0"/>
        <v>2.11</v>
      </c>
      <c r="O53" s="753">
        <v>-0.30199999999999999</v>
      </c>
      <c r="P53" s="754">
        <f t="shared" si="1"/>
        <v>-0.14899999999999997</v>
      </c>
      <c r="Q53" s="753"/>
      <c r="R53" s="1">
        <v>7.5999999999999998E-2</v>
      </c>
      <c r="S53" s="752">
        <f t="shared" si="2"/>
        <v>-1.2129999999999999</v>
      </c>
    </row>
    <row r="54" spans="11:19" x14ac:dyDescent="0.25">
      <c r="K54" s="14">
        <v>7</v>
      </c>
      <c r="L54" s="1">
        <v>0.06</v>
      </c>
      <c r="M54" s="752">
        <f t="shared" si="0"/>
        <v>2.17</v>
      </c>
      <c r="O54" s="753">
        <v>-0.19900000000000001</v>
      </c>
      <c r="P54" s="754">
        <f t="shared" si="1"/>
        <v>-0.34799999999999998</v>
      </c>
      <c r="Q54" s="753"/>
      <c r="R54" s="1">
        <v>0.12</v>
      </c>
      <c r="S54" s="752">
        <f t="shared" si="2"/>
        <v>-1.093</v>
      </c>
    </row>
    <row r="55" spans="11:19" x14ac:dyDescent="0.25">
      <c r="K55" s="14">
        <v>8</v>
      </c>
      <c r="L55" s="1">
        <v>0.155</v>
      </c>
      <c r="M55" s="752">
        <f t="shared" si="0"/>
        <v>2.3249999999999997</v>
      </c>
      <c r="O55" s="753">
        <v>-0.108</v>
      </c>
      <c r="P55" s="754">
        <f t="shared" si="1"/>
        <v>-0.45599999999999996</v>
      </c>
      <c r="Q55" s="753"/>
      <c r="R55" s="1">
        <v>-4.1000000000000002E-2</v>
      </c>
      <c r="S55" s="752">
        <f t="shared" si="2"/>
        <v>-1.1339999999999999</v>
      </c>
    </row>
    <row r="56" spans="11:19" x14ac:dyDescent="0.25">
      <c r="K56" s="14">
        <v>9</v>
      </c>
      <c r="L56" s="1">
        <v>-8.0000000000000002E-3</v>
      </c>
      <c r="M56" s="752">
        <f t="shared" si="0"/>
        <v>2.3169999999999997</v>
      </c>
      <c r="O56" s="753">
        <v>-0.14599999999999999</v>
      </c>
      <c r="P56" s="754">
        <f t="shared" si="1"/>
        <v>-0.60199999999999998</v>
      </c>
      <c r="Q56" s="753"/>
      <c r="R56" s="1">
        <v>-6.9000000000000006E-2</v>
      </c>
      <c r="S56" s="752">
        <f t="shared" si="2"/>
        <v>-1.2029999999999998</v>
      </c>
    </row>
    <row r="57" spans="11:19" x14ac:dyDescent="0.25">
      <c r="K57" s="14">
        <v>10</v>
      </c>
      <c r="L57" s="1">
        <v>0.16400000000000001</v>
      </c>
      <c r="M57" s="752">
        <f t="shared" si="0"/>
        <v>2.4809999999999999</v>
      </c>
      <c r="O57" s="753">
        <v>8.2000000000000003E-2</v>
      </c>
      <c r="P57" s="754">
        <f t="shared" si="1"/>
        <v>-0.52</v>
      </c>
      <c r="Q57" s="753"/>
      <c r="R57" s="1">
        <v>0.13</v>
      </c>
      <c r="S57" s="752">
        <f t="shared" si="2"/>
        <v>-1.073</v>
      </c>
    </row>
    <row r="58" spans="11:19" x14ac:dyDescent="0.25">
      <c r="K58" s="14">
        <v>11</v>
      </c>
      <c r="L58" s="1">
        <v>-8.1000000000000003E-2</v>
      </c>
      <c r="M58" s="752">
        <f t="shared" si="0"/>
        <v>2.4</v>
      </c>
      <c r="O58" s="753">
        <v>0.04</v>
      </c>
      <c r="P58" s="754">
        <f t="shared" si="1"/>
        <v>-0.48000000000000004</v>
      </c>
      <c r="Q58" s="753"/>
      <c r="R58" s="1">
        <v>-8.9999999999999993E-3</v>
      </c>
      <c r="S58" s="752">
        <f t="shared" si="2"/>
        <v>-1.0819999999999999</v>
      </c>
    </row>
    <row r="59" spans="11:19" x14ac:dyDescent="0.25">
      <c r="K59" s="14">
        <v>12</v>
      </c>
      <c r="L59" s="1">
        <v>-5.8000000000000003E-2</v>
      </c>
      <c r="M59" s="752">
        <f t="shared" si="0"/>
        <v>2.3420000000000001</v>
      </c>
      <c r="O59" s="753">
        <v>0.246</v>
      </c>
      <c r="P59" s="754">
        <f t="shared" si="1"/>
        <v>-0.23400000000000004</v>
      </c>
      <c r="Q59" s="753"/>
      <c r="R59" s="1">
        <v>-3.7999999999999999E-2</v>
      </c>
      <c r="S59" s="752">
        <f t="shared" si="2"/>
        <v>-1.1199999999999999</v>
      </c>
    </row>
    <row r="60" spans="11:19" x14ac:dyDescent="0.25">
      <c r="K60" s="14">
        <v>13</v>
      </c>
      <c r="L60" s="1">
        <v>-0.16500000000000001</v>
      </c>
      <c r="M60" s="752">
        <f t="shared" si="0"/>
        <v>2.177</v>
      </c>
      <c r="O60" s="753">
        <v>1.4E-2</v>
      </c>
      <c r="P60" s="754">
        <f t="shared" si="1"/>
        <v>-0.22000000000000003</v>
      </c>
      <c r="Q60" s="753"/>
      <c r="R60" s="1">
        <v>7.0999999999999994E-2</v>
      </c>
      <c r="S60" s="752">
        <f t="shared" si="2"/>
        <v>-1.0489999999999999</v>
      </c>
    </row>
    <row r="61" spans="11:19" x14ac:dyDescent="0.25">
      <c r="K61" s="14">
        <v>14</v>
      </c>
      <c r="L61" s="1">
        <v>-8.1000000000000003E-2</v>
      </c>
      <c r="M61" s="752">
        <f t="shared" si="0"/>
        <v>2.0960000000000001</v>
      </c>
      <c r="O61" s="753">
        <v>-9.0999999999999998E-2</v>
      </c>
      <c r="P61" s="754">
        <f t="shared" si="1"/>
        <v>-0.31100000000000005</v>
      </c>
      <c r="Q61" s="753"/>
      <c r="R61" s="1">
        <v>1.9E-2</v>
      </c>
      <c r="S61" s="752">
        <f t="shared" si="2"/>
        <v>-1.03</v>
      </c>
    </row>
    <row r="62" spans="11:19" x14ac:dyDescent="0.25">
      <c r="K62" s="14">
        <v>15</v>
      </c>
      <c r="L62" s="1">
        <v>7.0000000000000001E-3</v>
      </c>
      <c r="M62" s="752">
        <f t="shared" si="0"/>
        <v>2.1030000000000002</v>
      </c>
      <c r="O62" s="753">
        <v>-1E-3</v>
      </c>
      <c r="P62" s="754">
        <f t="shared" si="1"/>
        <v>-0.31200000000000006</v>
      </c>
      <c r="Q62" s="753"/>
      <c r="R62" s="1">
        <v>-4.2999999999999997E-2</v>
      </c>
      <c r="S62" s="752">
        <f t="shared" si="2"/>
        <v>-1.073</v>
      </c>
    </row>
    <row r="63" spans="11:19" x14ac:dyDescent="0.25">
      <c r="K63" s="14">
        <v>16</v>
      </c>
      <c r="L63" s="1">
        <v>6.5000000000000002E-2</v>
      </c>
      <c r="M63" s="752">
        <f t="shared" si="0"/>
        <v>2.1680000000000001</v>
      </c>
      <c r="O63" s="753">
        <v>-0.02</v>
      </c>
      <c r="P63" s="754">
        <f t="shared" si="1"/>
        <v>-0.33200000000000007</v>
      </c>
      <c r="Q63" s="753"/>
      <c r="R63" s="1">
        <v>-8.5999999999999993E-2</v>
      </c>
      <c r="S63" s="752">
        <f t="shared" si="2"/>
        <v>-1.159</v>
      </c>
    </row>
    <row r="64" spans="11:19" x14ac:dyDescent="0.25">
      <c r="K64" s="14">
        <v>17</v>
      </c>
      <c r="L64" s="1">
        <v>8.1000000000000003E-2</v>
      </c>
      <c r="M64" s="752">
        <f t="shared" si="0"/>
        <v>2.2490000000000001</v>
      </c>
      <c r="O64" s="753">
        <v>1.7000000000000001E-2</v>
      </c>
      <c r="P64" s="754">
        <f t="shared" si="1"/>
        <v>-0.31500000000000006</v>
      </c>
      <c r="Q64" s="753"/>
      <c r="R64" s="1">
        <v>-0.05</v>
      </c>
      <c r="S64" s="752">
        <f t="shared" si="2"/>
        <v>-1.2090000000000001</v>
      </c>
    </row>
    <row r="65" spans="11:19" x14ac:dyDescent="0.25">
      <c r="K65" s="14">
        <v>18</v>
      </c>
      <c r="L65" s="1">
        <v>0.17199999999999999</v>
      </c>
      <c r="M65" s="752">
        <f t="shared" si="0"/>
        <v>2.4210000000000003</v>
      </c>
      <c r="O65" s="753">
        <v>5.3999999999999999E-2</v>
      </c>
      <c r="P65" s="754">
        <f t="shared" si="1"/>
        <v>-0.26100000000000007</v>
      </c>
      <c r="Q65" s="753"/>
      <c r="R65" s="1">
        <v>6.6000000000000003E-2</v>
      </c>
      <c r="S65" s="752">
        <f t="shared" si="2"/>
        <v>-1.143</v>
      </c>
    </row>
    <row r="66" spans="11:19" x14ac:dyDescent="0.25">
      <c r="K66" s="14">
        <v>19</v>
      </c>
      <c r="L66" s="1">
        <v>-4.2999999999999997E-2</v>
      </c>
      <c r="M66" s="752">
        <f t="shared" si="0"/>
        <v>2.3780000000000001</v>
      </c>
      <c r="O66" s="753">
        <v>0.11899999999999999</v>
      </c>
      <c r="P66" s="754">
        <f t="shared" si="1"/>
        <v>-0.14200000000000007</v>
      </c>
      <c r="Q66" s="753"/>
      <c r="R66" s="1">
        <v>-8.7999999999999995E-2</v>
      </c>
      <c r="S66" s="752">
        <f t="shared" si="2"/>
        <v>-1.2310000000000001</v>
      </c>
    </row>
    <row r="67" spans="11:19" x14ac:dyDescent="0.25">
      <c r="K67" s="14">
        <v>20</v>
      </c>
      <c r="L67" s="1">
        <v>1.2999999999999999E-2</v>
      </c>
      <c r="M67" s="752">
        <f t="shared" si="0"/>
        <v>2.391</v>
      </c>
      <c r="O67" s="753">
        <v>9.4E-2</v>
      </c>
      <c r="P67" s="754">
        <f t="shared" si="1"/>
        <v>-4.800000000000007E-2</v>
      </c>
      <c r="Q67" s="753"/>
      <c r="R67" s="1">
        <v>-2.8000000000000001E-2</v>
      </c>
      <c r="S67" s="752">
        <f t="shared" si="2"/>
        <v>-1.2590000000000001</v>
      </c>
    </row>
  </sheetData>
  <mergeCells count="3">
    <mergeCell ref="L25:M25"/>
    <mergeCell ref="O25:P25"/>
    <mergeCell ref="R25:S25"/>
  </mergeCells>
  <hyperlinks>
    <hyperlink ref="D4" location="Finansieringsteori!A1" display="Finansieringsteori!A1" xr:uid="{00000000-0004-0000-4700-000000000000}"/>
  </hyperlinks>
  <pageMargins left="0.75" right="0.75" top="1" bottom="1" header="0.5" footer="0.5"/>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00B050"/>
  </sheetPr>
  <dimension ref="D4"/>
  <sheetViews>
    <sheetView workbookViewId="0">
      <selection activeCell="D4" sqref="D4"/>
    </sheetView>
  </sheetViews>
  <sheetFormatPr defaultColWidth="10.875" defaultRowHeight="15.75" x14ac:dyDescent="0.25"/>
  <cols>
    <col min="1" max="16384" width="10.875" style="1"/>
  </cols>
  <sheetData>
    <row r="4" spans="4:4" x14ac:dyDescent="0.25">
      <c r="D4" s="101" t="s">
        <v>1612</v>
      </c>
    </row>
  </sheetData>
  <hyperlinks>
    <hyperlink ref="D4" location="Finansieringsteori!A1" display="Finansieringsteori!A1" xr:uid="{00000000-0004-0000-4800-000000000000}"/>
  </hyperlinks>
  <pageMargins left="0.75" right="0.75" top="1" bottom="1" header="0.5" footer="0.5"/>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00B050"/>
  </sheetPr>
  <dimension ref="C3:F34"/>
  <sheetViews>
    <sheetView workbookViewId="0">
      <selection activeCell="C3" sqref="C3"/>
    </sheetView>
  </sheetViews>
  <sheetFormatPr defaultColWidth="10.875" defaultRowHeight="15.75" x14ac:dyDescent="0.25"/>
  <cols>
    <col min="1" max="2" width="10.875" style="1"/>
    <col min="3" max="3" width="22.625" style="1" customWidth="1"/>
    <col min="4" max="4" width="10.875" style="1" customWidth="1"/>
    <col min="5" max="5" width="14" style="1" customWidth="1"/>
    <col min="6" max="16384" width="10.875" style="1"/>
  </cols>
  <sheetData>
    <row r="3" spans="3:6" x14ac:dyDescent="0.25">
      <c r="C3" s="101" t="s">
        <v>1612</v>
      </c>
    </row>
    <row r="7" spans="3:6" x14ac:dyDescent="0.25">
      <c r="C7" s="627" t="s">
        <v>2215</v>
      </c>
      <c r="D7" s="625"/>
      <c r="E7" s="626"/>
      <c r="F7" s="625"/>
    </row>
    <row r="8" spans="3:6" x14ac:dyDescent="0.25">
      <c r="C8" s="622" t="s">
        <v>2214</v>
      </c>
      <c r="D8" s="622"/>
      <c r="E8" s="623"/>
      <c r="F8" s="622"/>
    </row>
    <row r="9" spans="3:6" x14ac:dyDescent="0.25">
      <c r="C9" s="622" t="s">
        <v>2213</v>
      </c>
      <c r="D9" s="622"/>
      <c r="E9" s="623"/>
      <c r="F9" s="622"/>
    </row>
    <row r="10" spans="3:6" x14ac:dyDescent="0.25">
      <c r="C10" s="622" t="s">
        <v>2212</v>
      </c>
      <c r="D10" s="622"/>
      <c r="E10" s="623"/>
      <c r="F10" s="622"/>
    </row>
    <row r="11" spans="3:6" x14ac:dyDescent="0.25">
      <c r="C11" s="622"/>
      <c r="D11" s="622"/>
      <c r="E11" s="623"/>
      <c r="F11" s="622"/>
    </row>
    <row r="12" spans="3:6" x14ac:dyDescent="0.25">
      <c r="C12" s="624" t="s">
        <v>2211</v>
      </c>
      <c r="D12" s="622"/>
      <c r="E12" s="623"/>
      <c r="F12" s="622"/>
    </row>
    <row r="13" spans="3:6" x14ac:dyDescent="0.25">
      <c r="C13" s="622"/>
      <c r="D13" s="622"/>
      <c r="E13" s="623"/>
      <c r="F13" s="622"/>
    </row>
    <row r="14" spans="3:6" x14ac:dyDescent="0.25">
      <c r="C14" s="624" t="s">
        <v>2210</v>
      </c>
      <c r="D14" s="622"/>
      <c r="E14" s="623"/>
      <c r="F14" s="622"/>
    </row>
    <row r="15" spans="3:6" x14ac:dyDescent="0.25">
      <c r="C15" s="622"/>
      <c r="D15" s="622"/>
      <c r="E15" s="623"/>
      <c r="F15" s="622"/>
    </row>
    <row r="16" spans="3:6" x14ac:dyDescent="0.25">
      <c r="C16" s="622"/>
      <c r="D16" s="622"/>
      <c r="E16" s="622"/>
      <c r="F16" s="622"/>
    </row>
    <row r="17" spans="3:6" x14ac:dyDescent="0.25">
      <c r="C17" s="620" t="s">
        <v>2209</v>
      </c>
      <c r="D17" s="619"/>
      <c r="E17" s="618" t="s">
        <v>2208</v>
      </c>
      <c r="F17" s="617"/>
    </row>
    <row r="18" spans="3:6" x14ac:dyDescent="0.25">
      <c r="C18" s="614" t="s">
        <v>2207</v>
      </c>
      <c r="D18" s="615"/>
      <c r="E18" s="614" t="s">
        <v>1562</v>
      </c>
      <c r="F18" s="612" t="s">
        <v>1563</v>
      </c>
    </row>
    <row r="19" spans="3:6" x14ac:dyDescent="0.25">
      <c r="C19" s="616" t="s">
        <v>2203</v>
      </c>
      <c r="D19" s="615">
        <f>(12*5+300-200)/200</f>
        <v>0.8</v>
      </c>
      <c r="E19" s="613">
        <v>0</v>
      </c>
      <c r="F19" s="615">
        <v>-200</v>
      </c>
    </row>
    <row r="20" spans="3:6" x14ac:dyDescent="0.25">
      <c r="C20" s="614" t="s">
        <v>2202</v>
      </c>
      <c r="D20" s="621">
        <f>+(1+D19)^(1/5)-1</f>
        <v>0.12474611314209483</v>
      </c>
      <c r="E20" s="613">
        <f>+E19+1</f>
        <v>1</v>
      </c>
      <c r="F20" s="615">
        <v>12</v>
      </c>
    </row>
    <row r="21" spans="3:6" x14ac:dyDescent="0.25">
      <c r="C21" s="614"/>
      <c r="D21" s="612"/>
      <c r="E21" s="613">
        <f>+E20+1</f>
        <v>2</v>
      </c>
      <c r="F21" s="612">
        <v>12</v>
      </c>
    </row>
    <row r="22" spans="3:6" x14ac:dyDescent="0.25">
      <c r="C22" s="614"/>
      <c r="D22" s="612"/>
      <c r="E22" s="613">
        <f>+E21+1</f>
        <v>3</v>
      </c>
      <c r="F22" s="612">
        <v>12</v>
      </c>
    </row>
    <row r="23" spans="3:6" x14ac:dyDescent="0.25">
      <c r="C23" s="614"/>
      <c r="D23" s="506"/>
      <c r="E23" s="613">
        <f>+E22+1</f>
        <v>4</v>
      </c>
      <c r="F23" s="612">
        <v>12</v>
      </c>
    </row>
    <row r="24" spans="3:6" x14ac:dyDescent="0.25">
      <c r="C24" s="614"/>
      <c r="D24" s="506"/>
      <c r="E24" s="613">
        <f>+E23+1</f>
        <v>5</v>
      </c>
      <c r="F24" s="612">
        <f>+F23+300</f>
        <v>312</v>
      </c>
    </row>
    <row r="25" spans="3:6" x14ac:dyDescent="0.25">
      <c r="C25" s="611"/>
      <c r="D25" s="610"/>
      <c r="E25" s="609" t="s">
        <v>1465</v>
      </c>
      <c r="F25" s="507">
        <f>IRR(F19:F24)</f>
        <v>0.13621209181698068</v>
      </c>
    </row>
    <row r="26" spans="3:6" x14ac:dyDescent="0.25">
      <c r="C26" s="620" t="s">
        <v>2206</v>
      </c>
      <c r="D26" s="619"/>
      <c r="E26" s="618" t="s">
        <v>2205</v>
      </c>
      <c r="F26" s="617"/>
    </row>
    <row r="27" spans="3:6" x14ac:dyDescent="0.25">
      <c r="C27" s="614" t="s">
        <v>2204</v>
      </c>
      <c r="D27" s="615"/>
      <c r="E27" s="614" t="s">
        <v>1562</v>
      </c>
      <c r="F27" s="612" t="s">
        <v>1563</v>
      </c>
    </row>
    <row r="28" spans="3:6" x14ac:dyDescent="0.25">
      <c r="C28" s="616"/>
      <c r="D28" s="615"/>
      <c r="E28" s="613">
        <v>0</v>
      </c>
      <c r="F28" s="615">
        <v>-200</v>
      </c>
    </row>
    <row r="29" spans="3:6" x14ac:dyDescent="0.25">
      <c r="C29" s="614" t="s">
        <v>2203</v>
      </c>
      <c r="D29" s="615">
        <f>(12*5*(1-0.25)+300-200)/200</f>
        <v>0.72499999999999998</v>
      </c>
      <c r="E29" s="613">
        <f>+E28+1</f>
        <v>1</v>
      </c>
      <c r="F29" s="615">
        <f>12*0.75</f>
        <v>9</v>
      </c>
    </row>
    <row r="30" spans="3:6" x14ac:dyDescent="0.25">
      <c r="C30" s="614" t="s">
        <v>2202</v>
      </c>
      <c r="D30" s="509">
        <f>+(1+D29)^(1/5)-1</f>
        <v>0.11521299112136618</v>
      </c>
      <c r="E30" s="613">
        <f>+E29+1</f>
        <v>2</v>
      </c>
      <c r="F30" s="615">
        <f>12*0.75</f>
        <v>9</v>
      </c>
    </row>
    <row r="31" spans="3:6" x14ac:dyDescent="0.25">
      <c r="C31" s="614"/>
      <c r="D31" s="612"/>
      <c r="E31" s="613">
        <f>+E30+1</f>
        <v>3</v>
      </c>
      <c r="F31" s="615">
        <f>12*0.75</f>
        <v>9</v>
      </c>
    </row>
    <row r="32" spans="3:6" x14ac:dyDescent="0.25">
      <c r="C32" s="614"/>
      <c r="D32" s="506"/>
      <c r="E32" s="613">
        <f>+E31+1</f>
        <v>4</v>
      </c>
      <c r="F32" s="615">
        <f>12*0.75</f>
        <v>9</v>
      </c>
    </row>
    <row r="33" spans="3:6" x14ac:dyDescent="0.25">
      <c r="C33" s="614"/>
      <c r="D33" s="506"/>
      <c r="E33" s="613">
        <f>+E32+1</f>
        <v>5</v>
      </c>
      <c r="F33" s="612">
        <f>+F32+300</f>
        <v>309</v>
      </c>
    </row>
    <row r="34" spans="3:6" x14ac:dyDescent="0.25">
      <c r="C34" s="611"/>
      <c r="D34" s="610"/>
      <c r="E34" s="609" t="s">
        <v>1465</v>
      </c>
      <c r="F34" s="507">
        <f>IRR(F28:F33)</f>
        <v>0.12320528620727211</v>
      </c>
    </row>
  </sheetData>
  <hyperlinks>
    <hyperlink ref="C3" location="Finansieringsteori!A1" display="Finansieringsteori!A1" xr:uid="{00000000-0004-0000-4900-000000000000}"/>
  </hyperlink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rgb="FF00B050"/>
  </sheetPr>
  <dimension ref="A4:W82"/>
  <sheetViews>
    <sheetView topLeftCell="A55" workbookViewId="0">
      <selection activeCell="F84" sqref="F84"/>
    </sheetView>
  </sheetViews>
  <sheetFormatPr defaultColWidth="10.875" defaultRowHeight="15.75" x14ac:dyDescent="0.25"/>
  <cols>
    <col min="1" max="5" width="10.875" style="1"/>
    <col min="6" max="6" width="25" style="1" customWidth="1"/>
    <col min="7" max="7" width="19.125" style="1" customWidth="1"/>
    <col min="8" max="8" width="21.5" style="1" customWidth="1"/>
    <col min="9" max="9" width="22.375" style="1" customWidth="1"/>
    <col min="10" max="14" width="10.875" style="1"/>
    <col min="15" max="15" width="10.875" style="11"/>
    <col min="16" max="16384" width="10.875" style="1"/>
  </cols>
  <sheetData>
    <row r="4" spans="3:23" x14ac:dyDescent="0.25">
      <c r="D4" s="101" t="s">
        <v>1612</v>
      </c>
    </row>
    <row r="8" spans="3:23" x14ac:dyDescent="0.25">
      <c r="C8" s="643" t="s">
        <v>2244</v>
      </c>
      <c r="D8" s="331"/>
      <c r="E8" s="331"/>
      <c r="F8" s="331"/>
      <c r="G8" s="331"/>
      <c r="H8" s="331"/>
      <c r="I8" s="331"/>
      <c r="J8" s="331"/>
      <c r="K8" s="331"/>
      <c r="L8" s="330"/>
      <c r="M8" s="330"/>
    </row>
    <row r="9" spans="3:23" x14ac:dyDescent="0.25">
      <c r="C9" s="642" t="s">
        <v>2243</v>
      </c>
      <c r="D9" s="642"/>
      <c r="E9" s="642"/>
      <c r="F9" s="642"/>
      <c r="G9" s="642"/>
      <c r="H9" s="642"/>
      <c r="I9" s="331"/>
      <c r="J9" s="331"/>
      <c r="K9" s="331"/>
      <c r="L9" s="330"/>
      <c r="M9" s="330"/>
      <c r="P9" s="643" t="s">
        <v>2258</v>
      </c>
      <c r="Q9" s="331"/>
      <c r="R9" s="331"/>
      <c r="S9" s="331"/>
      <c r="T9" s="331"/>
      <c r="U9" s="331"/>
      <c r="V9" s="331"/>
      <c r="W9" s="331"/>
    </row>
    <row r="10" spans="3:23" x14ac:dyDescent="0.25">
      <c r="C10" s="642" t="s">
        <v>2242</v>
      </c>
      <c r="D10" s="642"/>
      <c r="E10" s="642"/>
      <c r="F10" s="642"/>
      <c r="G10" s="642"/>
      <c r="H10" s="642"/>
      <c r="I10" s="331"/>
      <c r="J10" s="331"/>
      <c r="K10" s="331"/>
      <c r="L10" s="330"/>
      <c r="M10" s="330"/>
      <c r="P10" s="331" t="s">
        <v>2257</v>
      </c>
      <c r="Q10" s="331"/>
      <c r="R10" s="331"/>
      <c r="S10" s="331"/>
      <c r="T10" s="331"/>
      <c r="U10" s="331"/>
      <c r="V10" s="331"/>
      <c r="W10" s="331"/>
    </row>
    <row r="11" spans="3:23" x14ac:dyDescent="0.25">
      <c r="C11" s="642" t="s">
        <v>2241</v>
      </c>
      <c r="D11" s="642"/>
      <c r="E11" s="642"/>
      <c r="F11" s="642"/>
      <c r="G11" s="642"/>
      <c r="H11" s="642"/>
      <c r="I11" s="331"/>
      <c r="J11" s="331"/>
      <c r="K11" s="331"/>
      <c r="L11" s="330"/>
      <c r="M11" s="330"/>
      <c r="P11" s="642"/>
      <c r="Q11" s="642"/>
      <c r="R11" s="642"/>
      <c r="S11" s="642"/>
      <c r="T11" s="653"/>
      <c r="U11" s="653"/>
      <c r="V11" s="331"/>
      <c r="W11" s="331"/>
    </row>
    <row r="12" spans="3:23" x14ac:dyDescent="0.25">
      <c r="C12" s="642" t="s">
        <v>2240</v>
      </c>
      <c r="D12" s="642"/>
      <c r="E12" s="642"/>
      <c r="F12" s="642"/>
      <c r="G12" s="642"/>
      <c r="H12" s="642"/>
      <c r="I12" s="331"/>
      <c r="J12" s="330"/>
      <c r="K12" s="330"/>
      <c r="L12" s="330"/>
      <c r="M12" s="330"/>
      <c r="P12" s="652" t="s">
        <v>2256</v>
      </c>
      <c r="Q12" s="651">
        <v>0.15</v>
      </c>
      <c r="R12" s="651">
        <v>0.2</v>
      </c>
      <c r="S12" s="651">
        <v>0.4</v>
      </c>
      <c r="T12" s="651">
        <v>0.1</v>
      </c>
      <c r="U12" s="650">
        <v>0.15</v>
      </c>
      <c r="V12" s="331"/>
      <c r="W12" s="331"/>
    </row>
    <row r="13" spans="3:23" x14ac:dyDescent="0.25">
      <c r="C13" s="642"/>
      <c r="D13" s="642"/>
      <c r="E13" s="642"/>
      <c r="F13" s="642"/>
      <c r="G13" s="642"/>
      <c r="H13" s="642"/>
      <c r="I13" s="331"/>
      <c r="J13" s="330"/>
      <c r="K13" s="330"/>
      <c r="L13" s="330"/>
      <c r="M13" s="330"/>
      <c r="P13" s="649" t="s">
        <v>2255</v>
      </c>
      <c r="Q13" s="348">
        <v>0.2</v>
      </c>
      <c r="R13" s="348">
        <v>0.16</v>
      </c>
      <c r="S13" s="348">
        <v>0.12</v>
      </c>
      <c r="T13" s="348">
        <v>0.05</v>
      </c>
      <c r="U13" s="648">
        <v>-0.05</v>
      </c>
      <c r="V13" s="331"/>
      <c r="W13" s="331"/>
    </row>
    <row r="14" spans="3:23" x14ac:dyDescent="0.25">
      <c r="C14" s="642" t="s">
        <v>2239</v>
      </c>
      <c r="D14" s="642"/>
      <c r="E14" s="642"/>
      <c r="F14" s="642"/>
      <c r="G14" s="642"/>
      <c r="H14" s="642"/>
      <c r="I14" s="331"/>
      <c r="J14" s="330"/>
      <c r="K14" s="330"/>
      <c r="L14" s="330"/>
      <c r="M14" s="330"/>
      <c r="P14" s="642"/>
      <c r="Q14" s="642"/>
      <c r="R14" s="642"/>
      <c r="S14" s="642"/>
      <c r="T14" s="642"/>
      <c r="U14" s="642"/>
      <c r="V14" s="331"/>
      <c r="W14" s="331"/>
    </row>
    <row r="15" spans="3:23" x14ac:dyDescent="0.25">
      <c r="C15" s="642"/>
      <c r="D15" s="642"/>
      <c r="E15" s="642"/>
      <c r="F15" s="642"/>
      <c r="G15" s="642"/>
      <c r="H15" s="642"/>
      <c r="I15" s="331"/>
      <c r="J15" s="330"/>
      <c r="K15" s="330"/>
      <c r="L15" s="330"/>
      <c r="M15" s="330"/>
      <c r="P15" s="642"/>
      <c r="Q15" s="642"/>
      <c r="R15" s="642"/>
      <c r="S15" s="642"/>
      <c r="T15" s="642"/>
      <c r="U15" s="642"/>
      <c r="V15" s="331"/>
      <c r="W15" s="331"/>
    </row>
    <row r="16" spans="3:23" x14ac:dyDescent="0.25">
      <c r="C16" s="642" t="s">
        <v>2238</v>
      </c>
      <c r="D16" s="642"/>
      <c r="E16" s="642"/>
      <c r="F16" s="642"/>
      <c r="G16" s="642"/>
      <c r="H16" s="642"/>
      <c r="I16" s="331"/>
      <c r="J16" s="330"/>
      <c r="K16" s="330"/>
      <c r="L16" s="330"/>
      <c r="M16" s="330"/>
      <c r="P16" s="647" t="s">
        <v>2254</v>
      </c>
      <c r="Q16" s="642"/>
      <c r="R16" s="642"/>
      <c r="S16" s="642"/>
      <c r="T16" s="642"/>
      <c r="U16" s="642"/>
      <c r="V16" s="331"/>
      <c r="W16" s="331"/>
    </row>
    <row r="17" spans="3:23" x14ac:dyDescent="0.25">
      <c r="C17" s="642"/>
      <c r="D17" s="642"/>
      <c r="E17" s="642"/>
      <c r="F17" s="642"/>
      <c r="G17" s="642"/>
      <c r="H17" s="642"/>
      <c r="I17" s="331"/>
      <c r="J17" s="330"/>
      <c r="K17" s="330"/>
      <c r="L17" s="330"/>
      <c r="M17" s="330"/>
      <c r="P17" s="642" t="s">
        <v>2253</v>
      </c>
      <c r="Q17" s="646">
        <f>+Q12*Q13+R12*R13+S12*S13+T12*T13+U12*U13</f>
        <v>0.10750000000000001</v>
      </c>
      <c r="R17" s="642"/>
      <c r="S17" s="642"/>
      <c r="T17" s="642"/>
      <c r="U17" s="642"/>
      <c r="V17" s="331"/>
      <c r="W17" s="331"/>
    </row>
    <row r="18" spans="3:23" x14ac:dyDescent="0.25">
      <c r="C18" s="642" t="s">
        <v>2237</v>
      </c>
      <c r="D18" s="642"/>
      <c r="E18" s="642"/>
      <c r="F18" s="642"/>
      <c r="G18" s="642"/>
      <c r="H18" s="642"/>
      <c r="I18" s="331"/>
      <c r="J18" s="330"/>
      <c r="K18" s="330"/>
      <c r="L18" s="330"/>
      <c r="M18" s="330"/>
      <c r="P18" s="642" t="s">
        <v>2252</v>
      </c>
      <c r="Q18" s="646">
        <f>SUMPRODUCT(Q12:U12,Q13:U13)</f>
        <v>0.10750000000000001</v>
      </c>
      <c r="R18" s="642"/>
      <c r="S18" s="642"/>
      <c r="T18" s="642"/>
      <c r="U18" s="642"/>
      <c r="V18" s="331"/>
      <c r="W18" s="330"/>
    </row>
    <row r="19" spans="3:23" x14ac:dyDescent="0.25">
      <c r="C19" s="642"/>
      <c r="D19" s="642"/>
      <c r="E19" s="642"/>
      <c r="F19" s="642"/>
      <c r="G19" s="642"/>
      <c r="H19" s="642"/>
      <c r="I19" s="331"/>
      <c r="J19" s="330"/>
      <c r="K19" s="330"/>
      <c r="L19" s="330"/>
      <c r="M19" s="330"/>
      <c r="P19" s="642" t="s">
        <v>2251</v>
      </c>
      <c r="Q19" s="646">
        <f t="array" ref="Q19">MMULT(Q12:U12,TRANSPOSE(Q13:U13))</f>
        <v>0.10750000000000001</v>
      </c>
      <c r="R19" s="642"/>
      <c r="S19" s="642"/>
      <c r="T19" s="642"/>
      <c r="U19" s="642"/>
      <c r="V19" s="331"/>
      <c r="W19" s="330"/>
    </row>
    <row r="20" spans="3:23" x14ac:dyDescent="0.25">
      <c r="C20" s="642" t="s">
        <v>2236</v>
      </c>
      <c r="D20" s="642"/>
      <c r="E20" s="642"/>
      <c r="F20" s="642"/>
      <c r="G20" s="642"/>
      <c r="H20" s="642"/>
      <c r="I20" s="331"/>
      <c r="J20" s="330"/>
      <c r="K20" s="330"/>
      <c r="L20" s="330"/>
      <c r="M20" s="330"/>
      <c r="P20" s="331"/>
      <c r="Q20" s="331"/>
      <c r="R20" s="331"/>
      <c r="S20" s="331"/>
      <c r="T20" s="331"/>
      <c r="U20" s="331"/>
      <c r="V20" s="331"/>
      <c r="W20" s="330"/>
    </row>
    <row r="21" spans="3:23" x14ac:dyDescent="0.25">
      <c r="C21" s="642"/>
      <c r="D21" s="642"/>
      <c r="E21" s="642"/>
      <c r="F21" s="642"/>
      <c r="G21" s="642"/>
      <c r="H21" s="642"/>
      <c r="I21" s="331"/>
      <c r="J21" s="330"/>
      <c r="K21" s="330"/>
      <c r="L21" s="330"/>
      <c r="M21" s="330"/>
      <c r="P21" s="241" t="s">
        <v>1953</v>
      </c>
      <c r="Q21" s="331"/>
      <c r="R21" s="331"/>
      <c r="S21" s="331"/>
      <c r="T21" s="331"/>
      <c r="U21" s="331"/>
      <c r="V21" s="331"/>
      <c r="W21" s="330"/>
    </row>
    <row r="22" spans="3:23" x14ac:dyDescent="0.25">
      <c r="C22" s="642" t="s">
        <v>2235</v>
      </c>
      <c r="D22" s="642"/>
      <c r="E22" s="642"/>
      <c r="F22" s="642"/>
      <c r="G22" s="642"/>
      <c r="H22" s="642"/>
      <c r="I22" s="331"/>
      <c r="J22" s="330"/>
      <c r="K22" s="330"/>
      <c r="L22" s="330"/>
      <c r="M22" s="330"/>
      <c r="P22" s="331" t="s">
        <v>2250</v>
      </c>
      <c r="Q22" s="331"/>
      <c r="R22" s="331"/>
      <c r="S22" s="331"/>
      <c r="T22" s="331"/>
      <c r="U22" s="331"/>
      <c r="V22" s="331"/>
      <c r="W22" s="330"/>
    </row>
    <row r="23" spans="3:23" ht="19.5" x14ac:dyDescent="0.3">
      <c r="C23" s="642"/>
      <c r="D23" s="642"/>
      <c r="E23" s="642"/>
      <c r="F23" s="642"/>
      <c r="G23" s="642"/>
      <c r="H23" s="642"/>
      <c r="I23" s="331"/>
      <c r="J23" s="330"/>
      <c r="K23" s="330"/>
      <c r="L23" s="330"/>
      <c r="M23" s="330"/>
      <c r="P23" s="330" t="s">
        <v>2249</v>
      </c>
      <c r="Q23" s="330">
        <f>+(Q13-$Q19)^2</f>
        <v>8.5562499999999996E-3</v>
      </c>
      <c r="R23" s="330">
        <f>+(R13-$Q19)^2</f>
        <v>2.7562499999999992E-3</v>
      </c>
      <c r="S23" s="330">
        <f>+(S13-$Q19)^2</f>
        <v>1.562499999999996E-4</v>
      </c>
      <c r="T23" s="330">
        <f>+(T13-$Q19)^2</f>
        <v>3.306250000000001E-3</v>
      </c>
      <c r="U23" s="330">
        <f>+(U13-$Q19)^2</f>
        <v>2.4806250000000009E-2</v>
      </c>
      <c r="V23" s="330"/>
      <c r="W23" s="644"/>
    </row>
    <row r="24" spans="3:23" ht="19.5" x14ac:dyDescent="0.3">
      <c r="C24" s="642" t="s">
        <v>2234</v>
      </c>
      <c r="D24" s="642"/>
      <c r="E24" s="642"/>
      <c r="F24" s="642"/>
      <c r="G24" s="642"/>
      <c r="H24" s="642"/>
      <c r="I24" s="331"/>
      <c r="J24" s="330"/>
      <c r="K24" s="330"/>
      <c r="L24" s="330"/>
      <c r="M24" s="330"/>
      <c r="P24" s="330" t="s">
        <v>2248</v>
      </c>
      <c r="Q24" s="330">
        <f t="array" ref="Q24">+SUMPRODUCT(Q12:U12,Q23:U23)</f>
        <v>5.9487500000000009E-3</v>
      </c>
      <c r="R24" s="645" t="s">
        <v>2247</v>
      </c>
      <c r="S24" s="645">
        <f>+SQRT(Q24)</f>
        <v>7.7128140130564543E-2</v>
      </c>
      <c r="T24" s="330"/>
      <c r="U24" s="330"/>
      <c r="V24" s="330"/>
      <c r="W24" s="644"/>
    </row>
    <row r="25" spans="3:23" ht="19.5" x14ac:dyDescent="0.3">
      <c r="C25" s="642"/>
      <c r="D25" s="642"/>
      <c r="E25" s="642"/>
      <c r="F25" s="642"/>
      <c r="G25" s="642"/>
      <c r="H25" s="642"/>
      <c r="I25" s="331"/>
      <c r="J25" s="330"/>
      <c r="K25" s="330"/>
      <c r="L25" s="330"/>
      <c r="M25" s="330"/>
      <c r="P25" s="330" t="s">
        <v>2246</v>
      </c>
      <c r="Q25" s="330">
        <f t="array" ref="Q25">+MMULT(Q23:U23,TRANSPOSE(Q12:U12))</f>
        <v>5.9487500000000009E-3</v>
      </c>
      <c r="R25" s="330"/>
      <c r="S25" s="330"/>
      <c r="T25" s="330"/>
      <c r="U25" s="330"/>
      <c r="V25" s="330"/>
      <c r="W25" s="644"/>
    </row>
    <row r="26" spans="3:23" x14ac:dyDescent="0.25">
      <c r="C26" s="642" t="s">
        <v>2233</v>
      </c>
      <c r="D26" s="642"/>
      <c r="E26" s="642"/>
      <c r="F26" s="642"/>
      <c r="G26" s="642"/>
      <c r="H26" s="642"/>
      <c r="I26" s="331"/>
      <c r="J26" s="330"/>
      <c r="K26" s="330"/>
      <c r="L26" s="330"/>
      <c r="M26" s="330"/>
    </row>
    <row r="27" spans="3:23" x14ac:dyDescent="0.25">
      <c r="C27" s="642"/>
      <c r="D27" s="642"/>
      <c r="E27" s="642"/>
      <c r="F27" s="642"/>
      <c r="G27" s="642"/>
      <c r="H27" s="642"/>
      <c r="I27" s="331"/>
      <c r="J27" s="330"/>
      <c r="K27" s="330"/>
      <c r="L27" s="330"/>
      <c r="M27" s="330"/>
    </row>
    <row r="28" spans="3:23" x14ac:dyDescent="0.25">
      <c r="C28" s="641" t="s">
        <v>2232</v>
      </c>
      <c r="D28" s="640" t="s">
        <v>2231</v>
      </c>
      <c r="E28" s="639" t="s">
        <v>559</v>
      </c>
      <c r="F28" s="331" t="s">
        <v>2230</v>
      </c>
      <c r="G28" s="331" t="s">
        <v>2229</v>
      </c>
      <c r="H28" s="331" t="s">
        <v>2228</v>
      </c>
      <c r="I28" s="241" t="s">
        <v>2227</v>
      </c>
      <c r="J28" s="636" t="s">
        <v>2224</v>
      </c>
      <c r="K28" s="330"/>
      <c r="L28" s="636" t="s">
        <v>2226</v>
      </c>
      <c r="M28" s="330"/>
    </row>
    <row r="29" spans="3:23" x14ac:dyDescent="0.25">
      <c r="C29" s="638">
        <v>1989</v>
      </c>
      <c r="D29" s="637">
        <v>7.57</v>
      </c>
      <c r="E29" s="338"/>
      <c r="F29" s="331"/>
      <c r="G29" s="331"/>
      <c r="H29" s="331"/>
      <c r="I29" s="241"/>
      <c r="J29" s="330" t="s">
        <v>2225</v>
      </c>
      <c r="K29" s="635">
        <f>AVERAGE(G30:G44)</f>
        <v>0.14459473225864131</v>
      </c>
      <c r="L29" s="636" t="s">
        <v>2224</v>
      </c>
      <c r="M29" s="330"/>
    </row>
    <row r="30" spans="3:23" x14ac:dyDescent="0.25">
      <c r="C30" s="339">
        <v>1990</v>
      </c>
      <c r="D30" s="230">
        <v>9.2899999999999991</v>
      </c>
      <c r="E30" s="340">
        <v>0.2</v>
      </c>
      <c r="F30" s="632">
        <f t="shared" ref="F30:F44" si="0">(D30-D29)/D29+1</f>
        <v>1.2272126816380449</v>
      </c>
      <c r="G30" s="631">
        <f t="shared" ref="G30:G44" si="1">+F30-1</f>
        <v>0.22721268163804487</v>
      </c>
      <c r="H30" s="630">
        <f t="shared" ref="H30:H44" si="2">(E30+D30-D29)/D29+1</f>
        <v>1.2536327608982825</v>
      </c>
      <c r="I30" s="629">
        <f t="shared" ref="I30:I44" si="3">+H30-1</f>
        <v>0.25363276089828246</v>
      </c>
      <c r="J30" s="330" t="s">
        <v>2220</v>
      </c>
      <c r="K30" s="628">
        <f>GEOMEAN(F30:F44)-1</f>
        <v>0.11844442965704904</v>
      </c>
      <c r="L30" s="330" t="s">
        <v>2221</v>
      </c>
      <c r="M30" s="634">
        <f>PRODUCT(F30:F44)</f>
        <v>5.360634081902246</v>
      </c>
    </row>
    <row r="31" spans="3:23" x14ac:dyDescent="0.25">
      <c r="C31" s="339">
        <v>1991</v>
      </c>
      <c r="D31" s="230">
        <v>16.3</v>
      </c>
      <c r="E31" s="340">
        <v>0.24</v>
      </c>
      <c r="F31" s="632">
        <f t="shared" si="0"/>
        <v>1.7545748116254039</v>
      </c>
      <c r="G31" s="631">
        <f t="shared" si="1"/>
        <v>0.75457481162540385</v>
      </c>
      <c r="H31" s="630">
        <f t="shared" si="2"/>
        <v>1.7804090419806244</v>
      </c>
      <c r="I31" s="629">
        <f t="shared" si="3"/>
        <v>0.78040904198062444</v>
      </c>
      <c r="J31" s="330"/>
      <c r="K31" s="330"/>
      <c r="L31" s="330"/>
      <c r="M31" s="330"/>
    </row>
    <row r="32" spans="3:23" x14ac:dyDescent="0.25">
      <c r="C32" s="339">
        <v>1992</v>
      </c>
      <c r="D32" s="230">
        <v>17.239999999999998</v>
      </c>
      <c r="E32" s="340">
        <v>0.28000000000000003</v>
      </c>
      <c r="F32" s="632">
        <f t="shared" si="0"/>
        <v>1.0576687116564416</v>
      </c>
      <c r="G32" s="631">
        <f t="shared" si="1"/>
        <v>5.7668711656441607E-2</v>
      </c>
      <c r="H32" s="630">
        <f t="shared" si="2"/>
        <v>1.0748466257668712</v>
      </c>
      <c r="I32" s="629">
        <f t="shared" si="3"/>
        <v>7.4846625766871178E-2</v>
      </c>
      <c r="J32" s="636" t="s">
        <v>2223</v>
      </c>
      <c r="K32" s="330"/>
      <c r="L32" s="636" t="s">
        <v>2223</v>
      </c>
      <c r="M32" s="330"/>
    </row>
    <row r="33" spans="3:13" x14ac:dyDescent="0.25">
      <c r="C33" s="339">
        <v>1993</v>
      </c>
      <c r="D33" s="230">
        <v>18.670000000000002</v>
      </c>
      <c r="E33" s="340">
        <v>0.34</v>
      </c>
      <c r="F33" s="632">
        <f t="shared" si="0"/>
        <v>1.0829466357308586</v>
      </c>
      <c r="G33" s="631">
        <f t="shared" si="1"/>
        <v>8.2946635730858587E-2</v>
      </c>
      <c r="H33" s="630">
        <f t="shared" si="2"/>
        <v>1.1026682134570767</v>
      </c>
      <c r="I33" s="629">
        <f t="shared" si="3"/>
        <v>0.10266821345707666</v>
      </c>
      <c r="J33" s="330" t="s">
        <v>2222</v>
      </c>
      <c r="K33" s="635">
        <f>AVERAGE(I30:I44)</f>
        <v>0.16229451932251446</v>
      </c>
      <c r="L33" s="330" t="s">
        <v>2221</v>
      </c>
      <c r="M33" s="634">
        <f>PRODUCT(H30:H44)</f>
        <v>6.7756466108224576</v>
      </c>
    </row>
    <row r="34" spans="3:13" x14ac:dyDescent="0.25">
      <c r="C34" s="339">
        <v>1994</v>
      </c>
      <c r="D34" s="230">
        <v>21.93</v>
      </c>
      <c r="E34" s="340">
        <v>0.39</v>
      </c>
      <c r="F34" s="632">
        <f t="shared" si="0"/>
        <v>1.1746116764863417</v>
      </c>
      <c r="G34" s="631">
        <f t="shared" si="1"/>
        <v>0.17461167648634168</v>
      </c>
      <c r="H34" s="630">
        <f t="shared" si="2"/>
        <v>1.1955008034279593</v>
      </c>
      <c r="I34" s="629">
        <f t="shared" si="3"/>
        <v>0.19550080342795928</v>
      </c>
      <c r="J34" s="330" t="s">
        <v>2220</v>
      </c>
      <c r="K34" s="628">
        <f>GEOMEAN(H30:H44)-1</f>
        <v>0.1360480915663751</v>
      </c>
      <c r="L34" s="330"/>
      <c r="M34" s="330"/>
    </row>
    <row r="35" spans="3:13" x14ac:dyDescent="0.25">
      <c r="C35" s="339">
        <v>1995</v>
      </c>
      <c r="D35" s="230">
        <v>32.06</v>
      </c>
      <c r="E35" s="340">
        <v>0.44</v>
      </c>
      <c r="F35" s="632">
        <f t="shared" si="0"/>
        <v>1.4619243046055632</v>
      </c>
      <c r="G35" s="631">
        <f t="shared" si="1"/>
        <v>0.46192430460556322</v>
      </c>
      <c r="H35" s="630">
        <f t="shared" si="2"/>
        <v>1.4819881440948472</v>
      </c>
      <c r="I35" s="629">
        <f t="shared" si="3"/>
        <v>0.48198814409484725</v>
      </c>
      <c r="J35" s="330"/>
      <c r="K35" s="330"/>
      <c r="L35" s="330"/>
      <c r="M35" s="330"/>
    </row>
    <row r="36" spans="3:13" x14ac:dyDescent="0.25">
      <c r="C36" s="339">
        <v>1996</v>
      </c>
      <c r="D36" s="230">
        <v>45.93</v>
      </c>
      <c r="E36" s="340">
        <v>0.5</v>
      </c>
      <c r="F36" s="632">
        <f t="shared" si="0"/>
        <v>1.432626325639426</v>
      </c>
      <c r="G36" s="631">
        <f t="shared" si="1"/>
        <v>0.43262632563942605</v>
      </c>
      <c r="H36" s="630">
        <f t="shared" si="2"/>
        <v>1.4482220835932624</v>
      </c>
      <c r="I36" s="629">
        <f t="shared" si="3"/>
        <v>0.44822208359326243</v>
      </c>
      <c r="J36" s="330"/>
      <c r="K36" s="330"/>
      <c r="L36" s="330"/>
      <c r="M36" s="330"/>
    </row>
    <row r="37" spans="3:13" x14ac:dyDescent="0.25">
      <c r="C37" s="339">
        <v>1997</v>
      </c>
      <c r="D37" s="230">
        <v>58.72</v>
      </c>
      <c r="E37" s="340">
        <v>0.56000000000000005</v>
      </c>
      <c r="F37" s="632">
        <f t="shared" si="0"/>
        <v>1.2784672327454822</v>
      </c>
      <c r="G37" s="631">
        <f t="shared" si="1"/>
        <v>0.27846723274548224</v>
      </c>
      <c r="H37" s="630">
        <f t="shared" si="2"/>
        <v>1.2906596995427826</v>
      </c>
      <c r="I37" s="629">
        <f t="shared" si="3"/>
        <v>0.29065969954278259</v>
      </c>
      <c r="J37" s="330"/>
      <c r="K37" s="330"/>
      <c r="L37" s="330"/>
      <c r="M37" s="330"/>
    </row>
    <row r="38" spans="3:13" x14ac:dyDescent="0.25">
      <c r="C38" s="339">
        <v>1998</v>
      </c>
      <c r="D38" s="230">
        <v>59.49</v>
      </c>
      <c r="E38" s="340">
        <v>0.6</v>
      </c>
      <c r="F38" s="632">
        <f t="shared" si="0"/>
        <v>1.0131130790190737</v>
      </c>
      <c r="G38" s="631">
        <f t="shared" si="1"/>
        <v>1.3113079019073659E-2</v>
      </c>
      <c r="H38" s="630">
        <f t="shared" si="2"/>
        <v>1.0233310626702998</v>
      </c>
      <c r="I38" s="629">
        <f t="shared" si="3"/>
        <v>2.3331062670299829E-2</v>
      </c>
      <c r="J38" s="330"/>
      <c r="K38" s="330"/>
      <c r="L38" s="330"/>
      <c r="M38" s="330"/>
    </row>
    <row r="39" spans="3:13" x14ac:dyDescent="0.25">
      <c r="C39" s="339">
        <v>1999</v>
      </c>
      <c r="D39" s="230">
        <v>52.26</v>
      </c>
      <c r="E39" s="340">
        <v>0.64</v>
      </c>
      <c r="F39" s="632">
        <f t="shared" si="0"/>
        <v>0.87846696923852741</v>
      </c>
      <c r="G39" s="631">
        <f t="shared" si="1"/>
        <v>-0.12153303076147259</v>
      </c>
      <c r="H39" s="630">
        <f t="shared" si="2"/>
        <v>0.88922507984535215</v>
      </c>
      <c r="I39" s="629">
        <f t="shared" si="3"/>
        <v>-0.11077492015464785</v>
      </c>
      <c r="J39" s="330"/>
      <c r="K39" s="330"/>
      <c r="L39" s="330"/>
      <c r="M39" s="330"/>
    </row>
    <row r="40" spans="3:13" x14ac:dyDescent="0.25">
      <c r="C40" s="339">
        <v>2000</v>
      </c>
      <c r="D40" s="230">
        <v>55.38</v>
      </c>
      <c r="E40" s="340">
        <v>0.68</v>
      </c>
      <c r="F40" s="632">
        <f t="shared" si="0"/>
        <v>1.0597014925373136</v>
      </c>
      <c r="G40" s="631">
        <f t="shared" si="1"/>
        <v>5.9701492537313605E-2</v>
      </c>
      <c r="H40" s="630">
        <f t="shared" si="2"/>
        <v>1.0727133562954458</v>
      </c>
      <c r="I40" s="629">
        <f t="shared" si="3"/>
        <v>7.2713356295445841E-2</v>
      </c>
      <c r="J40" s="330"/>
      <c r="K40" s="330"/>
      <c r="L40" s="330"/>
      <c r="M40" s="330"/>
    </row>
    <row r="41" spans="3:13" x14ac:dyDescent="0.25">
      <c r="C41" s="339">
        <v>2001</v>
      </c>
      <c r="D41" s="230">
        <v>43.34</v>
      </c>
      <c r="E41" s="340">
        <v>0.72</v>
      </c>
      <c r="F41" s="632">
        <f t="shared" si="0"/>
        <v>0.78259299386059955</v>
      </c>
      <c r="G41" s="631">
        <f t="shared" si="1"/>
        <v>-0.21740700613940045</v>
      </c>
      <c r="H41" s="630">
        <f t="shared" si="2"/>
        <v>0.79559407728421816</v>
      </c>
      <c r="I41" s="629">
        <f t="shared" si="3"/>
        <v>-0.20440592271578184</v>
      </c>
      <c r="J41" s="330"/>
      <c r="K41" s="330"/>
      <c r="L41" s="330"/>
      <c r="M41" s="330"/>
    </row>
    <row r="42" spans="3:13" x14ac:dyDescent="0.25">
      <c r="C42" s="339">
        <v>2002</v>
      </c>
      <c r="D42" s="230">
        <v>40.96</v>
      </c>
      <c r="E42" s="340">
        <v>0.8</v>
      </c>
      <c r="F42" s="632">
        <f t="shared" si="0"/>
        <v>0.94508537148131055</v>
      </c>
      <c r="G42" s="631">
        <f t="shared" si="1"/>
        <v>-5.4914628518689446E-2</v>
      </c>
      <c r="H42" s="630">
        <f t="shared" si="2"/>
        <v>0.96354407014305476</v>
      </c>
      <c r="I42" s="629">
        <f t="shared" si="3"/>
        <v>-3.6455929856945235E-2</v>
      </c>
      <c r="J42" s="330"/>
      <c r="K42" s="330"/>
      <c r="L42" s="330"/>
      <c r="M42" s="330"/>
    </row>
    <row r="43" spans="3:13" x14ac:dyDescent="0.25">
      <c r="C43" s="339">
        <v>2003</v>
      </c>
      <c r="D43" s="230">
        <v>48.38</v>
      </c>
      <c r="E43" s="340">
        <v>0.88</v>
      </c>
      <c r="F43" s="632">
        <f t="shared" si="0"/>
        <v>1.18115234375</v>
      </c>
      <c r="G43" s="631">
        <f t="shared" si="1"/>
        <v>0.18115234375</v>
      </c>
      <c r="H43" s="630">
        <f t="shared" si="2"/>
        <v>1.20263671875</v>
      </c>
      <c r="I43" s="629">
        <f t="shared" si="3"/>
        <v>0.20263671875</v>
      </c>
      <c r="J43" s="330"/>
      <c r="K43" s="330"/>
      <c r="L43" s="330"/>
      <c r="M43" s="330"/>
    </row>
    <row r="44" spans="3:13" x14ac:dyDescent="0.25">
      <c r="C44" s="346">
        <v>2004</v>
      </c>
      <c r="D44" s="633">
        <v>40.58</v>
      </c>
      <c r="E44" s="347">
        <v>1</v>
      </c>
      <c r="F44" s="632">
        <f t="shared" si="0"/>
        <v>0.83877635386523353</v>
      </c>
      <c r="G44" s="631">
        <f t="shared" si="1"/>
        <v>-0.16122364613476647</v>
      </c>
      <c r="H44" s="630">
        <f t="shared" si="2"/>
        <v>0.85944605208763947</v>
      </c>
      <c r="I44" s="629">
        <f t="shared" si="3"/>
        <v>-0.14055394791236053</v>
      </c>
      <c r="J44" s="330"/>
      <c r="K44" s="330"/>
      <c r="L44" s="330"/>
      <c r="M44" s="330"/>
    </row>
    <row r="45" spans="3:13" x14ac:dyDescent="0.25">
      <c r="C45" s="330"/>
      <c r="D45" s="330"/>
      <c r="E45" s="330"/>
      <c r="F45" s="330"/>
      <c r="G45" s="330"/>
      <c r="H45" s="330"/>
      <c r="I45" s="330"/>
      <c r="J45" s="330"/>
      <c r="K45" s="330"/>
      <c r="L45" s="330"/>
      <c r="M45" s="330"/>
    </row>
    <row r="46" spans="3:13" x14ac:dyDescent="0.25">
      <c r="C46" s="333" t="s">
        <v>1953</v>
      </c>
      <c r="D46" s="330"/>
      <c r="E46" s="330"/>
      <c r="F46" s="330"/>
      <c r="G46" s="330"/>
      <c r="H46" s="330" t="s">
        <v>2217</v>
      </c>
      <c r="I46" s="628">
        <f>_xlfn.STDEV.S(I30:I44)</f>
        <v>0.26354285619123946</v>
      </c>
      <c r="J46" s="330"/>
      <c r="K46" s="330"/>
      <c r="L46" s="330"/>
      <c r="M46" s="330"/>
    </row>
    <row r="47" spans="3:13" x14ac:dyDescent="0.25">
      <c r="C47" s="330" t="s">
        <v>2219</v>
      </c>
      <c r="D47" s="330"/>
      <c r="E47" s="330">
        <f>(I30-K$33)^2</f>
        <v>8.3426743741533554E-3</v>
      </c>
      <c r="F47" s="330"/>
      <c r="G47" s="330"/>
      <c r="H47" s="330"/>
      <c r="I47" s="330"/>
      <c r="J47" s="330"/>
      <c r="K47" s="330"/>
      <c r="L47" s="330"/>
      <c r="M47" s="330"/>
    </row>
    <row r="48" spans="3:13" x14ac:dyDescent="0.25">
      <c r="C48" s="330"/>
      <c r="D48" s="330"/>
      <c r="E48" s="330">
        <f>(I31-K$33)^2</f>
        <v>0.38206556312086315</v>
      </c>
      <c r="F48" s="330"/>
      <c r="G48" s="330"/>
      <c r="H48" s="330"/>
      <c r="I48" s="330"/>
      <c r="J48" s="330"/>
      <c r="K48" s="330"/>
      <c r="L48" s="330"/>
      <c r="M48" s="330"/>
    </row>
    <row r="49" spans="3:13" x14ac:dyDescent="0.25">
      <c r="C49" s="330"/>
      <c r="D49" s="330"/>
      <c r="E49" s="330">
        <f t="shared" ref="E49:E61" si="4">(I32-K$33)^2</f>
        <v>7.647134087319118E-3</v>
      </c>
      <c r="F49" s="330"/>
      <c r="G49" s="330"/>
      <c r="H49" s="330"/>
      <c r="I49" s="330"/>
      <c r="J49" s="330"/>
      <c r="K49" s="330"/>
      <c r="L49" s="330"/>
      <c r="M49" s="330"/>
    </row>
    <row r="50" spans="3:13" x14ac:dyDescent="0.25">
      <c r="C50" s="330"/>
      <c r="D50" s="330"/>
      <c r="E50" s="330">
        <f t="shared" si="4"/>
        <v>3.5552963511587417E-3</v>
      </c>
      <c r="F50" s="330"/>
      <c r="G50" s="330"/>
      <c r="H50" s="330"/>
      <c r="I50" s="330"/>
      <c r="J50" s="330"/>
      <c r="K50" s="330"/>
      <c r="L50" s="330"/>
      <c r="M50" s="330"/>
    </row>
    <row r="51" spans="3:13" x14ac:dyDescent="0.25">
      <c r="C51" s="330"/>
      <c r="D51" s="330"/>
      <c r="E51" s="330">
        <f t="shared" si="4"/>
        <v>1.1026573040915175E-3</v>
      </c>
      <c r="F51" s="330"/>
      <c r="G51" s="330"/>
      <c r="H51" s="330"/>
      <c r="I51" s="330"/>
      <c r="J51" s="330"/>
      <c r="K51" s="330"/>
      <c r="L51" s="330"/>
      <c r="M51" s="330"/>
    </row>
    <row r="52" spans="3:13" x14ac:dyDescent="0.25">
      <c r="C52" s="330"/>
      <c r="D52" s="330"/>
      <c r="E52" s="330">
        <f t="shared" si="4"/>
        <v>0.10220401372007309</v>
      </c>
      <c r="F52" s="330"/>
      <c r="G52" s="330"/>
      <c r="H52" s="330"/>
      <c r="I52" s="330"/>
      <c r="J52" s="330"/>
      <c r="K52" s="330"/>
      <c r="L52" s="330"/>
      <c r="M52" s="330"/>
    </row>
    <row r="53" spans="3:13" x14ac:dyDescent="0.25">
      <c r="C53" s="330"/>
      <c r="D53" s="330"/>
      <c r="E53" s="330">
        <f t="shared" si="4"/>
        <v>8.1754572009802698E-2</v>
      </c>
      <c r="F53" s="330"/>
      <c r="G53" s="330"/>
      <c r="H53" s="330"/>
      <c r="I53" s="330"/>
      <c r="J53" s="330"/>
      <c r="K53" s="330"/>
      <c r="L53" s="330"/>
      <c r="M53" s="330"/>
    </row>
    <row r="54" spans="3:13" x14ac:dyDescent="0.25">
      <c r="C54" s="330"/>
      <c r="D54" s="330"/>
      <c r="E54" s="330">
        <f t="shared" si="4"/>
        <v>1.6477619492981918E-2</v>
      </c>
      <c r="F54" s="330"/>
      <c r="G54" s="330"/>
      <c r="H54" s="330"/>
      <c r="I54" s="330"/>
      <c r="J54" s="330"/>
      <c r="K54" s="330"/>
      <c r="L54" s="330"/>
      <c r="M54" s="330"/>
    </row>
    <row r="55" spans="3:13" x14ac:dyDescent="0.25">
      <c r="C55" s="330"/>
      <c r="D55" s="330"/>
      <c r="E55" s="330">
        <f t="shared" si="4"/>
        <v>1.9310842284731934E-2</v>
      </c>
      <c r="F55" s="330"/>
      <c r="G55" s="330"/>
      <c r="H55" s="330"/>
      <c r="I55" s="330"/>
      <c r="J55" s="330"/>
      <c r="K55" s="330"/>
      <c r="L55" s="330"/>
      <c r="M55" s="330"/>
    </row>
    <row r="56" spans="3:13" x14ac:dyDescent="0.25">
      <c r="C56" s="330"/>
      <c r="D56" s="330"/>
      <c r="E56" s="330">
        <f t="shared" si="4"/>
        <v>7.456691877637163E-2</v>
      </c>
      <c r="F56" s="330"/>
      <c r="G56" s="330"/>
      <c r="H56" s="330"/>
      <c r="I56" s="330"/>
      <c r="J56" s="330"/>
      <c r="K56" s="330"/>
      <c r="L56" s="330"/>
      <c r="M56" s="330"/>
    </row>
    <row r="57" spans="3:13" x14ac:dyDescent="0.25">
      <c r="C57" s="330"/>
      <c r="D57" s="330"/>
      <c r="E57" s="330">
        <f t="shared" si="4"/>
        <v>8.0247847692822456E-3</v>
      </c>
      <c r="F57" s="330"/>
      <c r="G57" s="330"/>
      <c r="H57" s="330"/>
      <c r="I57" s="330"/>
      <c r="J57" s="330"/>
      <c r="K57" s="330"/>
      <c r="L57" s="330"/>
      <c r="M57" s="330"/>
    </row>
    <row r="58" spans="3:13" x14ac:dyDescent="0.25">
      <c r="C58" s="330"/>
      <c r="D58" s="330"/>
      <c r="E58" s="330">
        <f t="shared" si="4"/>
        <v>0.13446921419108193</v>
      </c>
      <c r="F58" s="330"/>
      <c r="G58" s="330"/>
      <c r="H58" s="330"/>
      <c r="I58" s="330"/>
      <c r="J58" s="330"/>
      <c r="K58" s="330"/>
      <c r="L58" s="330"/>
      <c r="M58" s="330"/>
    </row>
    <row r="59" spans="3:13" x14ac:dyDescent="0.25">
      <c r="C59" s="330"/>
      <c r="D59" s="330"/>
      <c r="E59" s="330">
        <f t="shared" si="4"/>
        <v>3.950174104903699E-2</v>
      </c>
      <c r="F59" s="330"/>
      <c r="G59" s="330"/>
      <c r="H59" s="330"/>
      <c r="I59" s="330"/>
      <c r="J59" s="330"/>
      <c r="K59" s="330"/>
      <c r="L59" s="330"/>
      <c r="M59" s="330"/>
    </row>
    <row r="60" spans="3:13" x14ac:dyDescent="0.25">
      <c r="C60" s="330"/>
      <c r="D60" s="330"/>
      <c r="E60" s="330">
        <f t="shared" si="4"/>
        <v>1.6274930546470148E-3</v>
      </c>
      <c r="F60" s="330"/>
      <c r="G60" s="330"/>
      <c r="H60" s="330"/>
      <c r="I60" s="330"/>
      <c r="J60" s="330"/>
      <c r="K60" s="330"/>
      <c r="L60" s="330"/>
      <c r="M60" s="330"/>
    </row>
    <row r="61" spans="3:13" x14ac:dyDescent="0.25">
      <c r="C61" s="330"/>
      <c r="D61" s="330"/>
      <c r="E61" s="330">
        <f t="shared" si="4"/>
        <v>9.1717194106513161E-2</v>
      </c>
      <c r="F61" s="330"/>
      <c r="G61" s="330"/>
      <c r="H61" s="330"/>
      <c r="I61" s="330"/>
      <c r="J61" s="330"/>
      <c r="K61" s="330"/>
      <c r="L61" s="330"/>
      <c r="M61" s="330"/>
    </row>
    <row r="62" spans="3:13" x14ac:dyDescent="0.25">
      <c r="C62" s="330"/>
      <c r="D62" s="330" t="s">
        <v>245</v>
      </c>
      <c r="E62" s="330">
        <f>SUM(E47:E61)</f>
        <v>0.97236771869210858</v>
      </c>
      <c r="F62" s="330"/>
      <c r="G62" s="330"/>
      <c r="H62" s="330"/>
      <c r="I62" s="330"/>
      <c r="J62" s="330"/>
      <c r="K62" s="330"/>
      <c r="L62" s="330"/>
      <c r="M62" s="330"/>
    </row>
    <row r="63" spans="3:13" x14ac:dyDescent="0.25">
      <c r="C63" s="330"/>
      <c r="D63" s="333" t="s">
        <v>2218</v>
      </c>
      <c r="E63" s="333">
        <f>E62/(COUNT(E47:E61)-1)</f>
        <v>6.9454837049436322E-2</v>
      </c>
      <c r="F63" s="330"/>
      <c r="G63" s="330"/>
      <c r="H63" s="330"/>
      <c r="I63" s="330"/>
      <c r="J63" s="330"/>
      <c r="K63" s="330"/>
      <c r="L63" s="330"/>
      <c r="M63" s="330"/>
    </row>
    <row r="64" spans="3:13" x14ac:dyDescent="0.25">
      <c r="C64" s="330"/>
      <c r="D64" s="330" t="s">
        <v>2217</v>
      </c>
      <c r="E64" s="628">
        <f>SQRT(E63)</f>
        <v>0.26354285619123946</v>
      </c>
      <c r="F64" s="330"/>
      <c r="G64" s="330"/>
      <c r="H64" s="330"/>
      <c r="I64" s="330"/>
      <c r="J64" s="330"/>
      <c r="K64" s="330"/>
      <c r="L64" s="330"/>
      <c r="M64" s="330"/>
    </row>
    <row r="65" spans="1:13" x14ac:dyDescent="0.25">
      <c r="A65" s="1" t="s">
        <v>3252</v>
      </c>
      <c r="C65" s="330"/>
      <c r="D65" s="330"/>
      <c r="E65" s="330"/>
      <c r="F65" s="330"/>
      <c r="G65" s="330"/>
      <c r="H65" s="330"/>
      <c r="I65" s="330"/>
      <c r="J65" s="330"/>
      <c r="K65" s="330"/>
      <c r="L65" s="330"/>
      <c r="M65" s="330"/>
    </row>
    <row r="66" spans="1:13" x14ac:dyDescent="0.25">
      <c r="A66" s="921" t="s">
        <v>3253</v>
      </c>
      <c r="C66" s="330"/>
      <c r="D66" s="330"/>
      <c r="E66" s="330"/>
      <c r="F66" s="330"/>
      <c r="G66" s="330"/>
      <c r="H66" s="330"/>
      <c r="I66" s="330"/>
      <c r="J66" s="330"/>
      <c r="K66" s="330"/>
      <c r="L66" s="330"/>
      <c r="M66" s="330"/>
    </row>
    <row r="67" spans="1:13" x14ac:dyDescent="0.25">
      <c r="C67" s="330"/>
      <c r="D67" s="330"/>
      <c r="E67" s="330"/>
      <c r="F67" s="330"/>
      <c r="G67" s="330"/>
      <c r="H67" s="330"/>
      <c r="I67" s="330"/>
      <c r="J67" s="330"/>
      <c r="K67" s="330"/>
      <c r="L67" s="330"/>
      <c r="M67" s="330"/>
    </row>
    <row r="68" spans="1:13" ht="16.5" thickBot="1" x14ac:dyDescent="0.3">
      <c r="C68" s="330"/>
      <c r="D68" s="330"/>
      <c r="E68" s="330"/>
      <c r="F68" s="330" t="s">
        <v>3255</v>
      </c>
      <c r="G68" s="330"/>
      <c r="H68" s="330"/>
      <c r="I68" s="330" t="s">
        <v>3254</v>
      </c>
      <c r="J68" s="330"/>
      <c r="K68" s="330"/>
      <c r="L68" s="330"/>
      <c r="M68" s="330"/>
    </row>
    <row r="69" spans="1:13" ht="43.5" thickBot="1" x14ac:dyDescent="0.3">
      <c r="B69" s="937" t="s">
        <v>1202</v>
      </c>
      <c r="C69" s="938" t="s">
        <v>3241</v>
      </c>
      <c r="D69" s="938" t="s">
        <v>3242</v>
      </c>
      <c r="E69" s="330"/>
      <c r="F69" s="938" t="s">
        <v>3241</v>
      </c>
      <c r="G69" s="938" t="s">
        <v>3242</v>
      </c>
      <c r="H69" s="330"/>
      <c r="I69" s="938" t="s">
        <v>3241</v>
      </c>
      <c r="J69" s="938" t="s">
        <v>3242</v>
      </c>
      <c r="K69" s="330"/>
      <c r="L69" s="330"/>
      <c r="M69" s="330"/>
    </row>
    <row r="70" spans="1:13" ht="16.5" thickBot="1" x14ac:dyDescent="0.3">
      <c r="B70" s="939">
        <v>1</v>
      </c>
      <c r="C70" s="940">
        <v>9.4</v>
      </c>
      <c r="D70" s="940">
        <v>-1</v>
      </c>
      <c r="F70" s="936">
        <f>C70/100</f>
        <v>9.4E-2</v>
      </c>
      <c r="G70" s="936">
        <f>D70/100</f>
        <v>-0.01</v>
      </c>
      <c r="I70" s="1">
        <f>(F70-F$80)^2</f>
        <v>2.4336000000000008E-4</v>
      </c>
      <c r="J70" s="1">
        <f>(G70-G$80)^2</f>
        <v>8.1360399999999972E-3</v>
      </c>
    </row>
    <row r="71" spans="1:13" ht="16.5" thickBot="1" x14ac:dyDescent="0.3">
      <c r="B71" s="939">
        <v>2</v>
      </c>
      <c r="C71" s="940">
        <v>7.4</v>
      </c>
      <c r="D71" s="940">
        <v>-5.3</v>
      </c>
      <c r="F71" s="936">
        <f t="shared" ref="F71:F80" si="5">C71/100</f>
        <v>7.400000000000001E-2</v>
      </c>
      <c r="G71" s="936">
        <f t="shared" ref="G71:G80" si="6">D71/100</f>
        <v>-5.2999999999999999E-2</v>
      </c>
      <c r="I71" s="928">
        <f>(F71-F$80)^2</f>
        <v>1.9359999999999889E-5</v>
      </c>
      <c r="J71" s="1">
        <f t="shared" ref="I71:J79" si="7">(G71-G$80)^2</f>
        <v>1.7742239999999996E-2</v>
      </c>
    </row>
    <row r="72" spans="1:13" ht="16.5" thickBot="1" x14ac:dyDescent="0.3">
      <c r="B72" s="939">
        <v>3</v>
      </c>
      <c r="C72" s="940">
        <v>10.7</v>
      </c>
      <c r="D72" s="940">
        <v>33.299999999999997</v>
      </c>
      <c r="F72" s="936">
        <f t="shared" si="5"/>
        <v>0.107</v>
      </c>
      <c r="G72" s="936">
        <f t="shared" si="6"/>
        <v>0.33299999999999996</v>
      </c>
      <c r="I72" s="1">
        <f t="shared" si="7"/>
        <v>8.1796000000000006E-4</v>
      </c>
      <c r="J72" s="1">
        <f t="shared" si="7"/>
        <v>6.390783999999998E-2</v>
      </c>
    </row>
    <row r="73" spans="1:13" ht="16.5" thickBot="1" x14ac:dyDescent="0.3">
      <c r="B73" s="939">
        <v>4</v>
      </c>
      <c r="C73" s="940">
        <v>10.199999999999999</v>
      </c>
      <c r="D73" s="940">
        <v>11.6</v>
      </c>
      <c r="F73" s="936">
        <f t="shared" si="5"/>
        <v>0.10199999999999999</v>
      </c>
      <c r="G73" s="936">
        <f t="shared" si="6"/>
        <v>0.11599999999999999</v>
      </c>
      <c r="I73" s="1">
        <f t="shared" si="7"/>
        <v>5.5695999999999979E-4</v>
      </c>
      <c r="J73" s="1">
        <f t="shared" si="7"/>
        <v>1.2816399999999999E-3</v>
      </c>
    </row>
    <row r="74" spans="1:13" ht="16.5" thickBot="1" x14ac:dyDescent="0.3">
      <c r="B74" s="939">
        <v>5</v>
      </c>
      <c r="C74" s="940">
        <v>5.3</v>
      </c>
      <c r="D74" s="940">
        <v>5.6</v>
      </c>
      <c r="F74" s="936">
        <f t="shared" si="5"/>
        <v>5.2999999999999999E-2</v>
      </c>
      <c r="G74" s="936">
        <f t="shared" si="6"/>
        <v>5.5999999999999994E-2</v>
      </c>
      <c r="I74" s="1">
        <f t="shared" si="7"/>
        <v>6.4515999999999998E-4</v>
      </c>
      <c r="J74" s="1">
        <f t="shared" si="7"/>
        <v>5.8564000000000001E-4</v>
      </c>
    </row>
    <row r="75" spans="1:13" ht="16.5" thickBot="1" x14ac:dyDescent="0.3">
      <c r="B75" s="939">
        <v>6</v>
      </c>
      <c r="C75" s="940">
        <v>3</v>
      </c>
      <c r="D75" s="940">
        <v>-10.9</v>
      </c>
      <c r="F75" s="936">
        <f t="shared" si="5"/>
        <v>0.03</v>
      </c>
      <c r="G75" s="936">
        <f t="shared" si="6"/>
        <v>-0.109</v>
      </c>
      <c r="I75" s="1">
        <f t="shared" si="7"/>
        <v>2.34256E-3</v>
      </c>
      <c r="J75" s="1">
        <f t="shared" si="7"/>
        <v>3.5796639999999991E-2</v>
      </c>
    </row>
    <row r="76" spans="1:13" ht="16.5" thickBot="1" x14ac:dyDescent="0.3">
      <c r="B76" s="939">
        <v>7</v>
      </c>
      <c r="C76" s="940">
        <v>11.3</v>
      </c>
      <c r="D76" s="940">
        <v>18.8</v>
      </c>
      <c r="F76" s="936">
        <f t="shared" si="5"/>
        <v>0.113</v>
      </c>
      <c r="G76" s="936">
        <f t="shared" si="6"/>
        <v>0.188</v>
      </c>
      <c r="I76" s="1">
        <f t="shared" si="7"/>
        <v>1.1971600000000005E-3</v>
      </c>
      <c r="J76" s="1">
        <f t="shared" si="7"/>
        <v>1.1620840000000002E-2</v>
      </c>
    </row>
    <row r="77" spans="1:13" ht="16.5" thickBot="1" x14ac:dyDescent="0.3">
      <c r="B77" s="939">
        <v>8</v>
      </c>
      <c r="C77" s="940">
        <v>7.3</v>
      </c>
      <c r="D77" s="940">
        <v>-2.5</v>
      </c>
      <c r="F77" s="936">
        <f t="shared" si="5"/>
        <v>7.2999999999999995E-2</v>
      </c>
      <c r="G77" s="936">
        <f t="shared" si="6"/>
        <v>-2.5000000000000001E-2</v>
      </c>
      <c r="I77" s="1">
        <f t="shared" si="7"/>
        <v>2.9160000000000022E-5</v>
      </c>
      <c r="J77" s="1">
        <f t="shared" si="7"/>
        <v>1.1067039999999997E-2</v>
      </c>
    </row>
    <row r="78" spans="1:13" ht="16.5" thickBot="1" x14ac:dyDescent="0.3">
      <c r="B78" s="939">
        <v>9</v>
      </c>
      <c r="C78" s="940">
        <v>-0.2</v>
      </c>
      <c r="D78" s="940">
        <v>3.8</v>
      </c>
      <c r="F78" s="936">
        <f t="shared" si="5"/>
        <v>-2E-3</v>
      </c>
      <c r="G78" s="936">
        <f t="shared" si="6"/>
        <v>3.7999999999999999E-2</v>
      </c>
      <c r="I78" s="1">
        <f t="shared" si="7"/>
        <v>6.46416E-3</v>
      </c>
      <c r="J78" s="1">
        <f t="shared" si="7"/>
        <v>1.7808399999999995E-3</v>
      </c>
    </row>
    <row r="79" spans="1:13" ht="16.5" thickBot="1" x14ac:dyDescent="0.3">
      <c r="B79" s="939">
        <v>10</v>
      </c>
      <c r="C79" s="940">
        <v>14</v>
      </c>
      <c r="D79" s="940">
        <v>26.8</v>
      </c>
      <c r="F79" s="936">
        <f t="shared" si="5"/>
        <v>0.14000000000000001</v>
      </c>
      <c r="G79" s="936">
        <f t="shared" si="6"/>
        <v>0.26800000000000002</v>
      </c>
      <c r="I79" s="1">
        <f t="shared" si="7"/>
        <v>3.7945600000000019E-3</v>
      </c>
      <c r="J79" s="1">
        <f>(G79-G$80)^2</f>
        <v>3.526884000000001E-2</v>
      </c>
    </row>
    <row r="80" spans="1:13" x14ac:dyDescent="0.25">
      <c r="A80" s="1" t="s">
        <v>3251</v>
      </c>
      <c r="C80" s="1">
        <v>7.84</v>
      </c>
      <c r="D80" s="1">
        <v>8.02</v>
      </c>
      <c r="F80" s="936">
        <f t="shared" si="5"/>
        <v>7.8399999999999997E-2</v>
      </c>
      <c r="G80" s="936">
        <f t="shared" si="6"/>
        <v>8.0199999999999994E-2</v>
      </c>
      <c r="H80" s="1" t="s">
        <v>245</v>
      </c>
      <c r="I80" s="1">
        <f>SUM(I70:I79)</f>
        <v>1.6110400000000004E-2</v>
      </c>
      <c r="J80" s="1">
        <f>SUM(J70:J79)</f>
        <v>0.18718759999999995</v>
      </c>
    </row>
    <row r="81" spans="6:10" x14ac:dyDescent="0.25">
      <c r="F81" s="941"/>
      <c r="G81" s="941"/>
      <c r="H81" s="333" t="s">
        <v>2218</v>
      </c>
      <c r="I81" s="333">
        <f>I80/(COUNT(I70:I79)-1)</f>
        <v>1.790044444444445E-3</v>
      </c>
      <c r="J81" s="333">
        <f>J80/(COUNT(J70:J79)-1)</f>
        <v>2.0798622222222216E-2</v>
      </c>
    </row>
    <row r="82" spans="6:10" x14ac:dyDescent="0.25">
      <c r="F82" s="936"/>
      <c r="G82" s="936"/>
      <c r="H82" s="1" t="s">
        <v>2217</v>
      </c>
      <c r="I82" s="936">
        <f>SQRT(I81)</f>
        <v>4.2308916843195654E-2</v>
      </c>
      <c r="J82" s="936">
        <f>SQRT(J81)</f>
        <v>0.14421727435443446</v>
      </c>
    </row>
  </sheetData>
  <hyperlinks>
    <hyperlink ref="D4" location="Finansieringsteori!A1" display="Finansieringsteori!A1" xr:uid="{00000000-0004-0000-4A00-000000000000}"/>
  </hyperlink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00B050"/>
  </sheetPr>
  <dimension ref="C3:AC162"/>
  <sheetViews>
    <sheetView topLeftCell="D1" workbookViewId="0">
      <selection activeCell="D3" sqref="D3"/>
    </sheetView>
  </sheetViews>
  <sheetFormatPr defaultColWidth="10.875" defaultRowHeight="15.75" x14ac:dyDescent="0.25"/>
  <cols>
    <col min="1" max="2" width="10.875" style="1"/>
    <col min="3" max="3" width="22.375" style="1" customWidth="1"/>
    <col min="4" max="14" width="10.875" style="1"/>
    <col min="15" max="15" width="10.875" style="14"/>
    <col min="16" max="16" width="10.875" style="1"/>
    <col min="17" max="17" width="28.125" style="1" customWidth="1"/>
    <col min="18" max="18" width="10.875" style="1"/>
    <col min="19" max="19" width="15.5" style="1" customWidth="1"/>
    <col min="20" max="22" width="10.875" style="1"/>
    <col min="23" max="23" width="20.5" style="1" customWidth="1"/>
    <col min="24" max="25" width="10.875" style="1"/>
    <col min="26" max="26" width="14.375" style="1" customWidth="1"/>
    <col min="27" max="27" width="14.5" style="1" customWidth="1"/>
    <col min="28" max="16384" width="10.875" style="1"/>
  </cols>
  <sheetData>
    <row r="3" spans="3:29" x14ac:dyDescent="0.25">
      <c r="D3" s="101" t="s">
        <v>1612</v>
      </c>
    </row>
    <row r="6" spans="3:29" x14ac:dyDescent="0.25">
      <c r="C6" s="643" t="s">
        <v>2286</v>
      </c>
      <c r="D6" s="331"/>
      <c r="E6" s="331"/>
      <c r="F6" s="331"/>
      <c r="G6" s="331"/>
      <c r="H6" s="331"/>
      <c r="I6" s="331"/>
      <c r="J6" s="331"/>
      <c r="Q6" s="270"/>
      <c r="R6" s="270"/>
      <c r="S6" s="270"/>
      <c r="T6" s="270"/>
      <c r="U6" s="270"/>
      <c r="V6" s="270"/>
      <c r="W6" s="270"/>
      <c r="X6" s="270"/>
      <c r="Y6" s="270"/>
      <c r="Z6" s="270"/>
      <c r="AA6" s="270"/>
      <c r="AB6" s="270"/>
      <c r="AC6" s="270"/>
    </row>
    <row r="7" spans="3:29" x14ac:dyDescent="0.25">
      <c r="C7" s="671" t="s">
        <v>2285</v>
      </c>
      <c r="D7" s="671"/>
      <c r="E7" s="671"/>
      <c r="F7" s="671"/>
      <c r="G7" s="671"/>
      <c r="H7" s="671"/>
      <c r="I7" s="331"/>
      <c r="J7" s="331"/>
      <c r="Q7" s="437" t="s">
        <v>2956</v>
      </c>
      <c r="R7" s="437"/>
      <c r="S7" s="717"/>
      <c r="T7" s="162"/>
      <c r="U7" s="162"/>
      <c r="V7" s="162"/>
      <c r="W7" s="162"/>
      <c r="X7" s="162"/>
      <c r="Y7" s="162"/>
      <c r="Z7" s="162"/>
      <c r="AA7" s="162"/>
      <c r="AB7" s="162"/>
      <c r="AC7" s="162"/>
    </row>
    <row r="8" spans="3:29" x14ac:dyDescent="0.25">
      <c r="C8" s="658" t="s">
        <v>2284</v>
      </c>
      <c r="D8" s="642"/>
      <c r="E8" s="642"/>
      <c r="F8" s="642"/>
      <c r="G8" s="653"/>
      <c r="H8" s="653"/>
      <c r="I8" s="331"/>
      <c r="J8" s="331"/>
      <c r="Q8" s="162" t="s">
        <v>2957</v>
      </c>
      <c r="R8" s="162"/>
      <c r="S8" s="162"/>
      <c r="T8" s="162"/>
      <c r="U8" s="162"/>
      <c r="V8" s="162"/>
      <c r="W8" s="162"/>
      <c r="X8" s="162"/>
      <c r="Y8" s="162"/>
      <c r="Z8" s="162"/>
      <c r="AA8" s="162"/>
      <c r="AB8" s="162"/>
      <c r="AC8" s="162"/>
    </row>
    <row r="9" spans="3:29" x14ac:dyDescent="0.25">
      <c r="C9" s="658" t="s">
        <v>2283</v>
      </c>
      <c r="D9" s="642"/>
      <c r="E9" s="642"/>
      <c r="F9" s="642"/>
      <c r="G9" s="642"/>
      <c r="H9" s="642"/>
      <c r="I9" s="331"/>
      <c r="J9" s="331"/>
      <c r="Q9" s="162"/>
      <c r="R9" s="162"/>
      <c r="S9" s="706"/>
      <c r="T9" s="162"/>
      <c r="U9" s="162"/>
      <c r="V9" s="162"/>
      <c r="W9" s="162"/>
      <c r="X9" s="162"/>
      <c r="Y9" s="162"/>
      <c r="Z9" s="162"/>
      <c r="AA9" s="162"/>
      <c r="AB9" s="162"/>
      <c r="AC9" s="162"/>
    </row>
    <row r="10" spans="3:29" x14ac:dyDescent="0.25">
      <c r="C10" s="658"/>
      <c r="D10" s="670" t="s">
        <v>2203</v>
      </c>
      <c r="E10" s="670" t="s">
        <v>2203</v>
      </c>
      <c r="F10" s="642"/>
      <c r="G10" s="642"/>
      <c r="H10" s="642"/>
      <c r="I10" s="331"/>
      <c r="J10" s="331"/>
      <c r="Q10" s="161" t="s">
        <v>2958</v>
      </c>
      <c r="R10" s="161"/>
      <c r="S10" s="161"/>
      <c r="T10" s="161"/>
      <c r="U10" s="161"/>
      <c r="V10" s="161"/>
      <c r="W10" s="162"/>
      <c r="X10" s="162"/>
      <c r="Y10" s="162"/>
      <c r="Z10" s="162"/>
      <c r="AA10" s="162"/>
      <c r="AB10" s="162"/>
      <c r="AC10" s="162"/>
    </row>
    <row r="11" spans="3:29" x14ac:dyDescent="0.25">
      <c r="C11" s="669" t="s">
        <v>2232</v>
      </c>
      <c r="D11" s="668" t="s">
        <v>2282</v>
      </c>
      <c r="E11" s="667" t="s">
        <v>2281</v>
      </c>
      <c r="F11" s="668"/>
      <c r="G11" s="667"/>
      <c r="H11" s="642"/>
      <c r="I11" s="331"/>
      <c r="J11" s="331"/>
      <c r="Q11" s="162" t="s">
        <v>2959</v>
      </c>
      <c r="R11" s="162"/>
      <c r="S11" s="162"/>
      <c r="T11" s="162"/>
      <c r="U11" s="162"/>
      <c r="V11" s="162"/>
      <c r="W11" s="162"/>
      <c r="X11" s="162"/>
      <c r="Y11" s="162"/>
      <c r="Z11" s="162"/>
      <c r="AA11" s="162"/>
      <c r="AB11" s="162"/>
      <c r="AC11" s="162"/>
    </row>
    <row r="12" spans="3:29" x14ac:dyDescent="0.25">
      <c r="C12" s="666">
        <v>1990</v>
      </c>
      <c r="D12" s="659">
        <v>0.25363276089828246</v>
      </c>
      <c r="E12" s="665">
        <v>0.73584905660377364</v>
      </c>
      <c r="F12" s="661">
        <f t="shared" ref="F12:F26" si="0">(D12-D$39)^2</f>
        <v>8.3426743741533554E-3</v>
      </c>
      <c r="G12" s="661">
        <f t="shared" ref="G12:G26" si="1">(E12-E$39)^2</f>
        <v>0.10199182676882608</v>
      </c>
      <c r="H12" s="642"/>
      <c r="I12" s="331"/>
      <c r="J12" s="331"/>
      <c r="Q12" s="162"/>
      <c r="R12" s="162"/>
      <c r="S12" s="706"/>
      <c r="T12" s="162"/>
      <c r="U12" s="162"/>
      <c r="V12" s="162"/>
      <c r="W12" s="162"/>
      <c r="X12" s="162"/>
      <c r="Y12" s="162"/>
      <c r="Z12" s="162"/>
      <c r="AA12" s="162"/>
      <c r="AB12" s="162"/>
      <c r="AC12" s="162"/>
    </row>
    <row r="13" spans="3:29" x14ac:dyDescent="0.25">
      <c r="C13" s="666">
        <v>1991</v>
      </c>
      <c r="D13" s="659">
        <v>0.78040904198062444</v>
      </c>
      <c r="E13" s="665">
        <v>1.2065217391304346</v>
      </c>
      <c r="F13" s="661">
        <f t="shared" si="0"/>
        <v>0.38206556312086315</v>
      </c>
      <c r="G13" s="661">
        <f t="shared" si="1"/>
        <v>0.62415415572850375</v>
      </c>
      <c r="H13" s="642"/>
      <c r="I13" s="331"/>
      <c r="J13" s="331"/>
      <c r="Q13" s="161" t="s">
        <v>2960</v>
      </c>
      <c r="R13" s="161"/>
      <c r="S13" s="161"/>
      <c r="T13" s="161"/>
      <c r="U13" s="161"/>
      <c r="V13" s="161"/>
      <c r="W13" s="161"/>
      <c r="X13" s="162"/>
      <c r="Y13" s="162"/>
      <c r="Z13" s="162"/>
      <c r="AA13" s="162"/>
      <c r="AB13" s="162"/>
      <c r="AC13" s="162"/>
    </row>
    <row r="14" spans="3:29" x14ac:dyDescent="0.25">
      <c r="C14" s="666">
        <v>1992</v>
      </c>
      <c r="D14" s="659">
        <v>7.4846625766871178E-2</v>
      </c>
      <c r="E14" s="665">
        <v>0.15270935960591148</v>
      </c>
      <c r="F14" s="661">
        <f t="shared" si="0"/>
        <v>7.647134087319118E-3</v>
      </c>
      <c r="G14" s="661">
        <f t="shared" si="1"/>
        <v>6.9578888408611345E-2</v>
      </c>
      <c r="H14" s="642"/>
      <c r="I14" s="331"/>
      <c r="J14" s="331"/>
      <c r="Q14" s="161"/>
      <c r="R14" s="162"/>
      <c r="S14" s="706"/>
      <c r="T14" s="162"/>
      <c r="U14" s="162"/>
      <c r="V14" s="162"/>
      <c r="W14" s="162"/>
      <c r="X14" s="162"/>
      <c r="Y14" s="162"/>
      <c r="Z14" s="162"/>
      <c r="AA14" s="162"/>
      <c r="AB14" s="162"/>
      <c r="AC14" s="162"/>
    </row>
    <row r="15" spans="3:29" x14ac:dyDescent="0.25">
      <c r="C15" s="666">
        <v>1993</v>
      </c>
      <c r="D15" s="659">
        <v>0.10266821345707666</v>
      </c>
      <c r="E15" s="665">
        <v>-5.5555555555555469E-2</v>
      </c>
      <c r="F15" s="661">
        <f t="shared" si="0"/>
        <v>3.5552963511587417E-3</v>
      </c>
      <c r="G15" s="661">
        <f t="shared" si="1"/>
        <v>0.22282461240216553</v>
      </c>
      <c r="H15" s="642"/>
      <c r="I15" s="331"/>
      <c r="J15" s="331"/>
      <c r="Q15" s="161" t="s">
        <v>2961</v>
      </c>
      <c r="R15" s="161"/>
      <c r="S15" s="161"/>
      <c r="T15" s="161"/>
      <c r="U15" s="161"/>
      <c r="V15" s="161"/>
      <c r="W15" s="161"/>
      <c r="X15" s="162"/>
      <c r="Y15" s="162"/>
      <c r="Z15" s="162"/>
      <c r="AA15" s="162"/>
      <c r="AB15" s="162"/>
      <c r="AC15" s="162"/>
    </row>
    <row r="16" spans="3:29" ht="30" customHeight="1" x14ac:dyDescent="0.25">
      <c r="C16" s="666">
        <v>1994</v>
      </c>
      <c r="D16" s="659">
        <v>0.19550080342795928</v>
      </c>
      <c r="E16" s="665">
        <v>0.51583710407239836</v>
      </c>
      <c r="F16" s="661">
        <f t="shared" si="0"/>
        <v>1.1026573040915175E-3</v>
      </c>
      <c r="G16" s="661">
        <f t="shared" si="1"/>
        <v>9.8703509633543633E-3</v>
      </c>
      <c r="H16" s="642"/>
      <c r="I16" s="331"/>
      <c r="J16" s="331"/>
      <c r="Q16" s="162"/>
      <c r="R16" s="567" t="s">
        <v>2203</v>
      </c>
      <c r="S16" s="567" t="s">
        <v>2203</v>
      </c>
      <c r="T16" s="567" t="s">
        <v>2203</v>
      </c>
      <c r="U16" s="567" t="s">
        <v>2203</v>
      </c>
      <c r="V16" s="162" t="s">
        <v>2218</v>
      </c>
      <c r="W16" s="162"/>
      <c r="X16" s="162"/>
      <c r="Y16" s="162"/>
      <c r="Z16" s="162" t="s">
        <v>2949</v>
      </c>
      <c r="AA16" s="971" t="s">
        <v>2948</v>
      </c>
      <c r="AB16" s="971"/>
      <c r="AC16" s="971"/>
    </row>
    <row r="17" spans="3:29" x14ac:dyDescent="0.25">
      <c r="C17" s="666">
        <v>1995</v>
      </c>
      <c r="D17" s="659">
        <v>0.48198814409484725</v>
      </c>
      <c r="E17" s="665">
        <v>0.43283582089552231</v>
      </c>
      <c r="F17" s="661">
        <f t="shared" si="0"/>
        <v>0.10220401372007309</v>
      </c>
      <c r="G17" s="661">
        <f t="shared" si="1"/>
        <v>2.6726877003040021E-4</v>
      </c>
      <c r="H17" s="642"/>
      <c r="I17" s="331"/>
      <c r="J17" s="331"/>
      <c r="Q17" s="868" t="s">
        <v>2962</v>
      </c>
      <c r="R17" s="869" t="s">
        <v>2943</v>
      </c>
      <c r="S17" s="869" t="s">
        <v>2963</v>
      </c>
      <c r="T17" s="869" t="s">
        <v>2964</v>
      </c>
      <c r="U17" s="870" t="s">
        <v>2965</v>
      </c>
      <c r="V17" s="869" t="s">
        <v>2943</v>
      </c>
      <c r="W17" s="869" t="s">
        <v>2963</v>
      </c>
      <c r="X17" s="869" t="s">
        <v>2964</v>
      </c>
      <c r="Y17" s="870" t="s">
        <v>2965</v>
      </c>
      <c r="Z17" s="869" t="s">
        <v>2943</v>
      </c>
      <c r="AA17" s="444" t="s">
        <v>2963</v>
      </c>
      <c r="AB17" s="444" t="s">
        <v>2964</v>
      </c>
      <c r="AC17" s="550" t="s">
        <v>2965</v>
      </c>
    </row>
    <row r="18" spans="3:29" x14ac:dyDescent="0.25">
      <c r="C18" s="666">
        <v>1996</v>
      </c>
      <c r="D18" s="659">
        <v>0.44822208359326243</v>
      </c>
      <c r="E18" s="665">
        <v>0.88541666666666696</v>
      </c>
      <c r="F18" s="661">
        <f t="shared" si="0"/>
        <v>8.1754572009802698E-2</v>
      </c>
      <c r="G18" s="661">
        <f t="shared" si="1"/>
        <v>0.21989459702315756</v>
      </c>
      <c r="H18" s="642"/>
      <c r="I18" s="331"/>
      <c r="J18" s="331"/>
      <c r="Q18" s="721">
        <v>1990</v>
      </c>
      <c r="R18" s="444">
        <v>0.11</v>
      </c>
      <c r="S18" s="444">
        <v>-0.15</v>
      </c>
      <c r="T18" s="444">
        <v>0.1</v>
      </c>
      <c r="U18" s="550">
        <v>0.22</v>
      </c>
      <c r="V18" s="885">
        <v>1.9070299999999999E-4</v>
      </c>
      <c r="W18" s="885">
        <v>5.3559184000000003E-2</v>
      </c>
      <c r="X18" s="885">
        <v>4.7981899999999998E-4</v>
      </c>
      <c r="Y18" s="885">
        <v>1.3389796000000001E-2</v>
      </c>
      <c r="Z18" s="871">
        <v>1.38E-2</v>
      </c>
      <c r="AA18" s="447">
        <v>-0.231428571</v>
      </c>
      <c r="AB18" s="447">
        <v>-2.1904762000000001E-2</v>
      </c>
      <c r="AC18" s="886">
        <v>0.115714286</v>
      </c>
    </row>
    <row r="19" spans="3:29" x14ac:dyDescent="0.25">
      <c r="C19" s="666">
        <v>1997</v>
      </c>
      <c r="D19" s="659">
        <v>0.29065969954278259</v>
      </c>
      <c r="E19" s="665">
        <v>0.56353591160220984</v>
      </c>
      <c r="F19" s="661">
        <f t="shared" si="0"/>
        <v>1.6477619492981918E-2</v>
      </c>
      <c r="G19" s="661">
        <f t="shared" si="1"/>
        <v>2.1623245913859841E-2</v>
      </c>
      <c r="H19" s="642"/>
      <c r="I19" s="331"/>
      <c r="J19" s="331"/>
      <c r="Q19" s="721">
        <v>1991</v>
      </c>
      <c r="R19" s="444">
        <v>0.05</v>
      </c>
      <c r="S19" s="444">
        <v>-0.12</v>
      </c>
      <c r="T19" s="444">
        <v>0.1</v>
      </c>
      <c r="U19" s="550">
        <v>0.14000000000000001</v>
      </c>
      <c r="V19" s="885">
        <v>2.1335600000000001E-3</v>
      </c>
      <c r="W19" s="885">
        <v>4.0573469000000001E-2</v>
      </c>
      <c r="X19" s="885">
        <v>4.7981899999999998E-4</v>
      </c>
      <c r="Y19" s="885">
        <v>1.2755100000000001E-3</v>
      </c>
      <c r="Z19" s="871">
        <v>-4.6199999999999998E-2</v>
      </c>
      <c r="AA19" s="447">
        <v>-0.201428571</v>
      </c>
      <c r="AB19" s="447">
        <v>-2.1904762000000001E-2</v>
      </c>
      <c r="AC19" s="886">
        <v>3.5714285999999998E-2</v>
      </c>
    </row>
    <row r="20" spans="3:29" x14ac:dyDescent="0.25">
      <c r="C20" s="666">
        <v>1998</v>
      </c>
      <c r="D20" s="659">
        <v>2.3331062670299829E-2</v>
      </c>
      <c r="E20" s="665">
        <v>1.1462897526501767</v>
      </c>
      <c r="F20" s="661">
        <f t="shared" si="0"/>
        <v>1.9310842284731934E-2</v>
      </c>
      <c r="G20" s="661">
        <f t="shared" si="1"/>
        <v>0.53261138037828493</v>
      </c>
      <c r="H20" s="642"/>
      <c r="I20" s="331"/>
      <c r="J20" s="331"/>
      <c r="Q20" s="721">
        <v>1992</v>
      </c>
      <c r="R20" s="444">
        <v>0.06</v>
      </c>
      <c r="S20" s="444">
        <v>0.14000000000000001</v>
      </c>
      <c r="T20" s="444">
        <v>0.23</v>
      </c>
      <c r="U20" s="550">
        <v>0.12</v>
      </c>
      <c r="V20" s="885">
        <v>1.3097510000000001E-3</v>
      </c>
      <c r="W20" s="885">
        <v>3.430612E-3</v>
      </c>
      <c r="X20" s="885">
        <v>1.168458E-2</v>
      </c>
      <c r="Y20" s="885">
        <v>2.46939E-4</v>
      </c>
      <c r="Z20" s="871">
        <v>-3.6190475999999999E-2</v>
      </c>
      <c r="AA20" s="447">
        <v>5.8571429000000001E-2</v>
      </c>
      <c r="AB20" s="447">
        <v>0.108095238</v>
      </c>
      <c r="AC20" s="886">
        <v>1.5714286000000001E-2</v>
      </c>
    </row>
    <row r="21" spans="3:29" x14ac:dyDescent="0.25">
      <c r="C21" s="666">
        <v>1999</v>
      </c>
      <c r="D21" s="659">
        <v>-0.11077492015464785</v>
      </c>
      <c r="E21" s="665">
        <v>0.68389858412907478</v>
      </c>
      <c r="F21" s="661">
        <f t="shared" si="0"/>
        <v>7.456691877637163E-2</v>
      </c>
      <c r="G21" s="661">
        <f t="shared" si="1"/>
        <v>7.1508707117113102E-2</v>
      </c>
      <c r="H21" s="642"/>
      <c r="I21" s="331"/>
      <c r="J21" s="331"/>
      <c r="Q21" s="721">
        <v>1993</v>
      </c>
      <c r="R21" s="444">
        <v>0.11</v>
      </c>
      <c r="S21" s="444">
        <v>0.12</v>
      </c>
      <c r="T21" s="444">
        <v>0.22</v>
      </c>
      <c r="U21" s="550">
        <v>0.08</v>
      </c>
      <c r="V21" s="885">
        <v>1.9070299999999999E-4</v>
      </c>
      <c r="W21" s="885">
        <v>1.4877549999999999E-3</v>
      </c>
      <c r="X21" s="885">
        <v>9.6226760000000001E-3</v>
      </c>
      <c r="Y21" s="885">
        <v>5.8979599999999996E-4</v>
      </c>
      <c r="Z21" s="871">
        <v>1.3809524E-2</v>
      </c>
      <c r="AA21" s="447">
        <v>3.8571428999999997E-2</v>
      </c>
      <c r="AB21" s="447">
        <v>9.8095238000000001E-2</v>
      </c>
      <c r="AC21" s="886">
        <v>-2.4285714E-2</v>
      </c>
    </row>
    <row r="22" spans="3:29" x14ac:dyDescent="0.25">
      <c r="C22" s="666">
        <v>2000</v>
      </c>
      <c r="D22" s="659">
        <v>7.2713356295445841E-2</v>
      </c>
      <c r="E22" s="665">
        <v>-0.6284708642940946</v>
      </c>
      <c r="F22" s="661">
        <f t="shared" si="0"/>
        <v>8.0247847692822456E-3</v>
      </c>
      <c r="G22" s="661">
        <f t="shared" si="1"/>
        <v>1.0919379080727214</v>
      </c>
      <c r="H22" s="642"/>
      <c r="I22" s="331"/>
      <c r="J22" s="331"/>
      <c r="Q22" s="721">
        <v>1994</v>
      </c>
      <c r="R22" s="444">
        <v>0.14000000000000001</v>
      </c>
      <c r="S22" s="444">
        <v>0.04</v>
      </c>
      <c r="T22" s="444">
        <v>0.17</v>
      </c>
      <c r="U22" s="550">
        <v>0.15</v>
      </c>
      <c r="V22" s="885">
        <v>1.9192739999999999E-3</v>
      </c>
      <c r="W22" s="885">
        <v>1.7163269999999999E-3</v>
      </c>
      <c r="X22" s="885">
        <v>2.3131520000000002E-3</v>
      </c>
      <c r="Y22" s="885">
        <v>2.0897960000000001E-3</v>
      </c>
      <c r="Z22" s="871">
        <v>4.3809524000000002E-2</v>
      </c>
      <c r="AA22" s="447">
        <v>-4.1428570999999997E-2</v>
      </c>
      <c r="AB22" s="447">
        <v>4.8095237999999998E-2</v>
      </c>
      <c r="AC22" s="886">
        <v>4.5714286E-2</v>
      </c>
    </row>
    <row r="23" spans="3:29" x14ac:dyDescent="0.25">
      <c r="C23" s="666">
        <v>2001</v>
      </c>
      <c r="D23" s="659">
        <v>-0.20440592271578184</v>
      </c>
      <c r="E23" s="665">
        <v>0.52736842105263149</v>
      </c>
      <c r="F23" s="661">
        <f t="shared" si="0"/>
        <v>0.13446921419108193</v>
      </c>
      <c r="G23" s="661">
        <f t="shared" si="1"/>
        <v>1.2294586615522822E-2</v>
      </c>
      <c r="H23" s="642"/>
      <c r="I23" s="331"/>
      <c r="J23" s="331"/>
      <c r="Q23" s="721">
        <v>1995</v>
      </c>
      <c r="R23" s="444">
        <v>0.02</v>
      </c>
      <c r="S23" s="444">
        <v>7.0000000000000007E-2</v>
      </c>
      <c r="T23" s="444">
        <v>0.13</v>
      </c>
      <c r="U23" s="550">
        <v>0.14000000000000001</v>
      </c>
      <c r="V23" s="885">
        <v>5.804989E-3</v>
      </c>
      <c r="W23" s="885">
        <v>1.30612E-4</v>
      </c>
      <c r="X23" s="885">
        <v>6.5532900000000004E-5</v>
      </c>
      <c r="Y23" s="885">
        <v>1.2755100000000001E-3</v>
      </c>
      <c r="Z23" s="871">
        <v>-7.6190475999999993E-2</v>
      </c>
      <c r="AA23" s="447">
        <v>-1.1428571E-2</v>
      </c>
      <c r="AB23" s="447">
        <v>8.0952379999999994E-3</v>
      </c>
      <c r="AC23" s="886">
        <v>3.5714285999999998E-2</v>
      </c>
    </row>
    <row r="24" spans="3:29" x14ac:dyDescent="0.25">
      <c r="C24" s="666">
        <v>2002</v>
      </c>
      <c r="D24" s="659">
        <v>-3.6455929856945235E-2</v>
      </c>
      <c r="E24" s="665">
        <v>-0.21950379048931778</v>
      </c>
      <c r="F24" s="661">
        <f t="shared" si="0"/>
        <v>3.950174104903699E-2</v>
      </c>
      <c r="G24" s="661">
        <f t="shared" si="1"/>
        <v>0.40448487590955456</v>
      </c>
      <c r="H24" s="642"/>
      <c r="I24" s="331"/>
      <c r="J24" s="331"/>
      <c r="Q24" s="721">
        <v>1996</v>
      </c>
      <c r="R24" s="444">
        <v>0.11</v>
      </c>
      <c r="S24" s="444">
        <v>0.22</v>
      </c>
      <c r="T24" s="444">
        <v>0.06</v>
      </c>
      <c r="U24" s="550">
        <v>-0.04</v>
      </c>
      <c r="V24" s="885">
        <v>1.9070299999999999E-4</v>
      </c>
      <c r="W24" s="885">
        <v>1.9202041E-2</v>
      </c>
      <c r="X24" s="885">
        <v>3.8322E-3</v>
      </c>
      <c r="Y24" s="885">
        <v>2.0818367000000001E-2</v>
      </c>
      <c r="Z24" s="871">
        <v>1.3809524E-2</v>
      </c>
      <c r="AA24" s="447">
        <v>0.138571429</v>
      </c>
      <c r="AB24" s="447">
        <v>-6.1904762000000002E-2</v>
      </c>
      <c r="AC24" s="886">
        <v>-0.14428571400000001</v>
      </c>
    </row>
    <row r="25" spans="3:29" x14ac:dyDescent="0.25">
      <c r="C25" s="666">
        <v>2003</v>
      </c>
      <c r="D25" s="659">
        <v>0.20263671875</v>
      </c>
      <c r="E25" s="665">
        <v>7.8587196467991172E-2</v>
      </c>
      <c r="F25" s="661">
        <f t="shared" si="0"/>
        <v>1.6274930546470148E-3</v>
      </c>
      <c r="G25" s="661">
        <f t="shared" si="1"/>
        <v>0.11417659086337115</v>
      </c>
      <c r="H25" s="642"/>
      <c r="I25" s="331"/>
      <c r="J25" s="331"/>
      <c r="Q25" s="721">
        <v>1997</v>
      </c>
      <c r="R25" s="444">
        <v>0.14000000000000001</v>
      </c>
      <c r="S25" s="444">
        <v>0.17</v>
      </c>
      <c r="T25" s="444">
        <v>0.16</v>
      </c>
      <c r="U25" s="550">
        <v>0.12</v>
      </c>
      <c r="V25" s="885">
        <v>1.9192739999999999E-3</v>
      </c>
      <c r="W25" s="885">
        <v>7.8448979999999995E-3</v>
      </c>
      <c r="X25" s="885">
        <v>1.4512469999999999E-3</v>
      </c>
      <c r="Y25" s="885">
        <v>2.46939E-4</v>
      </c>
      <c r="Z25" s="871">
        <v>4.3809524000000002E-2</v>
      </c>
      <c r="AA25" s="447">
        <v>8.8571428999999993E-2</v>
      </c>
      <c r="AB25" s="447">
        <v>3.8095237999999997E-2</v>
      </c>
      <c r="AC25" s="886">
        <v>1.5714286000000001E-2</v>
      </c>
    </row>
    <row r="26" spans="3:29" x14ac:dyDescent="0.25">
      <c r="C26" s="664">
        <v>2004</v>
      </c>
      <c r="D26" s="663">
        <v>-0.14055394791236053</v>
      </c>
      <c r="E26" s="662">
        <v>0.22199255890863978</v>
      </c>
      <c r="F26" s="661">
        <f t="shared" si="0"/>
        <v>9.1717194106513161E-2</v>
      </c>
      <c r="G26" s="661">
        <f t="shared" si="1"/>
        <v>3.7828268144007832E-2</v>
      </c>
      <c r="H26" s="642"/>
      <c r="I26" s="331"/>
      <c r="J26" s="331"/>
      <c r="Q26" s="721">
        <v>1998</v>
      </c>
      <c r="R26" s="444">
        <v>0.1</v>
      </c>
      <c r="S26" s="444">
        <v>0.06</v>
      </c>
      <c r="T26" s="444">
        <v>0.19</v>
      </c>
      <c r="U26" s="550">
        <v>0.15</v>
      </c>
      <c r="V26" s="885">
        <v>1.45125E-5</v>
      </c>
      <c r="W26" s="885">
        <v>4.5918400000000001E-4</v>
      </c>
      <c r="X26" s="885">
        <v>4.6369610000000002E-3</v>
      </c>
      <c r="Y26" s="885">
        <v>2.0897960000000001E-3</v>
      </c>
      <c r="Z26" s="871">
        <v>3.8095239999999999E-3</v>
      </c>
      <c r="AA26" s="447">
        <v>-2.1428571E-2</v>
      </c>
      <c r="AB26" s="447">
        <v>6.8095238000000002E-2</v>
      </c>
      <c r="AC26" s="886">
        <v>4.5714286E-2</v>
      </c>
    </row>
    <row r="27" spans="3:29" x14ac:dyDescent="0.25">
      <c r="C27" s="660"/>
      <c r="D27" s="659"/>
      <c r="E27" s="659" t="s">
        <v>2218</v>
      </c>
      <c r="F27" s="661">
        <f>SUM(F12:F26)/(COUNT(F12:F26)-1)</f>
        <v>6.9454837049436322E-2</v>
      </c>
      <c r="G27" s="661">
        <f>SUM(G12:G26)/(COUNT(G12:G26)-1)</f>
        <v>0.25250337593422034</v>
      </c>
      <c r="H27" s="642"/>
      <c r="I27" s="331"/>
      <c r="J27" s="331"/>
      <c r="Q27" s="721">
        <v>1999</v>
      </c>
      <c r="R27" s="444">
        <v>0.15</v>
      </c>
      <c r="S27" s="444">
        <v>0.01</v>
      </c>
      <c r="T27" s="444">
        <v>0.22</v>
      </c>
      <c r="U27" s="550">
        <v>0.22</v>
      </c>
      <c r="V27" s="885">
        <v>2.8954649999999998E-3</v>
      </c>
      <c r="W27" s="885">
        <v>5.1020409999999999E-3</v>
      </c>
      <c r="X27" s="885">
        <v>9.6226760000000001E-3</v>
      </c>
      <c r="Y27" s="885">
        <v>1.3389796000000001E-2</v>
      </c>
      <c r="Z27" s="871">
        <v>5.3809523999999997E-2</v>
      </c>
      <c r="AA27" s="447">
        <v>-7.1428570999999996E-2</v>
      </c>
      <c r="AB27" s="447">
        <v>9.8095238000000001E-2</v>
      </c>
      <c r="AC27" s="886">
        <v>0.115714286</v>
      </c>
    </row>
    <row r="28" spans="3:29" x14ac:dyDescent="0.25">
      <c r="C28" s="660"/>
      <c r="D28" s="659"/>
      <c r="E28" s="659" t="s">
        <v>2264</v>
      </c>
      <c r="F28" s="646">
        <f>SQRT(F27)</f>
        <v>0.26354285619123946</v>
      </c>
      <c r="G28" s="646">
        <f>SQRT(G27)</f>
        <v>0.50249714022491743</v>
      </c>
      <c r="H28" s="642"/>
      <c r="I28" s="331"/>
      <c r="J28" s="331"/>
      <c r="Q28" s="721">
        <v>2000</v>
      </c>
      <c r="R28" s="444">
        <v>0.25</v>
      </c>
      <c r="S28" s="444">
        <v>-0.1</v>
      </c>
      <c r="T28" s="444">
        <v>7.0000000000000007E-2</v>
      </c>
      <c r="U28" s="550">
        <v>0.16</v>
      </c>
      <c r="V28" s="885">
        <v>2.365737E-2</v>
      </c>
      <c r="W28" s="885">
        <v>3.2916327000000002E-2</v>
      </c>
      <c r="X28" s="885">
        <v>2.6941040000000001E-3</v>
      </c>
      <c r="Y28" s="885">
        <v>3.1040820000000002E-3</v>
      </c>
      <c r="Z28" s="871">
        <v>0.153809524</v>
      </c>
      <c r="AA28" s="447">
        <v>-0.18142857100000001</v>
      </c>
      <c r="AB28" s="447">
        <v>-5.1904762E-2</v>
      </c>
      <c r="AC28" s="886">
        <v>5.5714286000000002E-2</v>
      </c>
    </row>
    <row r="29" spans="3:29" x14ac:dyDescent="0.25">
      <c r="C29" s="658"/>
      <c r="D29" s="642"/>
      <c r="E29" s="642"/>
      <c r="F29" s="642"/>
      <c r="G29" s="642"/>
      <c r="H29" s="642"/>
      <c r="I29" s="331"/>
      <c r="J29" s="331"/>
      <c r="Q29" s="721">
        <v>2001</v>
      </c>
      <c r="R29" s="444">
        <v>0.14000000000000001</v>
      </c>
      <c r="S29" s="444">
        <v>-0.04</v>
      </c>
      <c r="T29" s="444">
        <v>0.04</v>
      </c>
      <c r="U29" s="550">
        <v>0.06</v>
      </c>
      <c r="V29" s="885">
        <v>1.9192739999999999E-3</v>
      </c>
      <c r="W29" s="885">
        <v>1.4744897999999999E-2</v>
      </c>
      <c r="X29" s="885">
        <v>6.7083899999999998E-3</v>
      </c>
      <c r="Y29" s="885">
        <v>1.9612240000000001E-3</v>
      </c>
      <c r="Z29" s="871">
        <v>4.3809524000000002E-2</v>
      </c>
      <c r="AA29" s="447">
        <v>-0.121428571</v>
      </c>
      <c r="AB29" s="447">
        <v>-8.1904762000000006E-2</v>
      </c>
      <c r="AC29" s="886">
        <v>-4.4285713999999997E-2</v>
      </c>
    </row>
    <row r="30" spans="3:29" x14ac:dyDescent="0.25">
      <c r="C30" s="642" t="s">
        <v>2280</v>
      </c>
      <c r="D30" s="642"/>
      <c r="E30" s="642"/>
      <c r="F30" s="642"/>
      <c r="G30" s="642"/>
      <c r="H30" s="642"/>
      <c r="I30" s="331"/>
      <c r="J30" s="331"/>
      <c r="Q30" s="721">
        <v>2002</v>
      </c>
      <c r="R30" s="444">
        <v>-0.12</v>
      </c>
      <c r="S30" s="444">
        <v>0.22</v>
      </c>
      <c r="T30" s="444">
        <v>0.22</v>
      </c>
      <c r="U30" s="550">
        <v>0.14000000000000001</v>
      </c>
      <c r="V30" s="885">
        <v>4.6738321999999999E-2</v>
      </c>
      <c r="W30" s="885">
        <v>1.9202041E-2</v>
      </c>
      <c r="X30" s="885">
        <v>9.6226760000000001E-3</v>
      </c>
      <c r="Y30" s="885">
        <v>1.2755100000000001E-3</v>
      </c>
      <c r="Z30" s="871">
        <v>-0.21619047599999999</v>
      </c>
      <c r="AA30" s="447">
        <v>0.138571429</v>
      </c>
      <c r="AB30" s="447">
        <v>9.8095238000000001E-2</v>
      </c>
      <c r="AC30" s="886">
        <v>3.5714285999999998E-2</v>
      </c>
    </row>
    <row r="31" spans="3:29" x14ac:dyDescent="0.25">
      <c r="C31" s="642" t="s">
        <v>2279</v>
      </c>
      <c r="D31" s="642"/>
      <c r="E31" s="642"/>
      <c r="F31" s="642"/>
      <c r="G31" s="642"/>
      <c r="H31" s="642"/>
      <c r="I31" s="331"/>
      <c r="J31" s="331"/>
      <c r="Q31" s="721">
        <v>2003</v>
      </c>
      <c r="R31" s="444">
        <v>0.14000000000000001</v>
      </c>
      <c r="S31" s="444">
        <v>0.17</v>
      </c>
      <c r="T31" s="444">
        <v>-0.06</v>
      </c>
      <c r="U31" s="550">
        <v>-0.05</v>
      </c>
      <c r="V31" s="885">
        <v>1.9192739999999999E-3</v>
      </c>
      <c r="W31" s="885">
        <v>7.8448979999999995E-3</v>
      </c>
      <c r="X31" s="885">
        <v>3.3089342000000001E-2</v>
      </c>
      <c r="Y31" s="885">
        <v>2.3804082000000001E-2</v>
      </c>
      <c r="Z31" s="871">
        <v>4.3809524000000002E-2</v>
      </c>
      <c r="AA31" s="447">
        <v>8.8571428999999993E-2</v>
      </c>
      <c r="AB31" s="447">
        <v>-0.181904762</v>
      </c>
      <c r="AC31" s="886">
        <v>-0.15428571399999999</v>
      </c>
    </row>
    <row r="32" spans="3:29" x14ac:dyDescent="0.25">
      <c r="C32" s="642"/>
      <c r="D32" s="657"/>
      <c r="E32" s="657"/>
      <c r="F32" s="642"/>
      <c r="G32" s="642"/>
      <c r="H32" s="642"/>
      <c r="I32" s="331"/>
      <c r="J32" s="331"/>
      <c r="Q32" s="721">
        <v>2004</v>
      </c>
      <c r="R32" s="444">
        <v>0.04</v>
      </c>
      <c r="S32" s="444">
        <v>0.14000000000000001</v>
      </c>
      <c r="T32" s="444">
        <v>0.12</v>
      </c>
      <c r="U32" s="550">
        <v>-0.19</v>
      </c>
      <c r="V32" s="885">
        <v>3.1573700000000001E-3</v>
      </c>
      <c r="W32" s="885">
        <v>3.430612E-3</v>
      </c>
      <c r="X32" s="885">
        <v>3.6281200000000002E-6</v>
      </c>
      <c r="Y32" s="885">
        <v>8.6604081999999999E-2</v>
      </c>
      <c r="Z32" s="871">
        <v>-5.6190476000000003E-2</v>
      </c>
      <c r="AA32" s="447">
        <v>5.8571429000000001E-2</v>
      </c>
      <c r="AB32" s="447">
        <v>-1.9047619999999999E-3</v>
      </c>
      <c r="AC32" s="886">
        <v>-0.29428571399999998</v>
      </c>
    </row>
    <row r="33" spans="3:29" x14ac:dyDescent="0.25">
      <c r="C33" s="642"/>
      <c r="D33" s="642"/>
      <c r="E33" s="642"/>
      <c r="F33" s="642"/>
      <c r="G33" s="642"/>
      <c r="H33" s="642"/>
      <c r="I33" s="331"/>
      <c r="J33" s="331"/>
      <c r="Q33" s="721">
        <v>2005</v>
      </c>
      <c r="R33" s="444">
        <v>0.02</v>
      </c>
      <c r="S33" s="444">
        <v>0.06</v>
      </c>
      <c r="T33" s="444">
        <v>0.11</v>
      </c>
      <c r="U33" s="550">
        <v>0.12</v>
      </c>
      <c r="V33" s="885">
        <v>5.804989E-3</v>
      </c>
      <c r="W33" s="885">
        <v>4.5918400000000001E-4</v>
      </c>
      <c r="X33" s="885">
        <v>1.4172300000000001E-4</v>
      </c>
      <c r="Y33" s="885">
        <v>2.46939E-4</v>
      </c>
      <c r="Z33" s="871">
        <v>-7.6190475999999993E-2</v>
      </c>
      <c r="AA33" s="447">
        <v>-2.1428571E-2</v>
      </c>
      <c r="AB33" s="447">
        <v>-1.1904761999999999E-2</v>
      </c>
      <c r="AC33" s="886">
        <v>1.5714286000000001E-2</v>
      </c>
    </row>
    <row r="34" spans="3:29" x14ac:dyDescent="0.25">
      <c r="C34" s="642"/>
      <c r="D34" s="642"/>
      <c r="E34" s="642"/>
      <c r="F34" s="642"/>
      <c r="G34" s="642"/>
      <c r="H34" s="642"/>
      <c r="I34" s="331"/>
      <c r="J34" s="331"/>
      <c r="Q34" s="721">
        <v>2006</v>
      </c>
      <c r="R34" s="444">
        <v>-0.09</v>
      </c>
      <c r="S34" s="444">
        <v>7.0000000000000007E-2</v>
      </c>
      <c r="T34" s="444">
        <v>0.24</v>
      </c>
      <c r="U34" s="550">
        <v>-0.04</v>
      </c>
      <c r="V34" s="885">
        <v>3.4666892999999997E-2</v>
      </c>
      <c r="W34" s="885">
        <v>1.30612E-4</v>
      </c>
      <c r="X34" s="885">
        <v>1.3946485E-2</v>
      </c>
      <c r="Y34" s="885">
        <v>2.0818367000000001E-2</v>
      </c>
      <c r="Z34" s="871">
        <v>-0.18619047599999999</v>
      </c>
      <c r="AA34" s="447">
        <v>-1.1428571E-2</v>
      </c>
      <c r="AB34" s="447">
        <v>0.11809523800000001</v>
      </c>
      <c r="AC34" s="886">
        <v>-0.14428571400000001</v>
      </c>
    </row>
    <row r="35" spans="3:29" x14ac:dyDescent="0.25">
      <c r="C35" s="642" t="s">
        <v>2278</v>
      </c>
      <c r="D35" s="642"/>
      <c r="E35" s="642"/>
      <c r="F35" s="642"/>
      <c r="G35" s="642"/>
      <c r="H35" s="642"/>
      <c r="I35" s="331"/>
      <c r="J35" s="331"/>
      <c r="Q35" s="721">
        <v>2007</v>
      </c>
      <c r="R35" s="444">
        <v>0.14000000000000001</v>
      </c>
      <c r="S35" s="444">
        <v>0.02</v>
      </c>
      <c r="T35" s="444">
        <v>0.09</v>
      </c>
      <c r="U35" s="550">
        <v>0.22</v>
      </c>
      <c r="V35" s="885">
        <v>1.9192739999999999E-3</v>
      </c>
      <c r="W35" s="885">
        <v>3.7734690000000002E-3</v>
      </c>
      <c r="X35" s="885">
        <v>1.017914E-3</v>
      </c>
      <c r="Y35" s="885">
        <v>1.3389796000000001E-2</v>
      </c>
      <c r="Z35" s="871">
        <v>4.3809524000000002E-2</v>
      </c>
      <c r="AA35" s="447">
        <v>-6.1428571000000001E-2</v>
      </c>
      <c r="AB35" s="447">
        <v>-3.1904762000000003E-2</v>
      </c>
      <c r="AC35" s="886">
        <v>0.115714286</v>
      </c>
    </row>
    <row r="36" spans="3:29" x14ac:dyDescent="0.25">
      <c r="C36" s="642"/>
      <c r="D36" s="642"/>
      <c r="E36" s="642"/>
      <c r="F36" s="642"/>
      <c r="G36" s="642"/>
      <c r="H36" s="642"/>
      <c r="I36" s="331"/>
      <c r="J36" s="331"/>
      <c r="Q36" s="721">
        <v>2008</v>
      </c>
      <c r="R36" s="444">
        <v>0.12</v>
      </c>
      <c r="S36" s="444">
        <v>0.19</v>
      </c>
      <c r="T36" s="444">
        <v>0.1</v>
      </c>
      <c r="U36" s="550">
        <v>0.18</v>
      </c>
      <c r="V36" s="885">
        <v>5.6689299999999995E-4</v>
      </c>
      <c r="W36" s="885">
        <v>1.1787755E-2</v>
      </c>
      <c r="X36" s="885">
        <v>4.7981899999999998E-4</v>
      </c>
      <c r="Y36" s="885">
        <v>5.7326529999999999E-3</v>
      </c>
      <c r="Z36" s="871">
        <v>2.3809523999999999E-2</v>
      </c>
      <c r="AA36" s="447">
        <v>0.108571429</v>
      </c>
      <c r="AB36" s="447">
        <v>-2.1904762000000001E-2</v>
      </c>
      <c r="AC36" s="886">
        <v>7.5714286000000006E-2</v>
      </c>
    </row>
    <row r="37" spans="3:29" x14ac:dyDescent="0.25">
      <c r="C37" s="642" t="s">
        <v>2277</v>
      </c>
      <c r="D37" s="642"/>
      <c r="E37" s="642"/>
      <c r="F37" s="642"/>
      <c r="G37" s="642"/>
      <c r="H37" s="642"/>
      <c r="I37" s="331"/>
      <c r="J37" s="330"/>
      <c r="Q37" s="721">
        <v>2009</v>
      </c>
      <c r="R37" s="444">
        <v>0.14000000000000001</v>
      </c>
      <c r="S37" s="444">
        <v>0.18</v>
      </c>
      <c r="T37" s="444">
        <v>-0.13</v>
      </c>
      <c r="U37" s="550">
        <v>0.19</v>
      </c>
      <c r="V37" s="885">
        <v>1.9192739999999999E-3</v>
      </c>
      <c r="W37" s="885">
        <v>9.7163270000000003E-3</v>
      </c>
      <c r="X37" s="885">
        <v>6.3456008999999994E-2</v>
      </c>
      <c r="Y37" s="885">
        <v>7.3469390000000002E-3</v>
      </c>
      <c r="Z37" s="871">
        <v>4.3809524000000002E-2</v>
      </c>
      <c r="AA37" s="447">
        <v>9.8571429000000002E-2</v>
      </c>
      <c r="AB37" s="447">
        <v>-0.251904762</v>
      </c>
      <c r="AC37" s="886">
        <v>8.5714286000000001E-2</v>
      </c>
    </row>
    <row r="38" spans="3:29" x14ac:dyDescent="0.25">
      <c r="C38" s="642"/>
      <c r="D38" s="642" t="s">
        <v>2276</v>
      </c>
      <c r="E38" s="642" t="s">
        <v>2275</v>
      </c>
      <c r="F38" s="642"/>
      <c r="G38" s="642"/>
      <c r="H38" s="642"/>
      <c r="I38" s="331"/>
      <c r="J38" s="330"/>
      <c r="Q38" s="448">
        <v>2010</v>
      </c>
      <c r="R38" s="530">
        <v>0.25</v>
      </c>
      <c r="S38" s="530">
        <v>0.24</v>
      </c>
      <c r="T38" s="530">
        <v>0.18</v>
      </c>
      <c r="U38" s="553">
        <v>0.1</v>
      </c>
      <c r="V38" s="885">
        <v>2.365737E-2</v>
      </c>
      <c r="W38" s="885">
        <v>2.5144897999999999E-2</v>
      </c>
      <c r="X38" s="885">
        <v>3.3750569999999999E-3</v>
      </c>
      <c r="Y38" s="885">
        <v>1.8367299999999999E-5</v>
      </c>
      <c r="Z38" s="887">
        <v>0.153809524</v>
      </c>
      <c r="AA38" s="873">
        <v>0.15857142900000001</v>
      </c>
      <c r="AB38" s="873">
        <v>5.8095238E-2</v>
      </c>
      <c r="AC38" s="883">
        <v>-4.2857140000000004E-3</v>
      </c>
    </row>
    <row r="39" spans="3:29" x14ac:dyDescent="0.25">
      <c r="C39" s="642" t="s">
        <v>2274</v>
      </c>
      <c r="D39" s="646">
        <f>AVERAGE(D12:D26)</f>
        <v>0.16229451932251446</v>
      </c>
      <c r="E39" s="646">
        <f>AVERAGE(E12:E26)</f>
        <v>0.41648746409643084</v>
      </c>
      <c r="F39" s="642"/>
      <c r="G39" s="642"/>
      <c r="H39" s="642"/>
      <c r="I39" s="331"/>
      <c r="J39" s="330"/>
      <c r="Q39" s="721" t="s">
        <v>2966</v>
      </c>
      <c r="R39" s="447">
        <v>9.6199999999999994E-2</v>
      </c>
      <c r="S39" s="447">
        <v>8.14E-2</v>
      </c>
      <c r="T39" s="447">
        <v>0.12189999999999999</v>
      </c>
      <c r="U39" s="447">
        <v>0.1043</v>
      </c>
      <c r="V39" s="874"/>
      <c r="W39" s="874"/>
      <c r="X39" s="874"/>
      <c r="Y39" s="913"/>
      <c r="Z39" s="721" t="s">
        <v>2945</v>
      </c>
      <c r="AA39" s="162"/>
      <c r="AB39" s="162"/>
      <c r="AC39" s="162"/>
    </row>
    <row r="40" spans="3:29" x14ac:dyDescent="0.25">
      <c r="C40" s="642"/>
      <c r="D40" s="642"/>
      <c r="E40" s="642"/>
      <c r="F40" s="642"/>
      <c r="G40" s="642"/>
      <c r="H40" s="642"/>
      <c r="I40" s="331"/>
      <c r="J40" s="330"/>
      <c r="Q40" s="721" t="s">
        <v>2967</v>
      </c>
      <c r="R40" s="162">
        <v>8.1247620000000007E-3</v>
      </c>
      <c r="S40" s="162">
        <v>1.3132857E-2</v>
      </c>
      <c r="T40" s="162">
        <v>8.9361900000000001E-3</v>
      </c>
      <c r="U40" s="162">
        <v>1.0985714000000001E-2</v>
      </c>
      <c r="V40" s="162">
        <v>8.1247620000000007E-3</v>
      </c>
      <c r="W40" s="162">
        <v>1.3132857E-2</v>
      </c>
      <c r="X40" s="162">
        <v>8.9361900000000001E-3</v>
      </c>
      <c r="Y40" s="162">
        <v>1.0985714000000001E-2</v>
      </c>
      <c r="Z40" s="162" t="s">
        <v>2943</v>
      </c>
      <c r="AA40" s="721">
        <v>-1.239286E-3</v>
      </c>
      <c r="AB40" s="721">
        <v>-2.9873809999999999E-3</v>
      </c>
      <c r="AC40" s="721">
        <v>2.387143E-3</v>
      </c>
    </row>
    <row r="41" spans="3:29" x14ac:dyDescent="0.25">
      <c r="C41" s="331" t="s">
        <v>2273</v>
      </c>
      <c r="D41" s="331"/>
      <c r="E41" s="331"/>
      <c r="F41" s="331"/>
      <c r="G41" s="331"/>
      <c r="H41" s="331"/>
      <c r="I41" s="331"/>
      <c r="J41" s="330"/>
      <c r="Q41" s="448" t="s">
        <v>2968</v>
      </c>
      <c r="R41" s="873">
        <v>9.01E-2</v>
      </c>
      <c r="S41" s="873">
        <v>0.11459999999999999</v>
      </c>
      <c r="T41" s="873">
        <v>9.4500000000000001E-2</v>
      </c>
      <c r="U41" s="873">
        <v>0.1048</v>
      </c>
      <c r="V41" s="447">
        <v>9.01E-2</v>
      </c>
      <c r="W41" s="447">
        <v>0.11459999999999999</v>
      </c>
      <c r="X41" s="447">
        <v>9.4500000000000001E-2</v>
      </c>
      <c r="Y41" s="447">
        <v>0.1048</v>
      </c>
      <c r="Z41" s="721"/>
      <c r="AA41" s="162"/>
      <c r="AB41" s="162"/>
      <c r="AC41" s="162"/>
    </row>
    <row r="42" spans="3:29" x14ac:dyDescent="0.25">
      <c r="C42" s="331"/>
      <c r="D42" s="331"/>
      <c r="E42" s="331"/>
      <c r="F42" s="331"/>
      <c r="G42" s="331"/>
      <c r="H42" s="331"/>
      <c r="I42" s="331"/>
      <c r="J42" s="330"/>
      <c r="Q42" s="162"/>
      <c r="R42" s="162"/>
      <c r="S42" s="162"/>
      <c r="T42" s="162"/>
      <c r="U42" s="162"/>
      <c r="V42" s="162"/>
      <c r="W42" s="162"/>
      <c r="X42" s="162"/>
      <c r="Y42" s="162"/>
      <c r="Z42" s="162"/>
      <c r="AA42" s="162"/>
      <c r="AB42" s="162"/>
      <c r="AC42" s="162"/>
    </row>
    <row r="43" spans="3:29" x14ac:dyDescent="0.25">
      <c r="C43" s="331" t="s">
        <v>2217</v>
      </c>
      <c r="D43" s="631">
        <f>_xlfn.STDEV.S(D12:D26)</f>
        <v>0.26354285619123946</v>
      </c>
      <c r="E43" s="631">
        <f>_xlfn.STDEV.S(E12:E26)</f>
        <v>0.50249714022491754</v>
      </c>
      <c r="F43" s="331"/>
      <c r="G43" s="331"/>
      <c r="H43" s="331"/>
      <c r="I43" s="331"/>
      <c r="J43" s="330"/>
      <c r="Q43" s="161" t="s">
        <v>2969</v>
      </c>
      <c r="R43" s="161"/>
      <c r="S43" s="162"/>
      <c r="T43" s="162"/>
      <c r="U43" s="162"/>
      <c r="V43" s="162"/>
      <c r="W43" s="162"/>
      <c r="X43" s="162"/>
      <c r="Y43" s="162"/>
      <c r="Z43" s="162"/>
      <c r="AA43" s="162"/>
      <c r="AB43" s="162"/>
      <c r="AC43" s="162"/>
    </row>
    <row r="44" spans="3:29" x14ac:dyDescent="0.25">
      <c r="C44" s="331"/>
      <c r="D44" s="331"/>
      <c r="E44" s="331"/>
      <c r="F44" s="331"/>
      <c r="G44" s="331"/>
      <c r="H44" s="331"/>
      <c r="I44" s="331"/>
      <c r="J44" s="330"/>
      <c r="Q44" s="778"/>
      <c r="R44" s="874"/>
      <c r="S44" s="875" t="s">
        <v>2943</v>
      </c>
      <c r="T44" s="875" t="s">
        <v>2963</v>
      </c>
      <c r="U44" s="875" t="s">
        <v>2964</v>
      </c>
      <c r="V44" s="876" t="s">
        <v>2965</v>
      </c>
      <c r="W44" s="162"/>
      <c r="X44" s="162"/>
      <c r="Y44" s="162"/>
      <c r="Z44" s="162"/>
      <c r="AA44" s="162"/>
      <c r="AB44" s="162"/>
      <c r="AC44" s="162"/>
    </row>
    <row r="45" spans="3:29" x14ac:dyDescent="0.25">
      <c r="C45" s="331" t="s">
        <v>2272</v>
      </c>
      <c r="D45" s="331"/>
      <c r="E45" s="331"/>
      <c r="F45" s="331"/>
      <c r="G45" s="331"/>
      <c r="H45" s="331"/>
      <c r="I45" s="331"/>
      <c r="J45" s="330"/>
      <c r="Q45" s="721"/>
      <c r="R45" s="162"/>
      <c r="S45" s="567">
        <v>0.25</v>
      </c>
      <c r="T45" s="567">
        <v>0.25</v>
      </c>
      <c r="U45" s="567">
        <v>0.25</v>
      </c>
      <c r="V45" s="165">
        <v>0.25</v>
      </c>
      <c r="W45" s="162"/>
      <c r="X45" s="162"/>
      <c r="Y45" s="162"/>
      <c r="Z45" s="162"/>
      <c r="AA45" s="162"/>
      <c r="AB45" s="162"/>
      <c r="AC45" s="162"/>
    </row>
    <row r="46" spans="3:29" x14ac:dyDescent="0.25">
      <c r="C46" s="331"/>
      <c r="D46" s="331"/>
      <c r="E46" s="331"/>
      <c r="F46" s="331"/>
      <c r="G46" s="331"/>
      <c r="H46" s="331"/>
      <c r="I46" s="331"/>
      <c r="J46" s="330"/>
      <c r="Q46" s="721" t="s">
        <v>2943</v>
      </c>
      <c r="R46" s="162">
        <v>0.25</v>
      </c>
      <c r="S46" s="877">
        <v>8.0999999999999996E-3</v>
      </c>
      <c r="T46" s="878">
        <v>-1.1999999999999999E-3</v>
      </c>
      <c r="U46" s="878">
        <v>-3.0000000000000001E-3</v>
      </c>
      <c r="V46" s="879">
        <v>2.3999999999999998E-3</v>
      </c>
      <c r="W46" s="162"/>
      <c r="X46" s="162"/>
      <c r="Y46" s="162"/>
      <c r="Z46" s="162"/>
      <c r="AA46" s="162"/>
      <c r="AB46" s="162"/>
      <c r="AC46" s="162"/>
    </row>
    <row r="47" spans="3:29" x14ac:dyDescent="0.25">
      <c r="C47" s="331" t="s">
        <v>2032</v>
      </c>
      <c r="D47" s="631">
        <f>CORREL(D12:D26,E12:E26)</f>
        <v>0.42091443140213103</v>
      </c>
      <c r="E47" s="331">
        <v>-0.1</v>
      </c>
      <c r="F47" s="331"/>
      <c r="G47" s="331"/>
      <c r="H47" s="331"/>
      <c r="I47" s="331"/>
      <c r="J47" s="330"/>
      <c r="Q47" s="721" t="s">
        <v>2963</v>
      </c>
      <c r="R47" s="162">
        <v>0.25</v>
      </c>
      <c r="S47" s="878">
        <v>-1.1999999999999999E-3</v>
      </c>
      <c r="T47" s="877">
        <v>1.3100000000000001E-2</v>
      </c>
      <c r="U47" s="878">
        <v>2.0000000000000001E-4</v>
      </c>
      <c r="V47" s="879">
        <v>-4.1999999999999997E-3</v>
      </c>
      <c r="W47" s="162"/>
      <c r="X47" s="162"/>
      <c r="Y47" s="162"/>
      <c r="Z47" s="162"/>
      <c r="AA47" s="162"/>
      <c r="AB47" s="162"/>
      <c r="AC47" s="162"/>
    </row>
    <row r="48" spans="3:29" ht="19.5" x14ac:dyDescent="0.3">
      <c r="C48" s="330"/>
      <c r="D48" s="330"/>
      <c r="E48" s="330"/>
      <c r="F48" s="330"/>
      <c r="G48" s="330"/>
      <c r="H48" s="330"/>
      <c r="I48" s="330"/>
      <c r="J48" s="644"/>
      <c r="Q48" s="721" t="s">
        <v>2964</v>
      </c>
      <c r="R48" s="162">
        <v>0.25</v>
      </c>
      <c r="S48" s="878">
        <v>-3.0000000000000001E-3</v>
      </c>
      <c r="T48" s="878">
        <v>2.0000000000000001E-4</v>
      </c>
      <c r="U48" s="877">
        <v>8.8999999999999999E-3</v>
      </c>
      <c r="V48" s="879">
        <v>5.0000000000000001E-4</v>
      </c>
      <c r="W48" s="162"/>
      <c r="X48" s="162"/>
      <c r="Y48" s="162"/>
      <c r="Z48" s="162"/>
      <c r="AA48" s="162"/>
      <c r="AB48" s="162"/>
      <c r="AC48" s="162"/>
    </row>
    <row r="49" spans="3:29" ht="19.5" x14ac:dyDescent="0.3">
      <c r="C49" s="330" t="s">
        <v>2271</v>
      </c>
      <c r="D49" s="330"/>
      <c r="E49" s="330"/>
      <c r="F49" s="330"/>
      <c r="G49" s="330"/>
      <c r="H49" s="330"/>
      <c r="I49" s="330"/>
      <c r="J49" s="644"/>
      <c r="Q49" s="448" t="s">
        <v>2965</v>
      </c>
      <c r="R49" s="724">
        <v>0.25</v>
      </c>
      <c r="S49" s="880">
        <v>2.3999999999999998E-3</v>
      </c>
      <c r="T49" s="880">
        <v>-4.1999999999999997E-3</v>
      </c>
      <c r="U49" s="880">
        <v>5.0000000000000001E-4</v>
      </c>
      <c r="V49" s="881">
        <v>1.0999999999999999E-2</v>
      </c>
      <c r="W49" s="162"/>
      <c r="X49" s="162"/>
      <c r="Y49" s="162"/>
      <c r="Z49" s="162"/>
      <c r="AA49" s="162"/>
      <c r="AB49" s="162"/>
      <c r="AC49" s="162"/>
    </row>
    <row r="50" spans="3:29" ht="19.5" x14ac:dyDescent="0.3">
      <c r="C50" s="330"/>
      <c r="D50" s="330"/>
      <c r="E50" s="330"/>
      <c r="F50" s="330"/>
      <c r="G50" s="330"/>
      <c r="H50" s="330"/>
      <c r="I50" s="330"/>
      <c r="J50" s="644"/>
      <c r="Q50" s="162"/>
      <c r="R50" s="162">
        <v>0.25</v>
      </c>
      <c r="S50" s="162">
        <v>0.25</v>
      </c>
      <c r="T50" s="162">
        <v>0.25</v>
      </c>
      <c r="U50" s="162">
        <v>0.25</v>
      </c>
      <c r="V50" s="162"/>
      <c r="W50" s="162"/>
      <c r="X50" s="162"/>
      <c r="Y50" s="162"/>
      <c r="Z50" s="162"/>
      <c r="AA50" s="162"/>
      <c r="AB50" s="162"/>
      <c r="AC50" s="162"/>
    </row>
    <row r="51" spans="3:29" ht="19.5" x14ac:dyDescent="0.3">
      <c r="C51" s="330" t="s">
        <v>2022</v>
      </c>
      <c r="D51" s="330">
        <f>_xlfn.COVARIANCE.S(D12:D26,E12:E26)</f>
        <v>5.5741500978608423E-2</v>
      </c>
      <c r="E51" s="330"/>
      <c r="F51" s="330"/>
      <c r="G51" s="330"/>
      <c r="H51" s="330"/>
      <c r="I51" s="330"/>
      <c r="J51" s="644"/>
      <c r="Q51" s="162"/>
      <c r="R51" s="162"/>
      <c r="S51" s="162"/>
      <c r="T51" s="162"/>
      <c r="U51" s="162"/>
      <c r="V51" s="162"/>
      <c r="W51" s="162"/>
      <c r="X51" s="162"/>
      <c r="Y51" s="162"/>
      <c r="Z51" s="162"/>
      <c r="AA51" s="162"/>
      <c r="AB51" s="162"/>
      <c r="AC51" s="162"/>
    </row>
    <row r="52" spans="3:29" ht="19.5" x14ac:dyDescent="0.3">
      <c r="C52" s="330"/>
      <c r="D52" s="330"/>
      <c r="E52" s="330"/>
      <c r="F52" s="330"/>
      <c r="G52" s="330"/>
      <c r="H52" s="330"/>
      <c r="I52" s="330"/>
      <c r="J52" s="644"/>
      <c r="Q52" s="162"/>
      <c r="R52" s="162"/>
      <c r="S52" s="162"/>
      <c r="T52" s="162"/>
      <c r="U52" s="778"/>
      <c r="V52" s="874"/>
      <c r="W52" s="875" t="s">
        <v>2943</v>
      </c>
      <c r="X52" s="875" t="s">
        <v>2963</v>
      </c>
      <c r="Y52" s="875" t="s">
        <v>2964</v>
      </c>
      <c r="Z52" s="876" t="s">
        <v>2965</v>
      </c>
      <c r="AA52" s="162"/>
      <c r="AB52" s="162"/>
      <c r="AC52" s="162"/>
    </row>
    <row r="53" spans="3:29" ht="19.5" x14ac:dyDescent="0.3">
      <c r="C53" s="330" t="s">
        <v>2270</v>
      </c>
      <c r="D53" s="330"/>
      <c r="E53" s="330"/>
      <c r="F53" s="330"/>
      <c r="G53" s="330"/>
      <c r="H53" s="330"/>
      <c r="I53" s="330"/>
      <c r="J53" s="644"/>
      <c r="Q53" s="161" t="s">
        <v>2970</v>
      </c>
      <c r="R53" s="161"/>
      <c r="S53" s="161"/>
      <c r="T53" s="162"/>
      <c r="U53" s="721"/>
      <c r="V53" s="162"/>
      <c r="W53" s="909"/>
      <c r="X53" s="909"/>
      <c r="Y53" s="909"/>
      <c r="Z53" s="165"/>
      <c r="AA53" s="162"/>
      <c r="AB53" s="162"/>
      <c r="AC53" s="162"/>
    </row>
    <row r="54" spans="3:29" ht="19.5" x14ac:dyDescent="0.3">
      <c r="C54" s="330"/>
      <c r="D54" s="330" t="s">
        <v>1878</v>
      </c>
      <c r="E54" s="330"/>
      <c r="F54" s="330"/>
      <c r="G54" s="330"/>
      <c r="H54" s="330"/>
      <c r="I54" s="330"/>
      <c r="J54" s="644"/>
      <c r="Q54" s="778" t="s">
        <v>2971</v>
      </c>
      <c r="R54" s="882">
        <v>0.10100000000000001</v>
      </c>
      <c r="S54" s="447">
        <v>0.10100000000000001</v>
      </c>
      <c r="T54" s="162"/>
      <c r="U54" s="721" t="s">
        <v>2943</v>
      </c>
      <c r="V54" s="162"/>
      <c r="W54" s="910">
        <v>5.0000000000000001E-4</v>
      </c>
      <c r="X54" s="910">
        <v>-1E-4</v>
      </c>
      <c r="Y54" s="910">
        <v>-2.0000000000000001E-4</v>
      </c>
      <c r="Z54" s="911">
        <v>1E-4</v>
      </c>
      <c r="AA54" s="162"/>
      <c r="AB54" s="162"/>
      <c r="AC54" s="162"/>
    </row>
    <row r="55" spans="3:29" ht="19.5" x14ac:dyDescent="0.3">
      <c r="C55" s="330">
        <v>0.5</v>
      </c>
      <c r="D55" s="628">
        <f>C55*D39+C56*E39</f>
        <v>0.28939099170947263</v>
      </c>
      <c r="E55" s="330"/>
      <c r="F55" s="330"/>
      <c r="G55" s="330"/>
      <c r="H55" s="330"/>
      <c r="I55" s="330"/>
      <c r="J55" s="644"/>
      <c r="Q55" s="721" t="s">
        <v>2967</v>
      </c>
      <c r="R55" s="872">
        <v>1.904673E-3</v>
      </c>
      <c r="S55" s="162"/>
      <c r="T55" s="162"/>
      <c r="U55" s="721" t="s">
        <v>2963</v>
      </c>
      <c r="V55" s="162"/>
      <c r="W55" s="910">
        <v>-1E-4</v>
      </c>
      <c r="X55" s="910">
        <v>8.0000000000000004E-4</v>
      </c>
      <c r="Y55" s="910">
        <v>0</v>
      </c>
      <c r="Z55" s="911">
        <v>-2.9999999999999997E-4</v>
      </c>
      <c r="AA55" s="162"/>
      <c r="AB55" s="162"/>
      <c r="AC55" s="162"/>
    </row>
    <row r="56" spans="3:29" ht="19.5" x14ac:dyDescent="0.3">
      <c r="C56" s="330">
        <v>0.5</v>
      </c>
      <c r="D56" s="330"/>
      <c r="E56" s="330"/>
      <c r="F56" s="330"/>
      <c r="G56" s="330"/>
      <c r="H56" s="330"/>
      <c r="I56" s="330"/>
      <c r="J56" s="644"/>
      <c r="Q56" s="448" t="s">
        <v>2968</v>
      </c>
      <c r="R56" s="883">
        <v>4.36E-2</v>
      </c>
      <c r="S56" s="162"/>
      <c r="T56" s="162"/>
      <c r="U56" s="721" t="s">
        <v>2964</v>
      </c>
      <c r="V56" s="162"/>
      <c r="W56" s="910">
        <v>-2.0000000000000001E-4</v>
      </c>
      <c r="X56" s="910">
        <v>0</v>
      </c>
      <c r="Y56" s="910">
        <v>5.9999999999999995E-4</v>
      </c>
      <c r="Z56" s="911">
        <v>0</v>
      </c>
      <c r="AA56" s="162"/>
      <c r="AB56" s="162"/>
      <c r="AC56" s="162"/>
    </row>
    <row r="57" spans="3:29" ht="19.5" x14ac:dyDescent="0.3">
      <c r="C57" s="330"/>
      <c r="D57" s="330"/>
      <c r="E57" s="330"/>
      <c r="F57" s="330"/>
      <c r="G57" s="330"/>
      <c r="H57" s="330"/>
      <c r="I57" s="330"/>
      <c r="J57" s="644"/>
      <c r="Q57" s="162"/>
      <c r="R57" s="162"/>
      <c r="S57" s="162"/>
      <c r="T57" s="162"/>
      <c r="U57" s="448" t="s">
        <v>2965</v>
      </c>
      <c r="V57" s="724"/>
      <c r="W57" s="912">
        <v>1E-4</v>
      </c>
      <c r="X57" s="912">
        <v>-2.9999999999999997E-4</v>
      </c>
      <c r="Y57" s="912">
        <v>0</v>
      </c>
      <c r="Z57" s="881">
        <v>6.9999999999999999E-4</v>
      </c>
      <c r="AA57" s="532" t="s">
        <v>2928</v>
      </c>
      <c r="AB57" s="162"/>
      <c r="AC57" s="162"/>
    </row>
    <row r="58" spans="3:29" ht="19.5" x14ac:dyDescent="0.3">
      <c r="C58" s="330"/>
      <c r="D58" s="330"/>
      <c r="E58" s="330"/>
      <c r="F58" s="330"/>
      <c r="G58" s="330"/>
      <c r="H58" s="330"/>
      <c r="I58" s="330"/>
      <c r="J58" s="644"/>
      <c r="Q58" s="161" t="s">
        <v>2972</v>
      </c>
      <c r="R58" s="162" t="s">
        <v>2926</v>
      </c>
      <c r="S58" s="162"/>
      <c r="T58" s="162"/>
      <c r="U58" s="162"/>
      <c r="V58" s="162"/>
      <c r="W58" s="884">
        <v>4.0000000000000002E-4</v>
      </c>
      <c r="X58" s="884">
        <v>5.0000000000000001E-4</v>
      </c>
      <c r="Y58" s="884">
        <v>4.0000000000000002E-4</v>
      </c>
      <c r="Z58" s="884">
        <v>5.9999999999999995E-4</v>
      </c>
      <c r="AA58" s="877">
        <v>1.9E-3</v>
      </c>
      <c r="AB58" s="162"/>
      <c r="AC58" s="162"/>
    </row>
    <row r="59" spans="3:29" ht="19.5" x14ac:dyDescent="0.3">
      <c r="C59" s="330" t="s">
        <v>2269</v>
      </c>
      <c r="D59" s="330"/>
      <c r="E59" s="330"/>
      <c r="F59" s="330"/>
      <c r="G59" s="330"/>
      <c r="H59" s="330"/>
      <c r="I59" s="330"/>
      <c r="J59" s="644"/>
      <c r="Q59" s="161" t="s">
        <v>2973</v>
      </c>
      <c r="R59" s="162" t="s">
        <v>2924</v>
      </c>
      <c r="S59" s="162"/>
      <c r="T59" s="162"/>
      <c r="U59" s="162"/>
      <c r="V59" s="162"/>
      <c r="W59" s="162"/>
      <c r="X59" s="162"/>
      <c r="Y59" s="162"/>
      <c r="Z59" s="162"/>
      <c r="AA59" s="162"/>
      <c r="AB59" s="162"/>
      <c r="AC59" s="162"/>
    </row>
    <row r="60" spans="3:29" ht="19.5" x14ac:dyDescent="0.3">
      <c r="C60" s="656" t="s">
        <v>2268</v>
      </c>
      <c r="D60" s="330"/>
      <c r="E60" s="330"/>
      <c r="F60" s="330"/>
      <c r="G60" s="330"/>
      <c r="H60" s="330"/>
      <c r="I60" s="330"/>
      <c r="J60" s="644"/>
    </row>
    <row r="61" spans="3:29" ht="19.5" x14ac:dyDescent="0.3">
      <c r="C61" s="330" t="s">
        <v>2267</v>
      </c>
      <c r="D61" s="330"/>
      <c r="E61" s="330"/>
      <c r="F61" s="330"/>
      <c r="G61" s="330"/>
      <c r="H61" s="330"/>
      <c r="I61" s="330"/>
      <c r="J61" s="644"/>
      <c r="Q61" s="425" t="s">
        <v>3002</v>
      </c>
      <c r="R61" s="425"/>
      <c r="S61" s="36"/>
      <c r="T61" s="172"/>
      <c r="U61" s="36"/>
      <c r="V61" s="36"/>
      <c r="W61" s="36"/>
      <c r="X61" s="36"/>
      <c r="Y61" s="36"/>
      <c r="Z61" s="36"/>
      <c r="AA61" s="36"/>
    </row>
    <row r="62" spans="3:29" ht="19.5" x14ac:dyDescent="0.3">
      <c r="C62" s="330" t="s">
        <v>2266</v>
      </c>
      <c r="D62" s="330"/>
      <c r="E62" s="330"/>
      <c r="F62" s="330"/>
      <c r="G62" s="330"/>
      <c r="H62" s="330"/>
      <c r="I62" s="330"/>
      <c r="J62" s="644"/>
      <c r="Q62" s="16" t="s">
        <v>3001</v>
      </c>
      <c r="R62" s="17"/>
      <c r="S62" s="16"/>
      <c r="T62" s="715"/>
      <c r="U62" s="16"/>
      <c r="V62" s="36"/>
      <c r="W62" s="36"/>
      <c r="X62" s="36"/>
      <c r="Y62" s="36"/>
      <c r="Z62" s="36"/>
      <c r="AA62" s="36"/>
    </row>
    <row r="63" spans="3:29" ht="19.5" x14ac:dyDescent="0.3">
      <c r="C63" s="330"/>
      <c r="D63" s="330" t="s">
        <v>2265</v>
      </c>
      <c r="E63" s="330" t="s">
        <v>2264</v>
      </c>
      <c r="F63" s="330"/>
      <c r="G63" s="330"/>
      <c r="H63" s="330"/>
      <c r="I63" s="330"/>
      <c r="J63" s="644"/>
      <c r="Q63" s="16"/>
      <c r="R63" s="17"/>
      <c r="S63" s="16"/>
      <c r="T63" s="715"/>
      <c r="U63" s="16"/>
      <c r="V63" s="36"/>
      <c r="W63" s="36"/>
      <c r="X63" s="36"/>
      <c r="Y63" s="36"/>
      <c r="Z63" s="36"/>
      <c r="AA63" s="36"/>
    </row>
    <row r="64" spans="3:29" ht="19.5" x14ac:dyDescent="0.3">
      <c r="C64" s="330">
        <v>0.5</v>
      </c>
      <c r="D64" s="330">
        <f>C64^2*D43^2+C65^2*E43^2+2*C64*C65*D43*E43*D47</f>
        <v>0.10836030373521842</v>
      </c>
      <c r="E64" s="655">
        <f>SQRT(D64)</f>
        <v>0.32918126273410281</v>
      </c>
      <c r="F64" s="330"/>
      <c r="G64" s="330"/>
      <c r="H64" s="330"/>
      <c r="I64" s="330"/>
      <c r="J64" s="644"/>
      <c r="Q64" s="18" t="s">
        <v>3000</v>
      </c>
      <c r="R64" s="901"/>
      <c r="S64" s="18"/>
      <c r="T64" s="900"/>
      <c r="U64" s="18"/>
      <c r="V64" s="37"/>
      <c r="W64" s="37"/>
      <c r="X64" s="36"/>
      <c r="Y64" s="36"/>
      <c r="Z64" s="36"/>
      <c r="AA64" s="36"/>
    </row>
    <row r="65" spans="3:27" ht="19.5" x14ac:dyDescent="0.3">
      <c r="C65" s="330">
        <v>0.5</v>
      </c>
      <c r="D65" s="330"/>
      <c r="E65" s="330"/>
      <c r="F65" s="330"/>
      <c r="G65" s="330"/>
      <c r="H65" s="330"/>
      <c r="I65" s="330"/>
      <c r="J65" s="644"/>
      <c r="Q65" s="16" t="s">
        <v>2999</v>
      </c>
      <c r="R65" s="901"/>
      <c r="S65" s="18"/>
      <c r="T65" s="900"/>
      <c r="U65" s="18"/>
      <c r="V65" s="37"/>
      <c r="W65" s="37"/>
      <c r="X65" s="36"/>
      <c r="Y65" s="36"/>
      <c r="Z65" s="36"/>
      <c r="AA65" s="36"/>
    </row>
    <row r="66" spans="3:27" ht="19.5" x14ac:dyDescent="0.3">
      <c r="C66" s="333" t="s">
        <v>2263</v>
      </c>
      <c r="D66" s="654">
        <f>C64^2*D43^2+C65^2*E43^2+2*C64*C65*D43*E43*E47</f>
        <v>7.3868076667773966E-2</v>
      </c>
      <c r="E66" s="645">
        <f>SQRT(D66)</f>
        <v>0.27178682210102456</v>
      </c>
      <c r="F66" s="330"/>
      <c r="G66" s="330"/>
      <c r="H66" s="330"/>
      <c r="I66" s="330"/>
      <c r="J66" s="644"/>
      <c r="Q66" s="16"/>
      <c r="R66" s="901"/>
      <c r="S66" s="18"/>
      <c r="T66" s="900"/>
      <c r="U66" s="18"/>
      <c r="V66" s="37"/>
      <c r="W66" s="37"/>
      <c r="X66" s="16"/>
      <c r="Y66" s="16"/>
      <c r="Z66" s="16"/>
      <c r="AA66" s="36"/>
    </row>
    <row r="67" spans="3:27" ht="19.5" x14ac:dyDescent="0.3">
      <c r="C67" s="330"/>
      <c r="D67" s="330"/>
      <c r="E67" s="330"/>
      <c r="F67" s="330"/>
      <c r="G67" s="330"/>
      <c r="H67" s="330"/>
      <c r="I67" s="330"/>
      <c r="J67" s="644"/>
      <c r="Q67" s="972" t="s">
        <v>2998</v>
      </c>
      <c r="R67" s="972"/>
      <c r="S67" s="972"/>
      <c r="T67" s="972"/>
      <c r="U67" s="972"/>
      <c r="V67" s="972"/>
      <c r="W67" s="972"/>
      <c r="X67" s="16"/>
      <c r="Y67" s="16"/>
      <c r="Z67" s="16"/>
      <c r="AA67" s="36"/>
    </row>
    <row r="68" spans="3:27" ht="35.1" customHeight="1" x14ac:dyDescent="0.3">
      <c r="C68" s="330" t="s">
        <v>2262</v>
      </c>
      <c r="D68" s="330"/>
      <c r="E68" s="330"/>
      <c r="F68" s="330"/>
      <c r="G68" s="330"/>
      <c r="H68" s="330"/>
      <c r="I68" s="330"/>
      <c r="J68" s="644"/>
      <c r="Q68" s="972"/>
      <c r="R68" s="972"/>
      <c r="S68" s="972"/>
      <c r="T68" s="972"/>
      <c r="U68" s="972"/>
      <c r="V68" s="972"/>
      <c r="W68" s="972"/>
      <c r="X68" s="16"/>
      <c r="Y68" s="16"/>
      <c r="Z68" s="16"/>
      <c r="AA68" s="36"/>
    </row>
    <row r="69" spans="3:27" ht="18.75" customHeight="1" x14ac:dyDescent="0.3">
      <c r="C69" s="330" t="s">
        <v>2261</v>
      </c>
      <c r="D69" s="330"/>
      <c r="E69" s="330"/>
      <c r="F69" s="330"/>
      <c r="G69" s="330"/>
      <c r="H69" s="330"/>
      <c r="I69" s="330"/>
      <c r="J69" s="644"/>
      <c r="Q69" s="974" t="s">
        <v>2997</v>
      </c>
      <c r="R69" s="974"/>
      <c r="S69" s="974"/>
      <c r="T69" s="974"/>
      <c r="U69" s="974"/>
      <c r="V69" s="974"/>
      <c r="W69" s="974"/>
      <c r="X69" s="16"/>
      <c r="Y69" s="16"/>
      <c r="Z69" s="16"/>
      <c r="AA69" s="36"/>
    </row>
    <row r="70" spans="3:27" ht="19.5" x14ac:dyDescent="0.3">
      <c r="C70" s="330"/>
      <c r="D70" s="330"/>
      <c r="E70" s="330"/>
      <c r="F70" s="330"/>
      <c r="G70" s="330"/>
      <c r="H70" s="330"/>
      <c r="I70" s="330"/>
      <c r="J70" s="644"/>
      <c r="Q70" s="974"/>
      <c r="R70" s="974"/>
      <c r="S70" s="974"/>
      <c r="T70" s="974"/>
      <c r="U70" s="974"/>
      <c r="V70" s="974"/>
      <c r="W70" s="974"/>
      <c r="X70" s="16"/>
      <c r="Y70" s="16"/>
      <c r="Z70" s="16"/>
      <c r="AA70" s="36"/>
    </row>
    <row r="71" spans="3:27" ht="30" customHeight="1" x14ac:dyDescent="0.3">
      <c r="C71" s="330" t="s">
        <v>2260</v>
      </c>
      <c r="D71" s="330"/>
      <c r="E71" s="330"/>
      <c r="F71" s="330"/>
      <c r="G71" s="330"/>
      <c r="H71" s="330"/>
      <c r="I71" s="330"/>
      <c r="J71" s="644"/>
      <c r="Q71" s="974"/>
      <c r="R71" s="974"/>
      <c r="S71" s="974"/>
      <c r="T71" s="974"/>
      <c r="U71" s="974"/>
      <c r="V71" s="974"/>
      <c r="W71" s="974"/>
      <c r="X71" s="16"/>
      <c r="Y71" s="16"/>
      <c r="Z71" s="16"/>
      <c r="AA71" s="36"/>
    </row>
    <row r="72" spans="3:27" ht="19.5" x14ac:dyDescent="0.3">
      <c r="C72" s="330" t="s">
        <v>2259</v>
      </c>
      <c r="D72" s="330"/>
      <c r="E72" s="330"/>
      <c r="F72" s="330"/>
      <c r="G72" s="330"/>
      <c r="H72" s="330"/>
      <c r="I72" s="330"/>
      <c r="J72" s="644"/>
      <c r="Q72" s="907" t="s">
        <v>2996</v>
      </c>
      <c r="R72" s="906"/>
      <c r="S72" s="906"/>
      <c r="T72" s="906"/>
      <c r="U72" s="906"/>
      <c r="V72" s="906"/>
      <c r="W72" s="906"/>
      <c r="X72" s="16"/>
      <c r="Y72" s="16"/>
      <c r="Z72" s="16"/>
      <c r="AA72" s="36"/>
    </row>
    <row r="73" spans="3:27" ht="19.5" x14ac:dyDescent="0.3">
      <c r="C73" s="330"/>
      <c r="D73" s="330"/>
      <c r="E73" s="330"/>
      <c r="F73" s="330"/>
      <c r="G73" s="330"/>
      <c r="H73" s="330"/>
      <c r="I73" s="330"/>
      <c r="J73" s="644"/>
      <c r="Q73" s="907" t="s">
        <v>2995</v>
      </c>
      <c r="R73" s="906"/>
      <c r="S73" s="906"/>
      <c r="T73" s="906"/>
      <c r="U73" s="906"/>
      <c r="V73" s="906"/>
      <c r="W73" s="906"/>
      <c r="X73" s="16"/>
      <c r="Y73" s="16"/>
      <c r="Z73" s="16"/>
      <c r="AA73" s="36"/>
    </row>
    <row r="74" spans="3:27" x14ac:dyDescent="0.25">
      <c r="Q74" s="905" t="s">
        <v>2994</v>
      </c>
      <c r="R74" s="904"/>
      <c r="S74" s="904"/>
      <c r="T74" s="904"/>
      <c r="U74" s="904"/>
      <c r="V74" s="904"/>
      <c r="W74" s="904"/>
      <c r="X74" s="16"/>
      <c r="Y74" s="16"/>
      <c r="Z74" s="16"/>
      <c r="AA74" s="36"/>
    </row>
    <row r="75" spans="3:27" x14ac:dyDescent="0.25">
      <c r="Q75" s="905" t="s">
        <v>2993</v>
      </c>
      <c r="R75" s="904"/>
      <c r="S75" s="904"/>
      <c r="T75" s="904"/>
      <c r="U75" s="904"/>
      <c r="V75" s="904"/>
      <c r="W75" s="904"/>
      <c r="X75" s="16"/>
      <c r="Y75" s="16"/>
      <c r="Z75" s="16"/>
      <c r="AA75" s="36"/>
    </row>
    <row r="76" spans="3:27" x14ac:dyDescent="0.25">
      <c r="Q76" s="905" t="s">
        <v>2992</v>
      </c>
      <c r="R76" s="904"/>
      <c r="S76" s="904"/>
      <c r="T76" s="904"/>
      <c r="U76" s="904"/>
      <c r="V76" s="904"/>
      <c r="W76" s="904"/>
      <c r="X76" s="16"/>
      <c r="Y76" s="16"/>
      <c r="Z76" s="16"/>
      <c r="AA76" s="36"/>
    </row>
    <row r="77" spans="3:27" x14ac:dyDescent="0.25">
      <c r="Q77" s="903" t="s">
        <v>2991</v>
      </c>
      <c r="R77" s="901"/>
      <c r="S77" s="18"/>
      <c r="T77" s="900"/>
      <c r="U77" s="18"/>
      <c r="V77" s="37"/>
      <c r="W77" s="37"/>
      <c r="X77" s="19"/>
      <c r="Y77" s="16"/>
      <c r="Z77" s="16"/>
      <c r="AA77" s="36"/>
    </row>
    <row r="78" spans="3:27" x14ac:dyDescent="0.25">
      <c r="Q78" s="902" t="s">
        <v>2990</v>
      </c>
      <c r="R78" s="901"/>
      <c r="S78" s="18"/>
      <c r="T78" s="900"/>
      <c r="U78" s="18"/>
      <c r="V78" s="37"/>
      <c r="W78" s="37"/>
      <c r="X78" s="501"/>
      <c r="Y78" s="16"/>
      <c r="Z78" s="16"/>
      <c r="AA78" s="36"/>
    </row>
    <row r="79" spans="3:27" x14ac:dyDescent="0.25">
      <c r="Q79" s="902"/>
      <c r="R79" s="901"/>
      <c r="S79" s="18"/>
      <c r="T79" s="900"/>
      <c r="U79" s="18"/>
      <c r="V79" s="37"/>
      <c r="W79" s="37"/>
      <c r="X79" s="501"/>
      <c r="Y79" s="16"/>
      <c r="Z79" s="16"/>
      <c r="AA79" s="36"/>
    </row>
    <row r="80" spans="3:27" x14ac:dyDescent="0.25">
      <c r="Q80" s="903" t="s">
        <v>2989</v>
      </c>
      <c r="R80" s="901"/>
      <c r="S80" s="18"/>
      <c r="T80" s="900"/>
      <c r="U80" s="18"/>
      <c r="V80" s="37"/>
      <c r="W80" s="37"/>
      <c r="X80" s="501"/>
      <c r="Y80" s="16"/>
      <c r="Z80" s="16"/>
      <c r="AA80" s="36"/>
    </row>
    <row r="81" spans="17:27" x14ac:dyDescent="0.25">
      <c r="Q81" s="902"/>
      <c r="R81" s="901"/>
      <c r="S81" s="18"/>
      <c r="T81" s="900"/>
      <c r="U81" s="18"/>
      <c r="V81" s="37"/>
      <c r="W81" s="37"/>
      <c r="X81" s="501"/>
      <c r="Y81" s="16"/>
      <c r="Z81" s="16"/>
      <c r="AA81" s="36"/>
    </row>
    <row r="82" spans="17:27" x14ac:dyDescent="0.25">
      <c r="Q82" s="973" t="s">
        <v>2988</v>
      </c>
      <c r="R82" s="973"/>
      <c r="S82" s="973"/>
      <c r="T82" s="973"/>
      <c r="U82" s="973"/>
      <c r="V82" s="973"/>
      <c r="W82" s="973"/>
      <c r="X82" s="501"/>
      <c r="Y82" s="16"/>
      <c r="Z82" s="16"/>
      <c r="AA82" s="36"/>
    </row>
    <row r="83" spans="17:27" x14ac:dyDescent="0.25">
      <c r="Q83" s="973"/>
      <c r="R83" s="973"/>
      <c r="S83" s="973"/>
      <c r="T83" s="973"/>
      <c r="U83" s="973"/>
      <c r="V83" s="973"/>
      <c r="W83" s="973"/>
      <c r="X83" s="501"/>
      <c r="Y83" s="16"/>
      <c r="Z83" s="16"/>
      <c r="AA83" s="36"/>
    </row>
    <row r="84" spans="17:27" x14ac:dyDescent="0.25">
      <c r="Q84" s="425"/>
      <c r="R84" s="36"/>
      <c r="S84" s="172"/>
      <c r="T84" s="36"/>
      <c r="U84" s="36"/>
      <c r="V84" s="36"/>
      <c r="W84" s="36"/>
      <c r="X84" s="16"/>
      <c r="Y84" s="16"/>
      <c r="Z84" s="16"/>
      <c r="AA84" s="36"/>
    </row>
    <row r="85" spans="17:27" x14ac:dyDescent="0.25">
      <c r="Q85" s="606" t="s">
        <v>2962</v>
      </c>
      <c r="R85" s="205" t="s">
        <v>2943</v>
      </c>
      <c r="S85" s="205" t="s">
        <v>2963</v>
      </c>
      <c r="T85" s="205" t="s">
        <v>2964</v>
      </c>
      <c r="U85" s="206" t="s">
        <v>2965</v>
      </c>
      <c r="V85" s="16"/>
      <c r="W85" s="16"/>
      <c r="X85" s="16"/>
      <c r="Y85" s="16"/>
      <c r="Z85" s="16"/>
      <c r="AA85" s="36"/>
    </row>
    <row r="86" spans="17:27" x14ac:dyDescent="0.25">
      <c r="Q86" s="23">
        <v>1990</v>
      </c>
      <c r="R86" s="498">
        <v>0.11</v>
      </c>
      <c r="S86" s="498">
        <v>-0.15</v>
      </c>
      <c r="T86" s="498">
        <v>0.1</v>
      </c>
      <c r="U86" s="534">
        <v>0.22</v>
      </c>
      <c r="V86" s="16"/>
      <c r="W86" s="16"/>
      <c r="X86" s="16"/>
      <c r="Y86" s="16"/>
      <c r="Z86" s="16"/>
      <c r="AA86" s="36"/>
    </row>
    <row r="87" spans="17:27" x14ac:dyDescent="0.25">
      <c r="Q87" s="23">
        <v>1991</v>
      </c>
      <c r="R87" s="498">
        <v>0.05</v>
      </c>
      <c r="S87" s="498">
        <v>-0.12</v>
      </c>
      <c r="T87" s="498">
        <v>0.1</v>
      </c>
      <c r="U87" s="534">
        <v>0.14000000000000001</v>
      </c>
      <c r="V87" s="16"/>
      <c r="W87" s="16"/>
      <c r="X87" s="16"/>
      <c r="Y87" s="16"/>
      <c r="Z87" s="16"/>
      <c r="AA87" s="36"/>
    </row>
    <row r="88" spans="17:27" x14ac:dyDescent="0.25">
      <c r="Q88" s="23">
        <v>1992</v>
      </c>
      <c r="R88" s="498">
        <v>0.06</v>
      </c>
      <c r="S88" s="498">
        <v>0.14000000000000001</v>
      </c>
      <c r="T88" s="498">
        <v>0.23</v>
      </c>
      <c r="U88" s="534">
        <v>0.12</v>
      </c>
      <c r="V88" s="16"/>
      <c r="W88" s="16"/>
      <c r="X88" s="16"/>
      <c r="Y88" s="16"/>
      <c r="Z88" s="16"/>
      <c r="AA88" s="36"/>
    </row>
    <row r="89" spans="17:27" x14ac:dyDescent="0.25">
      <c r="Q89" s="23">
        <v>1993</v>
      </c>
      <c r="R89" s="498">
        <v>0.11</v>
      </c>
      <c r="S89" s="498">
        <v>0.12</v>
      </c>
      <c r="T89" s="498">
        <v>0.22</v>
      </c>
      <c r="U89" s="534">
        <v>0.08</v>
      </c>
      <c r="V89" s="16"/>
      <c r="W89" s="16"/>
      <c r="X89" s="36"/>
      <c r="Y89" s="36"/>
      <c r="Z89" s="36"/>
      <c r="AA89" s="36"/>
    </row>
    <row r="90" spans="17:27" x14ac:dyDescent="0.25">
      <c r="Q90" s="23">
        <v>1994</v>
      </c>
      <c r="R90" s="498">
        <v>0.14000000000000001</v>
      </c>
      <c r="S90" s="498">
        <v>0.04</v>
      </c>
      <c r="T90" s="498">
        <v>0.17</v>
      </c>
      <c r="U90" s="534">
        <v>0.15</v>
      </c>
      <c r="V90" s="16"/>
      <c r="W90" s="16"/>
      <c r="X90" s="36"/>
      <c r="Y90" s="36"/>
      <c r="Z90" s="36"/>
      <c r="AA90" s="36"/>
    </row>
    <row r="91" spans="17:27" x14ac:dyDescent="0.25">
      <c r="Q91" s="23">
        <v>1995</v>
      </c>
      <c r="R91" s="498">
        <v>0.02</v>
      </c>
      <c r="S91" s="498">
        <v>7.0000000000000007E-2</v>
      </c>
      <c r="T91" s="498">
        <v>0.13</v>
      </c>
      <c r="U91" s="534">
        <v>0.14000000000000001</v>
      </c>
      <c r="V91" s="16"/>
      <c r="W91" s="16"/>
      <c r="X91" s="36"/>
      <c r="Y91" s="36"/>
      <c r="Z91" s="36"/>
      <c r="AA91" s="36"/>
    </row>
    <row r="92" spans="17:27" x14ac:dyDescent="0.25">
      <c r="Q92" s="23">
        <v>1996</v>
      </c>
      <c r="R92" s="498">
        <v>0.11</v>
      </c>
      <c r="S92" s="498">
        <v>0.22</v>
      </c>
      <c r="T92" s="498">
        <v>0.06</v>
      </c>
      <c r="U92" s="534">
        <v>-0.04</v>
      </c>
      <c r="V92" s="16"/>
      <c r="W92" s="16"/>
      <c r="X92" s="36"/>
      <c r="Y92" s="36"/>
      <c r="Z92" s="36"/>
      <c r="AA92" s="36"/>
    </row>
    <row r="93" spans="17:27" x14ac:dyDescent="0.25">
      <c r="Q93" s="23">
        <v>1997</v>
      </c>
      <c r="R93" s="498">
        <v>0.14000000000000001</v>
      </c>
      <c r="S93" s="498">
        <v>0.17</v>
      </c>
      <c r="T93" s="498">
        <v>0.16</v>
      </c>
      <c r="U93" s="534">
        <v>0.12</v>
      </c>
      <c r="V93" s="16"/>
      <c r="W93" s="16"/>
      <c r="X93" s="36"/>
      <c r="Y93" s="36"/>
      <c r="Z93" s="36"/>
      <c r="AA93" s="36"/>
    </row>
    <row r="94" spans="17:27" x14ac:dyDescent="0.25">
      <c r="Q94" s="23">
        <v>1998</v>
      </c>
      <c r="R94" s="498">
        <v>0.1</v>
      </c>
      <c r="S94" s="498">
        <v>0.06</v>
      </c>
      <c r="T94" s="498">
        <v>0.19</v>
      </c>
      <c r="U94" s="534">
        <v>0.15</v>
      </c>
      <c r="V94" s="16"/>
      <c r="W94" s="16"/>
      <c r="X94" s="36"/>
      <c r="Y94" s="36"/>
      <c r="Z94" s="36"/>
      <c r="AA94" s="36"/>
    </row>
    <row r="95" spans="17:27" x14ac:dyDescent="0.25">
      <c r="Q95" s="23">
        <v>1999</v>
      </c>
      <c r="R95" s="498">
        <v>0.15</v>
      </c>
      <c r="S95" s="498">
        <v>0.01</v>
      </c>
      <c r="T95" s="498">
        <v>0.22</v>
      </c>
      <c r="U95" s="534">
        <v>0.22</v>
      </c>
      <c r="V95" s="16"/>
      <c r="W95" s="19"/>
      <c r="X95" s="36"/>
      <c r="Y95" s="36"/>
      <c r="Z95" s="36"/>
      <c r="AA95" s="36"/>
    </row>
    <row r="96" spans="17:27" x14ac:dyDescent="0.25">
      <c r="Q96" s="23">
        <v>2000</v>
      </c>
      <c r="R96" s="498">
        <v>0.25</v>
      </c>
      <c r="S96" s="498">
        <v>-0.1</v>
      </c>
      <c r="T96" s="498">
        <v>7.0000000000000007E-2</v>
      </c>
      <c r="U96" s="534">
        <v>0.16</v>
      </c>
      <c r="V96" s="19"/>
      <c r="W96" s="19"/>
      <c r="X96" s="36"/>
      <c r="Y96" s="36"/>
      <c r="Z96" s="36"/>
      <c r="AA96" s="36"/>
    </row>
    <row r="97" spans="17:27" x14ac:dyDescent="0.25">
      <c r="Q97" s="23">
        <v>2001</v>
      </c>
      <c r="R97" s="498">
        <v>0.14000000000000001</v>
      </c>
      <c r="S97" s="498">
        <v>-0.04</v>
      </c>
      <c r="T97" s="498">
        <v>0.04</v>
      </c>
      <c r="U97" s="534">
        <v>0.06</v>
      </c>
      <c r="V97" s="16"/>
      <c r="W97" s="169"/>
      <c r="X97" s="36"/>
      <c r="Y97" s="36"/>
      <c r="Z97" s="36"/>
      <c r="AA97" s="36"/>
    </row>
    <row r="98" spans="17:27" x14ac:dyDescent="0.25">
      <c r="Q98" s="23">
        <v>2002</v>
      </c>
      <c r="R98" s="498">
        <v>-0.12</v>
      </c>
      <c r="S98" s="498">
        <v>0.22</v>
      </c>
      <c r="T98" s="498">
        <v>0.22</v>
      </c>
      <c r="U98" s="534">
        <v>0.14000000000000001</v>
      </c>
      <c r="V98" s="169"/>
      <c r="W98" s="169"/>
      <c r="X98" s="36"/>
      <c r="Y98" s="36"/>
      <c r="Z98" s="36"/>
      <c r="AA98" s="36"/>
    </row>
    <row r="99" spans="17:27" x14ac:dyDescent="0.25">
      <c r="Q99" s="23">
        <v>2003</v>
      </c>
      <c r="R99" s="498">
        <v>0.14000000000000001</v>
      </c>
      <c r="S99" s="498">
        <v>0.17</v>
      </c>
      <c r="T99" s="498">
        <v>-0.06</v>
      </c>
      <c r="U99" s="534">
        <v>-0.05</v>
      </c>
      <c r="V99" s="169"/>
      <c r="W99" s="169"/>
      <c r="X99" s="36"/>
      <c r="Y99" s="36"/>
      <c r="Z99" s="36"/>
      <c r="AA99" s="36"/>
    </row>
    <row r="100" spans="17:27" x14ac:dyDescent="0.25">
      <c r="Q100" s="23">
        <v>2004</v>
      </c>
      <c r="R100" s="498">
        <v>0.04</v>
      </c>
      <c r="S100" s="498">
        <v>0.14000000000000001</v>
      </c>
      <c r="T100" s="498">
        <v>0.12</v>
      </c>
      <c r="U100" s="534">
        <v>-0.19</v>
      </c>
      <c r="V100" s="169"/>
      <c r="W100" s="169"/>
      <c r="X100" s="36"/>
      <c r="Y100" s="36"/>
      <c r="Z100" s="36"/>
      <c r="AA100" s="36"/>
    </row>
    <row r="101" spans="17:27" x14ac:dyDescent="0.25">
      <c r="Q101" s="23">
        <v>2005</v>
      </c>
      <c r="R101" s="498">
        <v>0.02</v>
      </c>
      <c r="S101" s="498">
        <v>0.06</v>
      </c>
      <c r="T101" s="498">
        <v>0.11</v>
      </c>
      <c r="U101" s="534">
        <v>0.12</v>
      </c>
      <c r="V101" s="169"/>
      <c r="W101" s="169"/>
      <c r="X101" s="36"/>
      <c r="Y101" s="36"/>
      <c r="Z101" s="36"/>
      <c r="AA101" s="36"/>
    </row>
    <row r="102" spans="17:27" x14ac:dyDescent="0.25">
      <c r="Q102" s="23">
        <v>2006</v>
      </c>
      <c r="R102" s="498">
        <v>-0.09</v>
      </c>
      <c r="S102" s="498">
        <v>7.0000000000000007E-2</v>
      </c>
      <c r="T102" s="498">
        <v>0.24</v>
      </c>
      <c r="U102" s="534">
        <v>-0.04</v>
      </c>
      <c r="V102" s="169"/>
      <c r="W102" s="169"/>
      <c r="X102" s="36"/>
      <c r="Y102" s="36"/>
      <c r="Z102" s="36"/>
      <c r="AA102" s="36"/>
    </row>
    <row r="103" spans="17:27" x14ac:dyDescent="0.25">
      <c r="Q103" s="23">
        <v>2007</v>
      </c>
      <c r="R103" s="498">
        <v>0.14000000000000001</v>
      </c>
      <c r="S103" s="498">
        <v>0.02</v>
      </c>
      <c r="T103" s="498">
        <v>0.09</v>
      </c>
      <c r="U103" s="534">
        <v>0.22</v>
      </c>
      <c r="V103" s="169"/>
      <c r="W103" s="169"/>
      <c r="X103" s="36"/>
      <c r="Y103" s="36"/>
      <c r="Z103" s="36"/>
      <c r="AA103" s="36"/>
    </row>
    <row r="104" spans="17:27" x14ac:dyDescent="0.25">
      <c r="Q104" s="23">
        <v>2008</v>
      </c>
      <c r="R104" s="498">
        <v>0.12</v>
      </c>
      <c r="S104" s="498">
        <v>0.19</v>
      </c>
      <c r="T104" s="498">
        <v>0.1</v>
      </c>
      <c r="U104" s="534">
        <v>0.18</v>
      </c>
      <c r="V104" s="169"/>
      <c r="W104" s="169"/>
      <c r="X104" s="36"/>
      <c r="Y104" s="36"/>
      <c r="Z104" s="36"/>
      <c r="AA104" s="36"/>
    </row>
    <row r="105" spans="17:27" x14ac:dyDescent="0.25">
      <c r="Q105" s="23">
        <v>2009</v>
      </c>
      <c r="R105" s="498">
        <v>0.14000000000000001</v>
      </c>
      <c r="S105" s="498">
        <v>0.18</v>
      </c>
      <c r="T105" s="498">
        <v>-0.13</v>
      </c>
      <c r="U105" s="534">
        <v>0.19</v>
      </c>
      <c r="V105" s="169"/>
      <c r="W105" s="169"/>
      <c r="X105" s="36"/>
      <c r="Y105" s="36"/>
      <c r="Z105" s="36"/>
      <c r="AA105" s="36"/>
    </row>
    <row r="106" spans="17:27" x14ac:dyDescent="0.25">
      <c r="Q106" s="26">
        <v>2010</v>
      </c>
      <c r="R106" s="603">
        <v>0.25</v>
      </c>
      <c r="S106" s="603">
        <v>0.24</v>
      </c>
      <c r="T106" s="603">
        <v>0.18</v>
      </c>
      <c r="U106" s="867">
        <v>0.1</v>
      </c>
      <c r="V106" s="169"/>
      <c r="W106" s="169"/>
      <c r="X106" s="36"/>
      <c r="Y106" s="36"/>
      <c r="Z106" s="36"/>
      <c r="AA106" s="36"/>
    </row>
    <row r="107" spans="17:27" x14ac:dyDescent="0.25">
      <c r="Q107" s="20" t="s">
        <v>2966</v>
      </c>
      <c r="R107" s="64">
        <v>9.6190476190476215E-2</v>
      </c>
      <c r="S107" s="64">
        <v>8.1428571428571433E-2</v>
      </c>
      <c r="T107" s="64">
        <v>0.12190476190476189</v>
      </c>
      <c r="U107" s="503">
        <v>0.10428571428571426</v>
      </c>
      <c r="V107" s="169"/>
      <c r="W107" s="169"/>
      <c r="X107" s="36"/>
      <c r="Y107" s="36"/>
      <c r="Z107" s="36"/>
      <c r="AA107" s="36"/>
    </row>
    <row r="108" spans="17:27" x14ac:dyDescent="0.25">
      <c r="Q108" s="23" t="s">
        <v>2967</v>
      </c>
      <c r="R108" s="36">
        <v>8.124761904761902E-3</v>
      </c>
      <c r="S108" s="36">
        <v>1.3132857142857144E-2</v>
      </c>
      <c r="T108" s="36">
        <v>8.936190476190483E-3</v>
      </c>
      <c r="U108" s="207">
        <v>1.0985714285714293E-2</v>
      </c>
      <c r="V108" s="16"/>
      <c r="W108" s="16"/>
      <c r="X108" s="36"/>
      <c r="Y108" s="36"/>
      <c r="Z108" s="36"/>
      <c r="AA108" s="36"/>
    </row>
    <row r="109" spans="17:27" x14ac:dyDescent="0.25">
      <c r="Q109" s="26" t="s">
        <v>2968</v>
      </c>
      <c r="R109" s="208">
        <v>9.0137461162171098E-2</v>
      </c>
      <c r="S109" s="208">
        <v>0.11459867862613925</v>
      </c>
      <c r="T109" s="208">
        <v>9.4531425865637314E-2</v>
      </c>
      <c r="U109" s="209">
        <v>0.10481275822014366</v>
      </c>
      <c r="V109" s="16"/>
      <c r="W109" s="16"/>
      <c r="X109" s="36"/>
      <c r="Y109" s="36"/>
      <c r="Z109" s="36"/>
      <c r="AA109" s="36"/>
    </row>
    <row r="110" spans="17:27" x14ac:dyDescent="0.25">
      <c r="Q110" s="36"/>
      <c r="R110" s="36"/>
      <c r="S110" s="36"/>
      <c r="T110" s="36"/>
      <c r="U110" s="36"/>
      <c r="V110" s="16"/>
      <c r="W110" s="16"/>
      <c r="X110" s="36"/>
      <c r="Y110" s="36"/>
      <c r="Z110" s="36"/>
      <c r="AA110" s="36"/>
    </row>
    <row r="111" spans="17:27" x14ac:dyDescent="0.25">
      <c r="Q111" s="37" t="s">
        <v>2969</v>
      </c>
      <c r="R111" s="36"/>
      <c r="S111" s="36"/>
      <c r="T111" s="36"/>
      <c r="U111" s="36"/>
      <c r="V111" s="16"/>
      <c r="W111" s="16"/>
      <c r="X111" s="36"/>
      <c r="Y111" s="36"/>
      <c r="Z111" s="36"/>
      <c r="AA111" s="36"/>
    </row>
    <row r="112" spans="17:27" x14ac:dyDescent="0.25">
      <c r="Q112" s="20"/>
      <c r="R112" s="205" t="s">
        <v>2943</v>
      </c>
      <c r="S112" s="205" t="s">
        <v>2963</v>
      </c>
      <c r="T112" s="205" t="s">
        <v>2964</v>
      </c>
      <c r="U112" s="206" t="s">
        <v>2965</v>
      </c>
      <c r="V112" s="16"/>
      <c r="W112" s="16" t="s">
        <v>2987</v>
      </c>
      <c r="X112" s="36" t="s">
        <v>2980</v>
      </c>
      <c r="Y112" s="36" t="s">
        <v>2986</v>
      </c>
      <c r="Z112" s="36" t="s">
        <v>2978</v>
      </c>
      <c r="AA112" s="36"/>
    </row>
    <row r="113" spans="17:27" x14ac:dyDescent="0.25">
      <c r="Q113" s="23" t="s">
        <v>2943</v>
      </c>
      <c r="R113" s="18">
        <v>8.1247619047619037E-3</v>
      </c>
      <c r="S113" s="16">
        <v>-1.2392857142857149E-3</v>
      </c>
      <c r="T113" s="16">
        <v>-2.9873809523809523E-3</v>
      </c>
      <c r="U113" s="207">
        <v>2.3871428571428568E-3</v>
      </c>
      <c r="V113" s="16" t="s">
        <v>2985</v>
      </c>
      <c r="W113" s="899">
        <f>(S114-S113)/(R113+S114-2*S113)</f>
        <v>0.60549492436705055</v>
      </c>
      <c r="X113" s="36">
        <v>1</v>
      </c>
      <c r="Y113" s="36">
        <f t="array" ref="Y113:Y114">MMULT(MINVERSE(R113:S114),X113:X114)</f>
        <v>136.66213461916445</v>
      </c>
      <c r="Z113" s="59">
        <f>Y113/Y$115</f>
        <v>0.60549492436705055</v>
      </c>
      <c r="AA113" s="36"/>
    </row>
    <row r="114" spans="17:27" x14ac:dyDescent="0.25">
      <c r="Q114" s="23" t="s">
        <v>2963</v>
      </c>
      <c r="R114" s="16">
        <v>-1.2392857142857149E-3</v>
      </c>
      <c r="S114" s="18">
        <v>1.3132857142857144E-2</v>
      </c>
      <c r="T114" s="16">
        <v>1.7214285714285682E-4</v>
      </c>
      <c r="U114" s="207">
        <v>-4.2314285714285726E-3</v>
      </c>
      <c r="V114" s="36" t="s">
        <v>2984</v>
      </c>
      <c r="W114" s="898">
        <f>1-W113</f>
        <v>0.39450507563294945</v>
      </c>
      <c r="X114" s="36">
        <v>1</v>
      </c>
      <c r="Y114" s="36">
        <v>89.04105316894649</v>
      </c>
      <c r="Z114" s="59">
        <f>Y114/Y$115</f>
        <v>0.3945050756329494</v>
      </c>
      <c r="AA114" s="36"/>
    </row>
    <row r="115" spans="17:27" x14ac:dyDescent="0.25">
      <c r="Q115" s="23" t="s">
        <v>2964</v>
      </c>
      <c r="R115" s="16">
        <v>-2.9873809523809523E-3</v>
      </c>
      <c r="S115" s="16">
        <v>1.7214285714285682E-4</v>
      </c>
      <c r="T115" s="18">
        <v>8.9361904761904778E-3</v>
      </c>
      <c r="U115" s="207">
        <v>5.4642857142857184E-4</v>
      </c>
      <c r="V115" s="36"/>
      <c r="W115" s="59">
        <f>SUM(W113:W114)</f>
        <v>1</v>
      </c>
      <c r="X115" s="36"/>
      <c r="Y115" s="36">
        <f>SUM(Y113:Y114)</f>
        <v>225.70318778811094</v>
      </c>
      <c r="Z115" s="59">
        <f>SUM(Z113:Z114)</f>
        <v>1</v>
      </c>
      <c r="AA115" s="36"/>
    </row>
    <row r="116" spans="17:27" x14ac:dyDescent="0.25">
      <c r="Q116" s="26" t="s">
        <v>2965</v>
      </c>
      <c r="R116" s="208">
        <v>2.3871428571428568E-3</v>
      </c>
      <c r="S116" s="208">
        <v>-4.2314285714285726E-3</v>
      </c>
      <c r="T116" s="208">
        <v>5.4642857142857184E-4</v>
      </c>
      <c r="U116" s="897">
        <v>1.0985714285714288E-2</v>
      </c>
      <c r="V116" s="36"/>
      <c r="W116" s="36"/>
      <c r="X116" s="36"/>
      <c r="Y116" s="36"/>
      <c r="Z116" s="36"/>
      <c r="AA116" s="36"/>
    </row>
    <row r="117" spans="17:27" x14ac:dyDescent="0.25">
      <c r="Q117" s="36"/>
      <c r="R117" s="36"/>
      <c r="S117" s="36"/>
      <c r="T117" s="36"/>
      <c r="U117" s="36"/>
      <c r="V117" s="36"/>
      <c r="W117" s="36"/>
      <c r="X117" s="36"/>
      <c r="Y117" s="36"/>
      <c r="Z117" s="36"/>
      <c r="AA117" s="36"/>
    </row>
    <row r="118" spans="17:27" x14ac:dyDescent="0.25">
      <c r="Q118" s="37" t="s">
        <v>2983</v>
      </c>
      <c r="R118" s="36"/>
      <c r="S118" s="36" t="s">
        <v>2982</v>
      </c>
      <c r="T118" s="36" t="s">
        <v>2264</v>
      </c>
      <c r="U118" s="36" t="s">
        <v>1878</v>
      </c>
      <c r="V118" s="36" t="s">
        <v>1878</v>
      </c>
      <c r="W118" s="36"/>
      <c r="X118" s="36"/>
      <c r="Y118" s="36"/>
      <c r="Z118" s="36"/>
      <c r="AA118" s="36"/>
    </row>
    <row r="119" spans="17:27" x14ac:dyDescent="0.25">
      <c r="Q119" s="23" t="s">
        <v>2943</v>
      </c>
      <c r="R119" s="896">
        <v>5.0592236783611855E-2</v>
      </c>
      <c r="S119" s="36">
        <f t="array" ref="S119">MMULT(MMULT(TRANSPOSE(R119:R122),R113:U116),R119:R122)</f>
        <v>7.2834687987907414E-3</v>
      </c>
      <c r="T119" s="59">
        <f>SQRT(S119)</f>
        <v>8.534324108440422E-2</v>
      </c>
      <c r="U119" s="59">
        <f t="array" ref="U119">MMULT(R107:U107,R119:R122)</f>
        <v>0.12000000003440953</v>
      </c>
      <c r="V119" s="59">
        <f>R119*R107+R120*S107+R121*T107+R122*U107</f>
        <v>0.12000000003440953</v>
      </c>
      <c r="W119" s="36"/>
      <c r="X119" s="36"/>
      <c r="Y119" s="36"/>
      <c r="Z119" s="36"/>
      <c r="AA119" s="36"/>
    </row>
    <row r="120" spans="17:27" x14ac:dyDescent="0.25">
      <c r="Q120" s="23" t="s">
        <v>2963</v>
      </c>
      <c r="R120" s="896">
        <v>0</v>
      </c>
      <c r="S120" s="36"/>
      <c r="T120" s="36"/>
      <c r="U120" s="36"/>
      <c r="V120" s="36"/>
      <c r="W120" s="36"/>
      <c r="X120" s="36"/>
      <c r="Y120" s="36"/>
      <c r="Z120" s="36"/>
      <c r="AA120" s="36"/>
    </row>
    <row r="121" spans="17:27" x14ac:dyDescent="0.25">
      <c r="Q121" s="23" t="s">
        <v>2964</v>
      </c>
      <c r="R121" s="896">
        <v>0.91513697561030838</v>
      </c>
      <c r="S121" s="36"/>
      <c r="T121" s="36"/>
      <c r="U121" s="36"/>
      <c r="V121" s="36"/>
      <c r="W121" s="36"/>
      <c r="X121" s="36"/>
      <c r="Y121" s="36"/>
      <c r="Z121" s="36"/>
      <c r="AA121" s="36"/>
    </row>
    <row r="122" spans="17:27" x14ac:dyDescent="0.25">
      <c r="Q122" s="26" t="s">
        <v>2965</v>
      </c>
      <c r="R122" s="896">
        <f>1-R119-R120-R121</f>
        <v>3.4270787606079822E-2</v>
      </c>
      <c r="S122" s="36"/>
      <c r="T122" s="36"/>
      <c r="U122" s="36"/>
      <c r="V122" s="36"/>
      <c r="W122" s="36"/>
      <c r="X122" s="36"/>
      <c r="Y122" s="36"/>
      <c r="Z122" s="36"/>
      <c r="AA122" s="36"/>
    </row>
    <row r="123" spans="17:27" x14ac:dyDescent="0.25">
      <c r="Q123" s="36"/>
      <c r="R123" s="36"/>
      <c r="S123" s="36"/>
      <c r="T123" s="36"/>
      <c r="U123" s="36"/>
      <c r="V123" s="36"/>
      <c r="W123" s="36"/>
      <c r="X123" s="36"/>
      <c r="Y123" s="36"/>
      <c r="Z123" s="36"/>
      <c r="AA123" s="36"/>
    </row>
    <row r="124" spans="17:27" x14ac:dyDescent="0.25">
      <c r="Q124" s="36" t="s">
        <v>2981</v>
      </c>
      <c r="R124" s="36"/>
      <c r="S124" s="36"/>
      <c r="T124" s="36"/>
      <c r="U124" s="36"/>
      <c r="V124" s="36"/>
      <c r="W124" s="36"/>
      <c r="X124" s="36"/>
      <c r="Y124" s="36"/>
      <c r="Z124" s="36"/>
      <c r="AA124" s="36"/>
    </row>
    <row r="125" spans="17:27" x14ac:dyDescent="0.25">
      <c r="Q125" s="36"/>
      <c r="R125" s="36"/>
      <c r="S125" s="797" t="s">
        <v>2980</v>
      </c>
      <c r="T125" s="36" t="s">
        <v>2979</v>
      </c>
      <c r="U125" s="36" t="s">
        <v>2978</v>
      </c>
      <c r="V125" s="36"/>
      <c r="W125" s="36"/>
      <c r="X125" s="36"/>
      <c r="Y125" s="36"/>
      <c r="Z125" s="36"/>
      <c r="AA125" s="36"/>
    </row>
    <row r="126" spans="17:27" x14ac:dyDescent="0.25">
      <c r="Q126" s="36" t="s">
        <v>2977</v>
      </c>
      <c r="R126" s="36"/>
      <c r="S126" s="797">
        <v>1</v>
      </c>
      <c r="T126" s="36">
        <f t="array" ref="T126:T129">MMULT(MINVERSE(R113:U116),S126:S129)</f>
        <v>174.20499286111607</v>
      </c>
      <c r="U126" s="59">
        <f>T126/T$130</f>
        <v>0.31812827868177318</v>
      </c>
      <c r="V126" s="36"/>
      <c r="W126" s="36"/>
      <c r="X126" s="36"/>
      <c r="Y126" s="36"/>
      <c r="Z126" s="36"/>
      <c r="AA126" s="36"/>
    </row>
    <row r="127" spans="17:27" x14ac:dyDescent="0.25">
      <c r="Q127" s="36"/>
      <c r="R127" s="36"/>
      <c r="S127" s="797">
        <v>1</v>
      </c>
      <c r="T127" s="36">
        <v>119.86506887879503</v>
      </c>
      <c r="U127" s="59">
        <f>T127/T$130</f>
        <v>0.21889423150393936</v>
      </c>
      <c r="V127" s="36"/>
      <c r="W127" s="36"/>
      <c r="X127" s="36"/>
      <c r="Y127" s="36"/>
      <c r="Z127" s="36"/>
      <c r="AA127" s="36"/>
    </row>
    <row r="128" spans="17:27" x14ac:dyDescent="0.25">
      <c r="Q128" s="36" t="s">
        <v>2976</v>
      </c>
      <c r="R128" s="36"/>
      <c r="S128" s="797">
        <v>1</v>
      </c>
      <c r="T128" s="36">
        <v>162.25136077213563</v>
      </c>
      <c r="U128" s="59">
        <f>T128/T$130</f>
        <v>0.29629889056834346</v>
      </c>
      <c r="V128" s="36"/>
      <c r="W128" s="36"/>
      <c r="X128" s="36"/>
      <c r="Y128" s="36"/>
      <c r="Z128" s="36"/>
      <c r="AA128" s="36"/>
    </row>
    <row r="129" spans="17:27" x14ac:dyDescent="0.25">
      <c r="Q129" s="36"/>
      <c r="R129" s="36"/>
      <c r="S129" s="797">
        <v>1</v>
      </c>
      <c r="T129" s="36">
        <v>91.272125546518083</v>
      </c>
      <c r="U129" s="59">
        <f>T129/T$130</f>
        <v>0.16667859924594397</v>
      </c>
      <c r="V129" s="36"/>
      <c r="W129" s="36"/>
      <c r="X129" s="36"/>
      <c r="Y129" s="36"/>
      <c r="Z129" s="36"/>
      <c r="AA129" s="36"/>
    </row>
    <row r="130" spans="17:27" x14ac:dyDescent="0.25">
      <c r="Q130" s="36"/>
      <c r="R130" s="36"/>
      <c r="S130" s="36"/>
      <c r="T130" s="36">
        <f>SUM(T126:T129)</f>
        <v>547.59354805856481</v>
      </c>
      <c r="U130" s="59">
        <f>SUM(U126:U129)</f>
        <v>1</v>
      </c>
      <c r="V130" s="36"/>
      <c r="W130" s="36"/>
      <c r="X130" s="36"/>
      <c r="Y130" s="36"/>
      <c r="Z130" s="36"/>
      <c r="AA130" s="36"/>
    </row>
    <row r="131" spans="17:27" x14ac:dyDescent="0.25">
      <c r="Q131" s="36"/>
      <c r="R131" s="36"/>
      <c r="S131" s="36"/>
      <c r="T131" s="36"/>
      <c r="U131" s="36"/>
      <c r="V131" s="36"/>
      <c r="W131" s="36"/>
      <c r="X131" s="36"/>
      <c r="Y131" s="36"/>
      <c r="Z131" s="36"/>
      <c r="AA131" s="36"/>
    </row>
    <row r="132" spans="17:27" x14ac:dyDescent="0.25">
      <c r="Q132" s="36"/>
      <c r="R132" s="36"/>
      <c r="S132" s="36"/>
      <c r="T132" s="36"/>
      <c r="U132" s="36"/>
      <c r="V132" s="36"/>
      <c r="W132" s="36"/>
      <c r="X132" s="36"/>
      <c r="Y132" s="36"/>
      <c r="Z132" s="36"/>
      <c r="AA132" s="36"/>
    </row>
    <row r="133" spans="17:27" x14ac:dyDescent="0.25">
      <c r="Q133" s="20" t="s">
        <v>2975</v>
      </c>
      <c r="R133" s="64" t="s">
        <v>2974</v>
      </c>
      <c r="S133" s="895">
        <v>0.105</v>
      </c>
      <c r="T133" s="889">
        <v>0.108</v>
      </c>
      <c r="U133" s="515">
        <v>0.11</v>
      </c>
      <c r="V133" s="889">
        <v>0.115</v>
      </c>
      <c r="W133" s="536">
        <v>0.12</v>
      </c>
      <c r="X133" s="36"/>
      <c r="Y133" s="36"/>
      <c r="Z133" s="36"/>
      <c r="AA133" s="36"/>
    </row>
    <row r="134" spans="17:27" x14ac:dyDescent="0.25">
      <c r="Q134" s="721" t="s">
        <v>2943</v>
      </c>
      <c r="R134" s="893">
        <v>0.31812818304607932</v>
      </c>
      <c r="S134" s="893">
        <v>0.3201180295361104</v>
      </c>
      <c r="T134" s="894">
        <v>0.32206101250843938</v>
      </c>
      <c r="U134" s="893">
        <v>0.32335629474452177</v>
      </c>
      <c r="V134" s="893">
        <v>0.22008211837054947</v>
      </c>
      <c r="W134" s="892">
        <v>5.0592236783611855E-2</v>
      </c>
      <c r="X134" s="36"/>
      <c r="Y134" s="36"/>
      <c r="Z134" s="36"/>
      <c r="AA134" s="36"/>
    </row>
    <row r="135" spans="17:27" x14ac:dyDescent="0.25">
      <c r="Q135" s="721" t="s">
        <v>2963</v>
      </c>
      <c r="R135" s="893">
        <v>0.2188941136068486</v>
      </c>
      <c r="S135" s="893">
        <v>0.1515658213609466</v>
      </c>
      <c r="T135" s="893">
        <v>8.582864174910855E-2</v>
      </c>
      <c r="U135" s="893">
        <v>4.200230029158785E-2</v>
      </c>
      <c r="V135" s="893">
        <v>0</v>
      </c>
      <c r="W135" s="892">
        <v>0</v>
      </c>
      <c r="X135" s="36"/>
      <c r="Y135" s="36"/>
      <c r="Z135" s="36"/>
      <c r="AA135" s="36"/>
    </row>
    <row r="136" spans="17:27" x14ac:dyDescent="0.25">
      <c r="Q136" s="721" t="s">
        <v>2964</v>
      </c>
      <c r="R136" s="893">
        <v>0.29629878849843566</v>
      </c>
      <c r="S136" s="893">
        <v>0.38425351139651737</v>
      </c>
      <c r="T136" s="893">
        <v>0.47013005730538093</v>
      </c>
      <c r="U136" s="893">
        <v>0.52738290521074749</v>
      </c>
      <c r="V136" s="893">
        <v>0.70922692300663059</v>
      </c>
      <c r="W136" s="892">
        <v>0.91513697561030838</v>
      </c>
      <c r="X136" s="36"/>
      <c r="Y136" s="36"/>
      <c r="Z136" s="36"/>
      <c r="AA136" s="36"/>
    </row>
    <row r="137" spans="17:27" x14ac:dyDescent="0.25">
      <c r="Q137" s="448" t="s">
        <v>2965</v>
      </c>
      <c r="R137" s="891">
        <v>0.16667891484863634</v>
      </c>
      <c r="S137" s="891">
        <v>0.14406263770642574</v>
      </c>
      <c r="T137" s="891">
        <v>0.1219802884370712</v>
      </c>
      <c r="U137" s="891">
        <v>0.10725849975314294</v>
      </c>
      <c r="V137" s="891">
        <v>7.0690958622819933E-2</v>
      </c>
      <c r="W137" s="890">
        <v>3.4270787606079822E-2</v>
      </c>
      <c r="X137" s="36"/>
      <c r="Y137" s="36"/>
      <c r="Z137" s="36"/>
      <c r="AA137" s="36"/>
    </row>
    <row r="138" spans="17:27" x14ac:dyDescent="0.25">
      <c r="Q138" s="36"/>
      <c r="R138" s="36"/>
      <c r="S138" s="36"/>
      <c r="T138" s="36"/>
      <c r="U138" s="36"/>
      <c r="V138" s="36"/>
      <c r="W138" s="36"/>
      <c r="X138" s="36"/>
      <c r="Y138" s="36"/>
      <c r="Z138" s="36"/>
      <c r="AA138" s="36"/>
    </row>
    <row r="139" spans="17:27" x14ac:dyDescent="0.25">
      <c r="Q139" s="36"/>
      <c r="R139" s="36"/>
      <c r="S139" s="36"/>
      <c r="T139" s="36"/>
      <c r="U139" s="36"/>
      <c r="V139" s="36"/>
      <c r="W139" s="36"/>
      <c r="X139" s="36"/>
      <c r="Y139" s="36"/>
      <c r="Z139" s="36"/>
      <c r="AA139" s="36"/>
    </row>
    <row r="140" spans="17:27" x14ac:dyDescent="0.25">
      <c r="Q140" s="20" t="s">
        <v>2975</v>
      </c>
      <c r="R140" s="64" t="s">
        <v>2974</v>
      </c>
      <c r="S140" s="889">
        <v>0.105</v>
      </c>
      <c r="T140" s="889">
        <v>0.108</v>
      </c>
      <c r="U140" s="515">
        <v>0.11</v>
      </c>
      <c r="V140" s="889">
        <v>0.115</v>
      </c>
      <c r="W140" s="536">
        <v>0.12</v>
      </c>
      <c r="X140" s="36"/>
      <c r="Y140" s="36"/>
      <c r="Z140" s="36"/>
      <c r="AA140" s="36"/>
    </row>
    <row r="141" spans="17:27" x14ac:dyDescent="0.25">
      <c r="Q141" s="36" t="s">
        <v>1878</v>
      </c>
      <c r="R141" s="888">
        <v>0.10192759933787145</v>
      </c>
      <c r="S141" s="888">
        <f>+S140</f>
        <v>0.105</v>
      </c>
      <c r="T141" s="888">
        <f>+T140</f>
        <v>0.108</v>
      </c>
      <c r="U141" s="888">
        <f>+U140</f>
        <v>0.11</v>
      </c>
      <c r="V141" s="888">
        <f>+V140</f>
        <v>0.115</v>
      </c>
      <c r="W141" s="888">
        <f>+W140</f>
        <v>0.12</v>
      </c>
      <c r="X141" s="888"/>
      <c r="Y141" s="888"/>
      <c r="Z141" s="888"/>
      <c r="AA141" s="888"/>
    </row>
    <row r="142" spans="17:27" x14ac:dyDescent="0.25">
      <c r="Q142" s="36" t="s">
        <v>1953</v>
      </c>
      <c r="R142" s="888">
        <v>4.2733733643964683E-2</v>
      </c>
      <c r="S142" s="888">
        <v>4.4073335695538174E-2</v>
      </c>
      <c r="T142" s="888">
        <v>4.7753457970397532E-2</v>
      </c>
      <c r="U142" s="888">
        <v>5.12724952561028E-2</v>
      </c>
      <c r="V142" s="888">
        <v>6.4341575660086456E-2</v>
      </c>
      <c r="W142" s="888">
        <v>8.534324115529536E-2</v>
      </c>
      <c r="X142" s="888"/>
      <c r="Y142" s="888"/>
      <c r="Z142" s="888"/>
      <c r="AA142" s="888"/>
    </row>
    <row r="143" spans="17:27" x14ac:dyDescent="0.25">
      <c r="Q143" s="36"/>
      <c r="R143" s="888"/>
      <c r="S143" s="888"/>
      <c r="T143" s="888"/>
      <c r="U143" s="888"/>
      <c r="V143" s="888"/>
      <c r="W143" s="888"/>
      <c r="X143" s="888"/>
      <c r="Y143" s="888"/>
      <c r="Z143" s="888"/>
      <c r="AA143" s="888"/>
    </row>
    <row r="144" spans="17:27" x14ac:dyDescent="0.25">
      <c r="Q144" s="36"/>
      <c r="R144" s="888"/>
      <c r="S144" s="888"/>
      <c r="T144" s="888"/>
      <c r="U144" s="888"/>
      <c r="V144" s="888"/>
      <c r="W144" s="888"/>
      <c r="X144" s="888"/>
      <c r="Y144" s="888"/>
      <c r="Z144" s="888"/>
      <c r="AA144" s="888"/>
    </row>
    <row r="145" spans="17:27" x14ac:dyDescent="0.25">
      <c r="Q145" s="36"/>
      <c r="R145" s="888"/>
      <c r="S145" s="888"/>
      <c r="T145" s="888"/>
      <c r="U145" s="888"/>
      <c r="V145" s="888"/>
      <c r="W145" s="888"/>
      <c r="X145" s="888"/>
      <c r="Y145" s="888"/>
      <c r="Z145" s="888"/>
      <c r="AA145" s="888"/>
    </row>
    <row r="146" spans="17:27" x14ac:dyDescent="0.25">
      <c r="Q146" s="36"/>
      <c r="R146" s="888"/>
      <c r="S146" s="888"/>
      <c r="T146" s="888"/>
      <c r="U146" s="888"/>
      <c r="V146" s="888"/>
      <c r="W146" s="888"/>
      <c r="X146" s="888"/>
      <c r="Y146" s="888"/>
      <c r="Z146" s="888"/>
      <c r="AA146" s="888"/>
    </row>
    <row r="147" spans="17:27" x14ac:dyDescent="0.25">
      <c r="Q147" s="36"/>
      <c r="R147" s="888"/>
      <c r="S147" s="888"/>
      <c r="T147" s="888"/>
      <c r="U147" s="888"/>
      <c r="V147" s="888"/>
      <c r="W147" s="888"/>
      <c r="X147" s="888"/>
      <c r="Y147" s="888"/>
      <c r="Z147" s="888"/>
      <c r="AA147" s="888"/>
    </row>
    <row r="148" spans="17:27" x14ac:dyDescent="0.25">
      <c r="Q148" s="36"/>
      <c r="R148" s="36"/>
      <c r="S148" s="36"/>
      <c r="T148" s="36"/>
      <c r="U148" s="36"/>
      <c r="V148" s="36"/>
      <c r="W148" s="36"/>
      <c r="X148" s="36"/>
      <c r="Y148" s="36"/>
      <c r="Z148" s="36"/>
      <c r="AA148" s="36"/>
    </row>
    <row r="149" spans="17:27" x14ac:dyDescent="0.25">
      <c r="Q149" s="36"/>
      <c r="R149" s="36"/>
      <c r="S149" s="36"/>
      <c r="T149" s="36"/>
      <c r="U149" s="36"/>
      <c r="V149" s="36"/>
      <c r="W149" s="36"/>
      <c r="X149" s="36"/>
      <c r="Y149" s="36"/>
      <c r="Z149" s="36"/>
      <c r="AA149" s="36"/>
    </row>
    <row r="150" spans="17:27" x14ac:dyDescent="0.25">
      <c r="Q150" s="36"/>
      <c r="R150" s="36"/>
      <c r="S150" s="36"/>
      <c r="T150" s="36"/>
      <c r="U150" s="36"/>
      <c r="V150" s="36"/>
      <c r="W150" s="36"/>
      <c r="X150" s="36"/>
      <c r="Y150" s="36"/>
      <c r="Z150" s="36"/>
      <c r="AA150" s="36"/>
    </row>
    <row r="151" spans="17:27" x14ac:dyDescent="0.25">
      <c r="Q151" s="36"/>
      <c r="R151" s="36"/>
      <c r="S151" s="36"/>
      <c r="T151" s="36"/>
      <c r="U151" s="36"/>
      <c r="V151" s="36"/>
      <c r="W151" s="36"/>
      <c r="X151" s="36"/>
      <c r="Y151" s="36"/>
      <c r="Z151" s="36"/>
      <c r="AA151" s="36"/>
    </row>
    <row r="152" spans="17:27" x14ac:dyDescent="0.25">
      <c r="Q152" s="36"/>
      <c r="R152" s="36"/>
      <c r="S152" s="36"/>
      <c r="T152" s="36"/>
      <c r="U152" s="36"/>
      <c r="V152" s="36"/>
      <c r="W152" s="36"/>
      <c r="X152" s="36"/>
      <c r="Y152" s="36"/>
      <c r="Z152" s="36"/>
      <c r="AA152" s="36"/>
    </row>
    <row r="153" spans="17:27" x14ac:dyDescent="0.25">
      <c r="Q153" s="36"/>
      <c r="R153" s="36"/>
      <c r="S153" s="36"/>
      <c r="T153" s="36"/>
      <c r="U153" s="36"/>
      <c r="V153" s="36"/>
      <c r="W153" s="36"/>
      <c r="X153" s="36"/>
      <c r="Y153" s="36"/>
      <c r="Z153" s="36"/>
      <c r="AA153" s="36"/>
    </row>
    <row r="154" spans="17:27" x14ac:dyDescent="0.25">
      <c r="Q154" s="36"/>
      <c r="R154" s="36"/>
      <c r="S154" s="36"/>
      <c r="T154" s="36"/>
      <c r="U154" s="36"/>
      <c r="V154" s="36"/>
      <c r="W154" s="36"/>
      <c r="X154" s="36"/>
      <c r="Y154" s="36"/>
      <c r="Z154" s="36"/>
      <c r="AA154" s="36"/>
    </row>
    <row r="155" spans="17:27" x14ac:dyDescent="0.25">
      <c r="Q155" s="36"/>
      <c r="R155" s="36"/>
      <c r="S155" s="36"/>
      <c r="T155" s="36"/>
      <c r="U155" s="36"/>
      <c r="V155" s="36"/>
      <c r="W155" s="36"/>
      <c r="X155" s="36"/>
      <c r="Y155" s="36"/>
      <c r="Z155" s="36"/>
      <c r="AA155" s="36"/>
    </row>
    <row r="156" spans="17:27" x14ac:dyDescent="0.25">
      <c r="Q156" s="36"/>
      <c r="R156" s="36"/>
      <c r="S156" s="36"/>
      <c r="T156" s="36"/>
      <c r="U156" s="36"/>
      <c r="V156" s="36"/>
      <c r="W156" s="36"/>
      <c r="X156" s="36"/>
      <c r="Y156" s="36"/>
      <c r="Z156" s="36"/>
      <c r="AA156" s="36"/>
    </row>
    <row r="157" spans="17:27" x14ac:dyDescent="0.25">
      <c r="Q157" s="36"/>
      <c r="R157" s="36"/>
      <c r="S157" s="36"/>
      <c r="T157" s="36"/>
      <c r="U157" s="36"/>
      <c r="V157" s="36"/>
      <c r="W157" s="36"/>
      <c r="X157" s="36"/>
      <c r="Y157" s="36"/>
      <c r="Z157" s="36"/>
      <c r="AA157" s="36"/>
    </row>
    <row r="158" spans="17:27" x14ac:dyDescent="0.25">
      <c r="Q158" s="36"/>
      <c r="R158" s="36"/>
      <c r="S158" s="36"/>
      <c r="T158" s="36"/>
      <c r="U158" s="36"/>
      <c r="V158" s="36"/>
      <c r="W158" s="36"/>
      <c r="X158" s="36"/>
      <c r="Y158" s="36"/>
      <c r="Z158" s="36"/>
      <c r="AA158" s="36"/>
    </row>
    <row r="159" spans="17:27" x14ac:dyDescent="0.25">
      <c r="Q159" s="36"/>
      <c r="R159" s="36"/>
      <c r="S159" s="36"/>
      <c r="T159" s="36"/>
      <c r="U159" s="36"/>
      <c r="V159" s="36"/>
      <c r="W159" s="36"/>
      <c r="X159" s="36"/>
      <c r="Y159" s="36"/>
      <c r="Z159" s="36"/>
      <c r="AA159" s="36"/>
    </row>
    <row r="160" spans="17:27" x14ac:dyDescent="0.25">
      <c r="Q160" s="36"/>
      <c r="R160" s="36"/>
      <c r="S160" s="36"/>
      <c r="T160" s="36"/>
      <c r="U160" s="36"/>
      <c r="V160" s="36"/>
      <c r="W160" s="36"/>
      <c r="X160" s="36"/>
      <c r="Y160" s="36"/>
      <c r="Z160" s="36"/>
      <c r="AA160" s="36"/>
    </row>
    <row r="161" spans="17:27" x14ac:dyDescent="0.25">
      <c r="Q161" s="36"/>
      <c r="R161" s="36"/>
      <c r="S161" s="36"/>
      <c r="T161" s="36"/>
      <c r="U161" s="36"/>
      <c r="V161" s="36"/>
      <c r="W161" s="36"/>
      <c r="X161" s="36"/>
      <c r="Y161" s="36"/>
      <c r="Z161" s="36"/>
      <c r="AA161" s="36"/>
    </row>
    <row r="162" spans="17:27" x14ac:dyDescent="0.25">
      <c r="Q162" s="36"/>
      <c r="R162" s="36"/>
      <c r="S162" s="36"/>
      <c r="T162" s="36"/>
      <c r="U162" s="36"/>
      <c r="V162" s="36"/>
      <c r="W162" s="36"/>
      <c r="X162" s="36"/>
      <c r="Y162" s="36"/>
      <c r="Z162" s="36"/>
      <c r="AA162" s="36"/>
    </row>
  </sheetData>
  <mergeCells count="4">
    <mergeCell ref="AA16:AC16"/>
    <mergeCell ref="Q67:W68"/>
    <mergeCell ref="Q82:W83"/>
    <mergeCell ref="Q69:W71"/>
  </mergeCells>
  <hyperlinks>
    <hyperlink ref="D3" location="Finansieringsteori!A1" display="Finansieringsteori!A1" xr:uid="{00000000-0004-0000-4B00-000000000000}"/>
  </hyperlinks>
  <pageMargins left="0.75" right="0.75" top="1" bottom="1" header="0.5" footer="0.5"/>
  <pageSetup paperSize="9" orientation="portrait" horizontalDpi="4294967292" verticalDpi="4294967292"/>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00B050"/>
  </sheetPr>
  <dimension ref="D4:H25"/>
  <sheetViews>
    <sheetView workbookViewId="0">
      <selection activeCell="F14" sqref="F14"/>
    </sheetView>
  </sheetViews>
  <sheetFormatPr defaultColWidth="10.875" defaultRowHeight="15.75" x14ac:dyDescent="0.25"/>
  <cols>
    <col min="1" max="4" width="10.875" style="1"/>
    <col min="5" max="5" width="17.5" style="1" bestFit="1" customWidth="1"/>
    <col min="6" max="6" width="13.125" style="1" bestFit="1" customWidth="1"/>
    <col min="7" max="16384" width="10.875" style="1"/>
  </cols>
  <sheetData>
    <row r="4" spans="4:8" x14ac:dyDescent="0.25">
      <c r="D4" s="101" t="s">
        <v>1612</v>
      </c>
    </row>
    <row r="7" spans="4:8" x14ac:dyDescent="0.25">
      <c r="D7" s="705" t="s">
        <v>2341</v>
      </c>
      <c r="E7" s="500"/>
      <c r="F7" s="704"/>
      <c r="G7" s="500"/>
      <c r="H7" s="500"/>
    </row>
    <row r="8" spans="4:8" x14ac:dyDescent="0.25">
      <c r="D8" s="703" t="s">
        <v>2340</v>
      </c>
      <c r="E8" s="683"/>
      <c r="F8" s="692"/>
      <c r="G8" s="688" t="s">
        <v>2339</v>
      </c>
      <c r="H8" s="683" t="s">
        <v>2338</v>
      </c>
    </row>
    <row r="9" spans="4:8" x14ac:dyDescent="0.25">
      <c r="D9" s="683" t="s">
        <v>2337</v>
      </c>
      <c r="E9" s="683"/>
      <c r="F9" s="692"/>
      <c r="G9" s="688" t="s">
        <v>2336</v>
      </c>
      <c r="H9" s="683" t="s">
        <v>2335</v>
      </c>
    </row>
    <row r="10" spans="4:8" x14ac:dyDescent="0.25">
      <c r="D10" s="701" t="s">
        <v>2334</v>
      </c>
      <c r="E10" s="702">
        <v>4.4999999999999998E-2</v>
      </c>
      <c r="F10" s="692"/>
      <c r="G10" s="683"/>
      <c r="H10" s="683"/>
    </row>
    <row r="11" spans="4:8" x14ac:dyDescent="0.25">
      <c r="D11" s="683"/>
      <c r="E11" s="683"/>
      <c r="F11" s="692"/>
      <c r="G11" s="683"/>
      <c r="H11" s="683"/>
    </row>
    <row r="12" spans="4:8" x14ac:dyDescent="0.25">
      <c r="D12" s="701"/>
      <c r="E12" s="700" t="s">
        <v>2333</v>
      </c>
      <c r="F12" s="699" t="s">
        <v>2332</v>
      </c>
      <c r="G12" s="698" t="s">
        <v>2331</v>
      </c>
      <c r="H12" s="688"/>
    </row>
    <row r="13" spans="4:8" x14ac:dyDescent="0.25">
      <c r="D13" s="697" t="s">
        <v>2330</v>
      </c>
      <c r="E13" s="696">
        <v>0.14000000000000001</v>
      </c>
      <c r="F13" s="695">
        <v>0.19</v>
      </c>
      <c r="G13" s="694">
        <f>F13/F$13</f>
        <v>1</v>
      </c>
      <c r="H13" s="683"/>
    </row>
    <row r="14" spans="4:8" x14ac:dyDescent="0.25">
      <c r="D14" s="691" t="s">
        <v>2321</v>
      </c>
      <c r="E14" s="690">
        <f>+E$10+G14*(E$13-E$10)</f>
        <v>0.11500000000000002</v>
      </c>
      <c r="F14" s="693">
        <v>0.14000000000000001</v>
      </c>
      <c r="G14" s="689">
        <f>F14/F$13</f>
        <v>0.73684210526315796</v>
      </c>
      <c r="H14" s="683"/>
    </row>
    <row r="15" spans="4:8" x14ac:dyDescent="0.25">
      <c r="D15" s="687" t="s">
        <v>2320</v>
      </c>
      <c r="E15" s="683">
        <f t="shared" ref="E15:E24" si="0">+E$10+G15*(E$13-E$10)</f>
        <v>0.15500000000000003</v>
      </c>
      <c r="F15" s="692">
        <v>0.22</v>
      </c>
      <c r="G15" s="686">
        <f>F15/F$13</f>
        <v>1.1578947368421053</v>
      </c>
      <c r="H15" s="683"/>
    </row>
    <row r="16" spans="4:8" x14ac:dyDescent="0.25">
      <c r="D16" s="687" t="s">
        <v>2319</v>
      </c>
      <c r="E16" s="683">
        <f t="shared" si="0"/>
        <v>6.5000000000000002E-2</v>
      </c>
      <c r="F16" s="692">
        <v>0.04</v>
      </c>
      <c r="G16" s="686">
        <f t="shared" ref="G16:G24" si="1">F16/F$13</f>
        <v>0.21052631578947367</v>
      </c>
      <c r="H16" s="683"/>
    </row>
    <row r="17" spans="4:8" x14ac:dyDescent="0.25">
      <c r="D17" s="687" t="s">
        <v>2318</v>
      </c>
      <c r="E17" s="683">
        <f t="shared" si="0"/>
        <v>0.19500000000000001</v>
      </c>
      <c r="F17" s="692">
        <v>0.3</v>
      </c>
      <c r="G17" s="686">
        <f t="shared" si="1"/>
        <v>1.5789473684210527</v>
      </c>
      <c r="H17" s="683"/>
    </row>
    <row r="18" spans="4:8" x14ac:dyDescent="0.25">
      <c r="D18" s="687" t="s">
        <v>2317</v>
      </c>
      <c r="E18" s="683">
        <f t="shared" si="0"/>
        <v>8.0000000000000016E-2</v>
      </c>
      <c r="F18" s="683">
        <v>7.0000000000000007E-2</v>
      </c>
      <c r="G18" s="686">
        <f t="shared" si="1"/>
        <v>0.36842105263157898</v>
      </c>
      <c r="H18" s="683"/>
    </row>
    <row r="19" spans="4:8" x14ac:dyDescent="0.25">
      <c r="D19" s="691" t="s">
        <v>2316</v>
      </c>
      <c r="E19" s="690">
        <f t="shared" si="0"/>
        <v>0.28000000000000003</v>
      </c>
      <c r="F19" s="690">
        <v>0.47</v>
      </c>
      <c r="G19" s="689">
        <f t="shared" si="1"/>
        <v>2.4736842105263155</v>
      </c>
      <c r="H19" s="683"/>
    </row>
    <row r="20" spans="4:8" x14ac:dyDescent="0.25">
      <c r="D20" s="687" t="s">
        <v>2315</v>
      </c>
      <c r="E20" s="683">
        <f t="shared" si="0"/>
        <v>0.22000000000000003</v>
      </c>
      <c r="F20" s="683">
        <v>0.35</v>
      </c>
      <c r="G20" s="686">
        <f t="shared" si="1"/>
        <v>1.8421052631578947</v>
      </c>
      <c r="H20" s="683"/>
    </row>
    <row r="21" spans="4:8" x14ac:dyDescent="0.25">
      <c r="D21" s="687" t="s">
        <v>2314</v>
      </c>
      <c r="E21" s="683">
        <f t="shared" si="0"/>
        <v>0.09</v>
      </c>
      <c r="F21" s="688">
        <v>0.09</v>
      </c>
      <c r="G21" s="686">
        <f t="shared" si="1"/>
        <v>0.47368421052631576</v>
      </c>
      <c r="H21" s="688"/>
    </row>
    <row r="22" spans="4:8" x14ac:dyDescent="0.25">
      <c r="D22" s="687" t="s">
        <v>2313</v>
      </c>
      <c r="E22" s="683">
        <f t="shared" si="0"/>
        <v>0.11500000000000002</v>
      </c>
      <c r="F22" s="688">
        <v>0.14000000000000001</v>
      </c>
      <c r="G22" s="686">
        <f t="shared" si="1"/>
        <v>0.73684210526315796</v>
      </c>
      <c r="H22" s="683"/>
    </row>
    <row r="23" spans="4:8" x14ac:dyDescent="0.25">
      <c r="D23" s="687" t="s">
        <v>2312</v>
      </c>
      <c r="E23" s="683">
        <f t="shared" si="0"/>
        <v>0.36000000000000004</v>
      </c>
      <c r="F23" s="683">
        <v>0.63</v>
      </c>
      <c r="G23" s="686">
        <f t="shared" si="1"/>
        <v>3.3157894736842106</v>
      </c>
      <c r="H23" s="683"/>
    </row>
    <row r="24" spans="4:8" x14ac:dyDescent="0.25">
      <c r="D24" s="685" t="s">
        <v>2311</v>
      </c>
      <c r="E24" s="524">
        <f t="shared" si="0"/>
        <v>0.17000000000000004</v>
      </c>
      <c r="F24" s="524">
        <v>0.25</v>
      </c>
      <c r="G24" s="684">
        <f t="shared" si="1"/>
        <v>1.3157894736842106</v>
      </c>
      <c r="H24" s="683"/>
    </row>
    <row r="25" spans="4:8" x14ac:dyDescent="0.25">
      <c r="D25" s="683"/>
      <c r="E25" s="683"/>
      <c r="F25" s="683"/>
      <c r="G25" s="683"/>
      <c r="H25" s="683"/>
    </row>
  </sheetData>
  <hyperlinks>
    <hyperlink ref="D4" location="Finansieringsteori!A1" display="Finansieringsteori!A1" xr:uid="{00000000-0004-0000-4C00-000000000000}"/>
  </hyperlink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rgb="FF00B050"/>
  </sheetPr>
  <dimension ref="C3:E40"/>
  <sheetViews>
    <sheetView topLeftCell="A2" workbookViewId="0">
      <selection activeCell="C3" sqref="C3"/>
    </sheetView>
  </sheetViews>
  <sheetFormatPr defaultColWidth="10.875" defaultRowHeight="15.75" x14ac:dyDescent="0.25"/>
  <cols>
    <col min="1" max="2" width="10.875" style="1"/>
    <col min="3" max="3" width="20.875" style="1" customWidth="1"/>
    <col min="4" max="16384" width="10.875" style="1"/>
  </cols>
  <sheetData>
    <row r="3" spans="3:5" x14ac:dyDescent="0.25">
      <c r="C3" s="101" t="s">
        <v>1220</v>
      </c>
      <c r="D3" s="101" t="s">
        <v>1612</v>
      </c>
    </row>
    <row r="7" spans="3:5" x14ac:dyDescent="0.25">
      <c r="C7" s="437" t="s">
        <v>2382</v>
      </c>
      <c r="D7" s="162"/>
      <c r="E7" s="717"/>
    </row>
    <row r="8" spans="3:5" x14ac:dyDescent="0.25">
      <c r="C8" s="162" t="s">
        <v>2383</v>
      </c>
      <c r="D8" s="162"/>
      <c r="E8" s="162"/>
    </row>
    <row r="9" spans="3:5" x14ac:dyDescent="0.25">
      <c r="C9" s="437"/>
      <c r="D9" s="162"/>
      <c r="E9" s="717"/>
    </row>
    <row r="10" spans="3:5" x14ac:dyDescent="0.25">
      <c r="C10" s="718" t="s">
        <v>2384</v>
      </c>
      <c r="D10" s="719" t="s">
        <v>1719</v>
      </c>
      <c r="E10" s="720" t="s">
        <v>951</v>
      </c>
    </row>
    <row r="11" spans="3:5" x14ac:dyDescent="0.25">
      <c r="C11" s="721" t="s">
        <v>2385</v>
      </c>
      <c r="D11" s="722">
        <v>11.01</v>
      </c>
      <c r="E11" s="723">
        <v>20.399999999999999</v>
      </c>
    </row>
    <row r="12" spans="3:5" x14ac:dyDescent="0.25">
      <c r="C12" s="721" t="s">
        <v>2386</v>
      </c>
      <c r="D12" s="722">
        <v>156.82</v>
      </c>
      <c r="E12" s="723">
        <v>14.3</v>
      </c>
    </row>
    <row r="13" spans="3:5" x14ac:dyDescent="0.25">
      <c r="C13" s="721" t="s">
        <v>2387</v>
      </c>
      <c r="D13" s="722">
        <v>33.4</v>
      </c>
      <c r="E13" s="723">
        <v>19.3</v>
      </c>
    </row>
    <row r="14" spans="3:5" x14ac:dyDescent="0.25">
      <c r="C14" s="721" t="s">
        <v>2388</v>
      </c>
      <c r="D14" s="722">
        <v>30.41</v>
      </c>
      <c r="E14" s="723">
        <v>13.6</v>
      </c>
    </row>
    <row r="15" spans="3:5" x14ac:dyDescent="0.25">
      <c r="C15" s="721" t="s">
        <v>2389</v>
      </c>
      <c r="D15" s="722">
        <v>1.34</v>
      </c>
      <c r="E15" s="723">
        <v>6.7</v>
      </c>
    </row>
    <row r="16" spans="3:5" x14ac:dyDescent="0.25">
      <c r="C16" s="448" t="s">
        <v>2390</v>
      </c>
      <c r="D16" s="724">
        <v>35.14</v>
      </c>
      <c r="E16" s="725">
        <v>18.5</v>
      </c>
    </row>
    <row r="17" spans="3:5" x14ac:dyDescent="0.25">
      <c r="C17" s="162"/>
      <c r="D17" s="162"/>
      <c r="E17" s="706"/>
    </row>
    <row r="18" spans="3:5" x14ac:dyDescent="0.25">
      <c r="C18" s="161" t="s">
        <v>2391</v>
      </c>
      <c r="D18" s="161"/>
      <c r="E18" s="161"/>
    </row>
    <row r="19" spans="3:5" x14ac:dyDescent="0.25">
      <c r="C19" s="778" t="s">
        <v>2385</v>
      </c>
      <c r="D19" s="779">
        <v>0.54</v>
      </c>
      <c r="E19" s="162"/>
    </row>
    <row r="20" spans="3:5" x14ac:dyDescent="0.25">
      <c r="C20" s="721" t="s">
        <v>2386</v>
      </c>
      <c r="D20" s="780">
        <v>10.97</v>
      </c>
      <c r="E20" s="162"/>
    </row>
    <row r="21" spans="3:5" x14ac:dyDescent="0.25">
      <c r="C21" s="721" t="s">
        <v>2387</v>
      </c>
      <c r="D21" s="780">
        <v>1.73</v>
      </c>
      <c r="E21" s="162"/>
    </row>
    <row r="22" spans="3:5" x14ac:dyDescent="0.25">
      <c r="C22" s="721" t="s">
        <v>2388</v>
      </c>
      <c r="D22" s="780">
        <v>2.2400000000000002</v>
      </c>
      <c r="E22" s="162"/>
    </row>
    <row r="23" spans="3:5" x14ac:dyDescent="0.25">
      <c r="C23" s="721" t="s">
        <v>2389</v>
      </c>
      <c r="D23" s="780">
        <v>0.2</v>
      </c>
      <c r="E23" s="162"/>
    </row>
    <row r="24" spans="3:5" x14ac:dyDescent="0.25">
      <c r="C24" s="448" t="s">
        <v>2390</v>
      </c>
      <c r="D24" s="449">
        <v>1.9</v>
      </c>
      <c r="E24" s="162"/>
    </row>
    <row r="25" spans="3:5" x14ac:dyDescent="0.25">
      <c r="C25" s="161"/>
      <c r="D25" s="706"/>
      <c r="E25" s="162"/>
    </row>
    <row r="26" spans="3:5" x14ac:dyDescent="0.25">
      <c r="C26" s="161"/>
      <c r="D26" s="706"/>
      <c r="E26" s="162"/>
    </row>
    <row r="27" spans="3:5" x14ac:dyDescent="0.25">
      <c r="C27" s="444"/>
      <c r="D27" s="444"/>
      <c r="E27" s="162"/>
    </row>
    <row r="28" spans="3:5" x14ac:dyDescent="0.25">
      <c r="C28" s="161" t="s">
        <v>2392</v>
      </c>
      <c r="D28" s="161"/>
      <c r="E28" s="162"/>
    </row>
    <row r="29" spans="3:5" x14ac:dyDescent="0.25">
      <c r="C29" s="564"/>
      <c r="D29" s="444"/>
      <c r="E29" s="444"/>
    </row>
    <row r="30" spans="3:5" x14ac:dyDescent="0.25">
      <c r="C30" s="162" t="s">
        <v>2393</v>
      </c>
      <c r="D30" s="162"/>
      <c r="E30" s="444"/>
    </row>
    <row r="31" spans="3:5" x14ac:dyDescent="0.25">
      <c r="C31" s="162"/>
      <c r="D31" s="706"/>
      <c r="E31" s="444"/>
    </row>
    <row r="32" spans="3:5" x14ac:dyDescent="0.25">
      <c r="C32" s="445" t="s">
        <v>2384</v>
      </c>
      <c r="D32" s="726" t="s">
        <v>951</v>
      </c>
      <c r="E32" s="706"/>
    </row>
    <row r="33" spans="3:5" x14ac:dyDescent="0.25">
      <c r="C33" s="721" t="s">
        <v>2394</v>
      </c>
      <c r="D33" s="727">
        <v>65</v>
      </c>
      <c r="E33" s="706"/>
    </row>
    <row r="34" spans="3:5" x14ac:dyDescent="0.25">
      <c r="C34" s="721" t="s">
        <v>2395</v>
      </c>
      <c r="D34" s="727">
        <v>9</v>
      </c>
      <c r="E34" s="706"/>
    </row>
    <row r="35" spans="3:5" x14ac:dyDescent="0.25">
      <c r="C35" s="721" t="s">
        <v>2396</v>
      </c>
      <c r="D35" s="727">
        <v>99</v>
      </c>
      <c r="E35" s="706"/>
    </row>
    <row r="36" spans="3:5" x14ac:dyDescent="0.25">
      <c r="C36" s="448" t="s">
        <v>2397</v>
      </c>
      <c r="D36" s="728"/>
      <c r="E36" s="706"/>
    </row>
    <row r="37" spans="3:5" x14ac:dyDescent="0.25">
      <c r="C37" s="162"/>
      <c r="D37" s="706"/>
      <c r="E37" s="706"/>
    </row>
    <row r="38" spans="3:5" x14ac:dyDescent="0.25">
      <c r="C38" s="161" t="s">
        <v>2398</v>
      </c>
      <c r="D38" s="161"/>
      <c r="E38" s="706"/>
    </row>
    <row r="39" spans="3:5" x14ac:dyDescent="0.25">
      <c r="C39" s="162"/>
      <c r="D39" s="706"/>
      <c r="E39" s="706"/>
    </row>
    <row r="40" spans="3:5" x14ac:dyDescent="0.25">
      <c r="C40" s="161" t="s">
        <v>2399</v>
      </c>
      <c r="D40" s="161"/>
      <c r="E40" s="706"/>
    </row>
  </sheetData>
  <hyperlinks>
    <hyperlink ref="C3" location="Regnskaber!A1" display="Regnskaber!A1" xr:uid="{00000000-0004-0000-4D00-000000000000}"/>
    <hyperlink ref="D3" location="Finansieringsteori!A1" display="Finansieringsteori!A1" xr:uid="{00000000-0004-0000-4D00-000001000000}"/>
  </hyperlink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00B050"/>
  </sheetPr>
  <dimension ref="C3:G46"/>
  <sheetViews>
    <sheetView workbookViewId="0">
      <selection activeCell="C3" sqref="C3"/>
    </sheetView>
  </sheetViews>
  <sheetFormatPr defaultColWidth="10.875" defaultRowHeight="15.75" x14ac:dyDescent="0.25"/>
  <cols>
    <col min="1" max="2" width="10.875" style="1"/>
    <col min="3" max="3" width="25.875" style="1" customWidth="1"/>
    <col min="4" max="5" width="15" style="1" bestFit="1" customWidth="1"/>
    <col min="6" max="7" width="13.875" style="1" bestFit="1" customWidth="1"/>
    <col min="8" max="16384" width="10.875" style="1"/>
  </cols>
  <sheetData>
    <row r="3" spans="3:7" x14ac:dyDescent="0.25">
      <c r="C3" s="101" t="s">
        <v>1612</v>
      </c>
    </row>
    <row r="6" spans="3:7" x14ac:dyDescent="0.25">
      <c r="C6" s="425" t="s">
        <v>2427</v>
      </c>
      <c r="D6" s="36"/>
      <c r="E6" s="172"/>
      <c r="F6" s="36"/>
      <c r="G6" s="36"/>
    </row>
    <row r="7" spans="3:7" x14ac:dyDescent="0.25">
      <c r="C7" s="36" t="s">
        <v>2426</v>
      </c>
      <c r="D7" s="36"/>
      <c r="E7" s="172"/>
      <c r="F7" s="36"/>
      <c r="G7" s="36"/>
    </row>
    <row r="8" spans="3:7" x14ac:dyDescent="0.25">
      <c r="C8" s="16"/>
      <c r="D8" s="16"/>
      <c r="E8" s="504"/>
      <c r="F8" s="16"/>
      <c r="G8" s="16"/>
    </row>
    <row r="9" spans="3:7" x14ac:dyDescent="0.25">
      <c r="C9" s="20" t="s">
        <v>2416</v>
      </c>
      <c r="D9" s="205" t="s">
        <v>2415</v>
      </c>
      <c r="E9" s="605" t="s">
        <v>2414</v>
      </c>
      <c r="F9" s="205" t="s">
        <v>2413</v>
      </c>
      <c r="G9" s="206" t="s">
        <v>2412</v>
      </c>
    </row>
    <row r="10" spans="3:7" x14ac:dyDescent="0.25">
      <c r="C10" s="23" t="s">
        <v>2425</v>
      </c>
      <c r="D10" s="175">
        <v>744000000000</v>
      </c>
      <c r="E10" s="746">
        <v>348000000000</v>
      </c>
      <c r="F10" s="746">
        <v>60100000000</v>
      </c>
      <c r="G10" s="751">
        <v>28700000000</v>
      </c>
    </row>
    <row r="11" spans="3:7" x14ac:dyDescent="0.25">
      <c r="C11" s="23" t="s">
        <v>2424</v>
      </c>
      <c r="D11" s="175">
        <v>44436164383.561646</v>
      </c>
      <c r="E11" s="746">
        <v>20692779613.025009</v>
      </c>
      <c r="F11" s="746">
        <v>4948764867.3376036</v>
      </c>
      <c r="G11" s="751">
        <v>1431329923.2736573</v>
      </c>
    </row>
    <row r="12" spans="3:7" x14ac:dyDescent="0.25">
      <c r="C12" s="23" t="s">
        <v>2423</v>
      </c>
      <c r="D12" s="19">
        <v>127.75</v>
      </c>
      <c r="E12" s="750">
        <v>42.38</v>
      </c>
      <c r="F12" s="749">
        <v>32.79</v>
      </c>
      <c r="G12" s="748">
        <v>7.82</v>
      </c>
    </row>
    <row r="13" spans="3:7" x14ac:dyDescent="0.25">
      <c r="C13" s="26" t="s">
        <v>2422</v>
      </c>
      <c r="D13" s="740">
        <v>0.28199999999999997</v>
      </c>
      <c r="E13" s="741">
        <v>0.40300000000000002</v>
      </c>
      <c r="F13" s="740">
        <v>0.23599999999999999</v>
      </c>
      <c r="G13" s="739">
        <v>0.15</v>
      </c>
    </row>
    <row r="14" spans="3:7" x14ac:dyDescent="0.25">
      <c r="C14" s="16"/>
      <c r="D14" s="19"/>
      <c r="E14" s="746"/>
      <c r="F14" s="19"/>
      <c r="G14" s="19"/>
    </row>
    <row r="15" spans="3:7" x14ac:dyDescent="0.25">
      <c r="C15" s="16"/>
      <c r="D15" s="16"/>
      <c r="E15" s="504"/>
      <c r="F15" s="16"/>
      <c r="G15" s="16"/>
    </row>
    <row r="16" spans="3:7" x14ac:dyDescent="0.25">
      <c r="C16" s="18" t="s">
        <v>2421</v>
      </c>
      <c r="D16" s="16"/>
      <c r="E16" s="504"/>
      <c r="F16" s="16"/>
      <c r="G16" s="16"/>
    </row>
    <row r="17" spans="3:7" x14ac:dyDescent="0.25">
      <c r="C17" s="18" t="s">
        <v>2420</v>
      </c>
      <c r="D17" s="205" t="s">
        <v>2415</v>
      </c>
      <c r="E17" s="605" t="s">
        <v>2414</v>
      </c>
      <c r="F17" s="205" t="s">
        <v>2413</v>
      </c>
      <c r="G17" s="206" t="s">
        <v>2412</v>
      </c>
    </row>
    <row r="18" spans="3:7" x14ac:dyDescent="0.25">
      <c r="C18" s="18" t="s">
        <v>2419</v>
      </c>
      <c r="D18" s="747">
        <f>D10/D12</f>
        <v>5823874755.3816051</v>
      </c>
      <c r="E18" s="747">
        <f>E10/E12</f>
        <v>8211420481.3591309</v>
      </c>
      <c r="F18" s="747">
        <f>F10/F12</f>
        <v>1832875876.7917049</v>
      </c>
      <c r="G18" s="747">
        <f>G10/G12</f>
        <v>3670076726.342711</v>
      </c>
    </row>
    <row r="19" spans="3:7" x14ac:dyDescent="0.25">
      <c r="C19" s="18" t="s">
        <v>950</v>
      </c>
      <c r="D19" s="747">
        <f t="shared" ref="D19:G20" si="0">D11/D18</f>
        <v>7.63</v>
      </c>
      <c r="E19" s="747">
        <f t="shared" si="0"/>
        <v>2.52</v>
      </c>
      <c r="F19" s="747">
        <f t="shared" si="0"/>
        <v>2.7</v>
      </c>
      <c r="G19" s="747">
        <f t="shared" si="0"/>
        <v>0.39</v>
      </c>
    </row>
    <row r="20" spans="3:7" x14ac:dyDescent="0.25">
      <c r="C20" s="16" t="s">
        <v>951</v>
      </c>
      <c r="D20" s="747">
        <f t="shared" si="0"/>
        <v>16.743119266055047</v>
      </c>
      <c r="E20" s="747">
        <f t="shared" si="0"/>
        <v>16.81746031746032</v>
      </c>
      <c r="F20" s="747">
        <f t="shared" si="0"/>
        <v>12.144444444444444</v>
      </c>
      <c r="G20" s="747">
        <f t="shared" si="0"/>
        <v>20.051282051282051</v>
      </c>
    </row>
    <row r="21" spans="3:7" x14ac:dyDescent="0.25">
      <c r="C21" s="16"/>
      <c r="D21" s="19"/>
      <c r="E21" s="746"/>
      <c r="F21" s="19"/>
      <c r="G21" s="19"/>
    </row>
    <row r="22" spans="3:7" x14ac:dyDescent="0.25">
      <c r="C22" s="16"/>
      <c r="D22" s="169"/>
      <c r="E22" s="504"/>
      <c r="F22" s="169"/>
      <c r="G22" s="169"/>
    </row>
    <row r="23" spans="3:7" x14ac:dyDescent="0.25">
      <c r="C23" s="672" t="s">
        <v>2418</v>
      </c>
      <c r="D23" s="19"/>
      <c r="E23" s="19"/>
      <c r="F23" s="19"/>
      <c r="G23" s="19"/>
    </row>
    <row r="24" spans="3:7" x14ac:dyDescent="0.25">
      <c r="C24" s="745" t="s">
        <v>2417</v>
      </c>
      <c r="D24" s="19"/>
      <c r="E24" s="19"/>
      <c r="F24" s="19"/>
      <c r="G24" s="19"/>
    </row>
    <row r="25" spans="3:7" x14ac:dyDescent="0.25">
      <c r="C25" s="745"/>
      <c r="D25" s="19"/>
      <c r="E25" s="19"/>
      <c r="F25" s="19"/>
      <c r="G25" s="19"/>
    </row>
    <row r="26" spans="3:7" x14ac:dyDescent="0.25">
      <c r="C26" s="20" t="s">
        <v>2416</v>
      </c>
      <c r="D26" s="205" t="s">
        <v>2415</v>
      </c>
      <c r="E26" s="605" t="s">
        <v>2414</v>
      </c>
      <c r="F26" s="205" t="s">
        <v>2413</v>
      </c>
      <c r="G26" s="206" t="s">
        <v>2412</v>
      </c>
    </row>
    <row r="27" spans="3:7" x14ac:dyDescent="0.25">
      <c r="C27" s="23" t="s">
        <v>2411</v>
      </c>
      <c r="D27" s="743">
        <v>5.1999999999999998E-2</v>
      </c>
      <c r="E27" s="744">
        <v>4.5999999999999999E-2</v>
      </c>
      <c r="F27" s="743">
        <v>4.1000000000000002E-2</v>
      </c>
      <c r="G27" s="742">
        <v>7.0000000000000007E-2</v>
      </c>
    </row>
    <row r="28" spans="3:7" x14ac:dyDescent="0.25">
      <c r="C28" s="26" t="s">
        <v>2410</v>
      </c>
      <c r="D28" s="740">
        <v>7.0000000000000007E-2</v>
      </c>
      <c r="E28" s="741">
        <v>7.0000000000000007E-2</v>
      </c>
      <c r="F28" s="740">
        <v>0.06</v>
      </c>
      <c r="G28" s="739">
        <v>0.08</v>
      </c>
    </row>
    <row r="29" spans="3:7" x14ac:dyDescent="0.25">
      <c r="C29" s="16"/>
      <c r="D29" s="736"/>
      <c r="E29" s="738"/>
      <c r="F29" s="736"/>
      <c r="G29" s="736"/>
    </row>
    <row r="30" spans="3:7" x14ac:dyDescent="0.25">
      <c r="C30" s="18" t="s">
        <v>2409</v>
      </c>
      <c r="D30" s="736"/>
      <c r="E30" s="738"/>
      <c r="F30" s="736"/>
      <c r="G30" s="736"/>
    </row>
    <row r="31" spans="3:7" x14ac:dyDescent="0.25">
      <c r="C31" s="672"/>
      <c r="D31" s="19"/>
      <c r="E31" s="19"/>
      <c r="F31" s="19"/>
      <c r="G31" s="19"/>
    </row>
    <row r="32" spans="3:7" x14ac:dyDescent="0.25">
      <c r="C32" s="672"/>
      <c r="D32" s="19"/>
      <c r="E32" s="19"/>
      <c r="F32" s="19"/>
      <c r="G32" s="19"/>
    </row>
    <row r="33" spans="3:7" x14ac:dyDescent="0.25">
      <c r="C33" s="672"/>
      <c r="D33" s="19"/>
      <c r="E33" s="19"/>
      <c r="F33" s="19"/>
      <c r="G33" s="19"/>
    </row>
    <row r="34" spans="3:7" x14ac:dyDescent="0.25">
      <c r="C34" s="16"/>
      <c r="D34" s="16"/>
      <c r="E34" s="16"/>
      <c r="F34" s="16"/>
      <c r="G34" s="16"/>
    </row>
    <row r="35" spans="3:7" x14ac:dyDescent="0.25">
      <c r="C35" s="18" t="s">
        <v>2408</v>
      </c>
      <c r="D35" s="19"/>
      <c r="E35" s="19"/>
      <c r="F35" s="19"/>
      <c r="G35" s="19"/>
    </row>
    <row r="36" spans="3:7" x14ac:dyDescent="0.25">
      <c r="C36" s="672" t="s">
        <v>2407</v>
      </c>
      <c r="D36" s="19"/>
      <c r="E36" s="19"/>
      <c r="F36" s="19"/>
      <c r="G36" s="19"/>
    </row>
    <row r="37" spans="3:7" x14ac:dyDescent="0.25">
      <c r="C37" s="16" t="s">
        <v>2406</v>
      </c>
      <c r="D37" s="169"/>
      <c r="E37" s="19"/>
      <c r="F37" s="19"/>
      <c r="G37" s="169"/>
    </row>
    <row r="38" spans="3:7" x14ac:dyDescent="0.25">
      <c r="C38" s="16" t="s">
        <v>2405</v>
      </c>
      <c r="D38" s="737">
        <f>D13*D11/D18</f>
        <v>2.1516599999999997</v>
      </c>
      <c r="E38" s="737">
        <f>E13*E11/E18</f>
        <v>1.01556</v>
      </c>
      <c r="F38" s="737">
        <f>F13*F11/F18</f>
        <v>0.6372000000000001</v>
      </c>
      <c r="G38" s="737">
        <f>G13*G11/G18</f>
        <v>5.8500000000000003E-2</v>
      </c>
    </row>
    <row r="39" spans="3:7" x14ac:dyDescent="0.25">
      <c r="C39" s="16" t="s">
        <v>2404</v>
      </c>
      <c r="D39" s="736">
        <f t="shared" ref="D39:G40" si="1">+D27</f>
        <v>5.1999999999999998E-2</v>
      </c>
      <c r="E39" s="736">
        <f t="shared" si="1"/>
        <v>4.5999999999999999E-2</v>
      </c>
      <c r="F39" s="736">
        <f t="shared" si="1"/>
        <v>4.1000000000000002E-2</v>
      </c>
      <c r="G39" s="736">
        <f t="shared" si="1"/>
        <v>7.0000000000000007E-2</v>
      </c>
    </row>
    <row r="40" spans="3:7" x14ac:dyDescent="0.25">
      <c r="C40" s="16" t="s">
        <v>2403</v>
      </c>
      <c r="D40" s="169">
        <f t="shared" si="1"/>
        <v>7.0000000000000007E-2</v>
      </c>
      <c r="E40" s="169">
        <f t="shared" si="1"/>
        <v>7.0000000000000007E-2</v>
      </c>
      <c r="F40" s="169">
        <f t="shared" si="1"/>
        <v>0.06</v>
      </c>
      <c r="G40" s="169">
        <f t="shared" si="1"/>
        <v>0.08</v>
      </c>
    </row>
    <row r="41" spans="3:7" x14ac:dyDescent="0.25">
      <c r="C41" s="18"/>
      <c r="D41" s="169"/>
      <c r="E41" s="169"/>
      <c r="F41" s="169"/>
      <c r="G41" s="169"/>
    </row>
    <row r="42" spans="3:7" x14ac:dyDescent="0.25">
      <c r="C42" s="16" t="s">
        <v>1163</v>
      </c>
      <c r="D42" s="736">
        <f>D38*(1+D39)/(D40-D39)</f>
        <v>125.75257333333325</v>
      </c>
      <c r="E42" s="736">
        <f>E38*(1+E39)/(E40-E39)</f>
        <v>44.261489999999995</v>
      </c>
      <c r="F42" s="736">
        <f>F38*(1+F39)/(F40-F39)</f>
        <v>34.911852631578959</v>
      </c>
      <c r="G42" s="736">
        <f>G38*(1+G39)/(G40-G39)</f>
        <v>6.2595000000000045</v>
      </c>
    </row>
    <row r="43" spans="3:7" x14ac:dyDescent="0.25">
      <c r="C43" s="16"/>
      <c r="D43" s="169"/>
      <c r="E43" s="169"/>
      <c r="F43" s="169"/>
      <c r="G43" s="169"/>
    </row>
    <row r="44" spans="3:7" x14ac:dyDescent="0.25">
      <c r="C44" s="16"/>
      <c r="D44" s="169"/>
      <c r="E44" s="169"/>
      <c r="F44" s="169"/>
      <c r="G44" s="169"/>
    </row>
    <row r="45" spans="3:7" x14ac:dyDescent="0.25">
      <c r="C45" s="16"/>
      <c r="D45" s="169"/>
      <c r="E45" s="975" t="s">
        <v>2402</v>
      </c>
      <c r="F45" s="975"/>
      <c r="G45" s="169"/>
    </row>
    <row r="46" spans="3:7" x14ac:dyDescent="0.25">
      <c r="C46" s="16"/>
      <c r="D46" s="169"/>
      <c r="E46" s="169"/>
      <c r="F46" s="169"/>
      <c r="G46" s="169"/>
    </row>
  </sheetData>
  <mergeCells count="1">
    <mergeCell ref="E45:F45"/>
  </mergeCells>
  <hyperlinks>
    <hyperlink ref="C3" location="Finansieringsteori!A1" display="Finansieringsteori!A1" xr:uid="{00000000-0004-0000-4E00-000000000000}"/>
  </hyperlink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rgb="FFFF0000"/>
  </sheetPr>
  <dimension ref="D3"/>
  <sheetViews>
    <sheetView workbookViewId="0">
      <selection activeCell="D3" sqref="D3"/>
    </sheetView>
  </sheetViews>
  <sheetFormatPr defaultColWidth="10.875" defaultRowHeight="15.75" x14ac:dyDescent="0.25"/>
  <cols>
    <col min="1" max="16384" width="10.875" style="1"/>
  </cols>
  <sheetData>
    <row r="3" spans="4:4" x14ac:dyDescent="0.25">
      <c r="D3" s="101" t="s">
        <v>2188</v>
      </c>
    </row>
  </sheetData>
  <hyperlinks>
    <hyperlink ref="D3" location="Strategi!A1" display="Strategi!A1" xr:uid="{00000000-0004-0000-4F00-000000000000}"/>
  </hyperlinks>
  <pageMargins left="0.75" right="0.75" top="1" bottom="1" header="0.5" footer="0.5"/>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rgb="FFFF0000"/>
  </sheetPr>
  <dimension ref="B3:C6"/>
  <sheetViews>
    <sheetView workbookViewId="0">
      <selection activeCell="C3" sqref="C3"/>
    </sheetView>
  </sheetViews>
  <sheetFormatPr defaultColWidth="10.875" defaultRowHeight="15.75" x14ac:dyDescent="0.25"/>
  <cols>
    <col min="1" max="16384" width="10.875" style="1"/>
  </cols>
  <sheetData>
    <row r="3" spans="2:3" x14ac:dyDescent="0.25">
      <c r="C3" s="758" t="s">
        <v>2188</v>
      </c>
    </row>
    <row r="6" spans="2:3" x14ac:dyDescent="0.25">
      <c r="B6" s="278" t="s">
        <v>2600</v>
      </c>
    </row>
  </sheetData>
  <hyperlinks>
    <hyperlink ref="C3" location="Strategi!A1" display="Strategi!A1" xr:uid="{00000000-0004-0000-5000-000000000000}"/>
  </hyperlinks>
  <pageMargins left="0.75" right="0.75" top="1" bottom="1" header="0.5" footer="0.5"/>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B4:C29"/>
  <sheetViews>
    <sheetView workbookViewId="0">
      <selection activeCell="C4" sqref="C4"/>
    </sheetView>
  </sheetViews>
  <sheetFormatPr defaultColWidth="10.875" defaultRowHeight="15.75" x14ac:dyDescent="0.25"/>
  <cols>
    <col min="1" max="16384" width="10.875" style="1"/>
  </cols>
  <sheetData>
    <row r="4" spans="2:3" x14ac:dyDescent="0.25">
      <c r="C4" s="101" t="s">
        <v>2188</v>
      </c>
    </row>
    <row r="8" spans="2:3" x14ac:dyDescent="0.25">
      <c r="B8" s="278" t="s">
        <v>2616</v>
      </c>
    </row>
    <row r="29" spans="2:2" x14ac:dyDescent="0.25">
      <c r="B29" s="278" t="s">
        <v>2617</v>
      </c>
    </row>
  </sheetData>
  <hyperlinks>
    <hyperlink ref="C4" location="Strategi!A1" display="Strategi!A1" xr:uid="{00000000-0004-0000-5100-000000000000}"/>
  </hyperlinks>
  <pageMargins left="0.75" right="0.75" top="1" bottom="1" header="0.5" footer="0.5"/>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rgb="FFFF0000"/>
  </sheetPr>
  <dimension ref="A2:W89"/>
  <sheetViews>
    <sheetView topLeftCell="B1" workbookViewId="0">
      <selection activeCell="D3" sqref="D3"/>
    </sheetView>
  </sheetViews>
  <sheetFormatPr defaultColWidth="10.875" defaultRowHeight="15.75" x14ac:dyDescent="0.25"/>
  <cols>
    <col min="1" max="10" width="10.875" style="1"/>
    <col min="11" max="11" width="10.875" style="11"/>
    <col min="12" max="12" width="15.125" style="1" customWidth="1"/>
    <col min="13" max="16384" width="10.875" style="1"/>
  </cols>
  <sheetData>
    <row r="2" spans="4:23" x14ac:dyDescent="0.25">
      <c r="L2" s="278" t="s">
        <v>2745</v>
      </c>
    </row>
    <row r="3" spans="4:23" x14ac:dyDescent="0.25">
      <c r="D3" s="101" t="s">
        <v>2188</v>
      </c>
    </row>
    <row r="4" spans="4:23" x14ac:dyDescent="0.25">
      <c r="L4" s="774" t="s">
        <v>2746</v>
      </c>
      <c r="M4" s="774"/>
      <c r="N4" s="774"/>
      <c r="O4" s="774"/>
      <c r="P4" s="774"/>
      <c r="Q4" s="774"/>
      <c r="R4" s="774"/>
      <c r="S4" s="774"/>
      <c r="T4" s="774"/>
      <c r="U4" s="774"/>
      <c r="V4" s="774"/>
      <c r="W4" s="774"/>
    </row>
    <row r="5" spans="4:23" x14ac:dyDescent="0.25">
      <c r="L5" s="774" t="s">
        <v>2747</v>
      </c>
      <c r="M5" s="774"/>
      <c r="N5" s="774"/>
      <c r="O5" s="774"/>
      <c r="P5" s="774"/>
      <c r="Q5" s="774"/>
      <c r="R5" s="774"/>
      <c r="S5" s="774"/>
      <c r="T5" s="774"/>
      <c r="U5" s="774"/>
      <c r="V5" s="774"/>
      <c r="W5" s="774"/>
    </row>
    <row r="6" spans="4:23" x14ac:dyDescent="0.25">
      <c r="L6" s="774"/>
      <c r="M6" s="774"/>
      <c r="N6" s="774"/>
      <c r="O6" s="774"/>
      <c r="P6" s="774"/>
      <c r="Q6" s="774"/>
      <c r="R6" s="774"/>
      <c r="S6" s="774"/>
      <c r="T6" s="774"/>
      <c r="U6" s="774"/>
      <c r="V6" s="774"/>
      <c r="W6" s="774"/>
    </row>
    <row r="7" spans="4:23" ht="18" customHeight="1" x14ac:dyDescent="0.25">
      <c r="L7" s="976" t="s">
        <v>2748</v>
      </c>
      <c r="M7" s="976"/>
      <c r="N7" s="976"/>
      <c r="O7" s="976"/>
      <c r="P7" s="774"/>
      <c r="Q7" s="774"/>
      <c r="R7" s="774"/>
      <c r="S7" s="774"/>
      <c r="T7" s="774"/>
      <c r="U7" s="774"/>
      <c r="V7" s="774"/>
      <c r="W7" s="774"/>
    </row>
    <row r="8" spans="4:23" ht="15" customHeight="1" x14ac:dyDescent="0.25">
      <c r="L8" s="976"/>
      <c r="M8" s="976"/>
      <c r="N8" s="976"/>
      <c r="O8" s="976"/>
      <c r="P8" s="774"/>
      <c r="Q8" s="774"/>
      <c r="R8" s="774"/>
      <c r="S8" s="774"/>
      <c r="T8" s="774"/>
      <c r="U8" s="774"/>
      <c r="V8" s="774"/>
      <c r="W8" s="774"/>
    </row>
    <row r="9" spans="4:23" ht="14.1" customHeight="1" x14ac:dyDescent="0.25">
      <c r="L9" s="976"/>
      <c r="M9" s="976"/>
      <c r="N9" s="976"/>
      <c r="O9" s="976"/>
      <c r="P9" s="774"/>
      <c r="Q9" s="774"/>
      <c r="R9" s="774"/>
      <c r="S9" s="774"/>
      <c r="T9" s="774"/>
      <c r="U9" s="774"/>
      <c r="V9" s="774"/>
      <c r="W9" s="774"/>
    </row>
    <row r="10" spans="4:23" x14ac:dyDescent="0.25">
      <c r="L10" s="976"/>
      <c r="M10" s="976"/>
      <c r="N10" s="976"/>
      <c r="O10" s="976"/>
      <c r="P10" s="774"/>
      <c r="Q10" s="774"/>
      <c r="R10" s="774"/>
      <c r="S10" s="774"/>
      <c r="T10" s="774"/>
      <c r="U10" s="774"/>
      <c r="V10" s="774"/>
      <c r="W10" s="774"/>
    </row>
    <row r="11" spans="4:23" x14ac:dyDescent="0.25">
      <c r="L11" s="976" t="s">
        <v>2749</v>
      </c>
      <c r="M11" s="976"/>
      <c r="N11" s="976"/>
      <c r="O11" s="976"/>
      <c r="P11" s="774"/>
      <c r="Q11" s="774"/>
      <c r="R11" s="774"/>
      <c r="S11" s="774"/>
      <c r="T11" s="774"/>
      <c r="U11" s="774"/>
      <c r="V11" s="774"/>
      <c r="W11" s="774"/>
    </row>
    <row r="12" spans="4:23" ht="21.75" customHeight="1" x14ac:dyDescent="0.25">
      <c r="L12" s="977" t="s">
        <v>2750</v>
      </c>
      <c r="M12" s="977"/>
      <c r="N12" s="977"/>
      <c r="O12" s="977"/>
      <c r="P12" s="977"/>
      <c r="Q12" s="774"/>
      <c r="R12" s="774"/>
      <c r="S12" s="774"/>
      <c r="T12" s="774"/>
      <c r="U12" s="774"/>
      <c r="V12" s="774"/>
      <c r="W12" s="774"/>
    </row>
    <row r="13" spans="4:23" x14ac:dyDescent="0.25">
      <c r="L13" s="977"/>
      <c r="M13" s="977"/>
      <c r="N13" s="977"/>
      <c r="O13" s="977"/>
      <c r="P13" s="977"/>
      <c r="Q13" s="774"/>
      <c r="R13" s="774"/>
      <c r="S13" s="774"/>
      <c r="T13" s="774"/>
      <c r="U13" s="774"/>
      <c r="V13" s="774"/>
      <c r="W13" s="774"/>
    </row>
    <row r="14" spans="4:23" x14ac:dyDescent="0.25">
      <c r="L14" s="977"/>
      <c r="M14" s="977"/>
      <c r="N14" s="977"/>
      <c r="O14" s="977"/>
      <c r="P14" s="977"/>
      <c r="Q14" s="774"/>
      <c r="R14" s="774"/>
      <c r="S14" s="774"/>
      <c r="T14" s="774"/>
      <c r="U14" s="774"/>
      <c r="V14" s="774"/>
      <c r="W14" s="774"/>
    </row>
    <row r="15" spans="4:23" ht="15" customHeight="1" x14ac:dyDescent="0.25">
      <c r="L15" s="977"/>
      <c r="M15" s="977"/>
      <c r="N15" s="977"/>
      <c r="O15" s="977"/>
      <c r="P15" s="977"/>
      <c r="Q15" s="774"/>
      <c r="R15" s="774"/>
      <c r="S15" s="774"/>
      <c r="T15" s="774"/>
      <c r="U15" s="774"/>
      <c r="V15" s="774"/>
      <c r="W15" s="774"/>
    </row>
    <row r="16" spans="4:23" x14ac:dyDescent="0.25">
      <c r="L16" s="977"/>
      <c r="M16" s="977"/>
      <c r="N16" s="977"/>
      <c r="O16" s="977"/>
      <c r="P16" s="977"/>
      <c r="Q16" s="774"/>
      <c r="R16" s="774"/>
      <c r="S16" s="774"/>
      <c r="T16" s="774"/>
      <c r="U16" s="774"/>
      <c r="V16" s="774"/>
      <c r="W16" s="774"/>
    </row>
    <row r="17" spans="12:23" x14ac:dyDescent="0.25">
      <c r="L17" s="977"/>
      <c r="M17" s="977"/>
      <c r="N17" s="977"/>
      <c r="O17" s="977"/>
      <c r="P17" s="977"/>
      <c r="Q17" s="774"/>
      <c r="R17" s="774"/>
      <c r="S17" s="774"/>
      <c r="T17" s="774"/>
      <c r="U17" s="774"/>
      <c r="V17" s="774"/>
      <c r="W17" s="774"/>
    </row>
    <row r="18" spans="12:23" x14ac:dyDescent="0.25">
      <c r="P18" s="774"/>
      <c r="Q18" s="774"/>
      <c r="R18" s="774"/>
      <c r="S18" s="774"/>
      <c r="T18" s="774"/>
      <c r="U18" s="774"/>
      <c r="V18" s="774"/>
      <c r="W18" s="774"/>
    </row>
    <row r="19" spans="12:23" x14ac:dyDescent="0.25">
      <c r="L19" t="s">
        <v>2751</v>
      </c>
      <c r="P19" s="774"/>
      <c r="Q19" s="774"/>
      <c r="R19" s="774"/>
      <c r="S19" s="774"/>
      <c r="T19" s="774"/>
      <c r="U19" s="774"/>
      <c r="V19" s="774"/>
      <c r="W19" s="774"/>
    </row>
    <row r="20" spans="12:23" x14ac:dyDescent="0.25">
      <c r="P20" s="774"/>
      <c r="Q20" s="774"/>
      <c r="R20" s="774"/>
      <c r="S20" s="774"/>
      <c r="T20" s="774"/>
      <c r="U20" s="774"/>
      <c r="V20" s="774"/>
      <c r="W20" s="774"/>
    </row>
    <row r="21" spans="12:23" ht="12" customHeight="1" x14ac:dyDescent="0.25">
      <c r="L21" s="774" t="s">
        <v>2752</v>
      </c>
      <c r="V21" s="774"/>
      <c r="W21" s="774"/>
    </row>
    <row r="22" spans="12:23" x14ac:dyDescent="0.25">
      <c r="V22" s="774"/>
      <c r="W22" s="774"/>
    </row>
    <row r="23" spans="12:23" x14ac:dyDescent="0.25">
      <c r="V23" s="774"/>
      <c r="W23" s="774"/>
    </row>
    <row r="24" spans="12:23" x14ac:dyDescent="0.25">
      <c r="V24" s="774"/>
      <c r="W24" s="774"/>
    </row>
    <row r="25" spans="12:23" ht="17.100000000000001" customHeight="1" x14ac:dyDescent="0.25">
      <c r="L25" s="976" t="s">
        <v>2753</v>
      </c>
      <c r="M25" s="976"/>
      <c r="N25" s="976"/>
      <c r="O25" s="976"/>
      <c r="P25" s="976"/>
      <c r="Q25" s="976"/>
      <c r="V25" s="774"/>
      <c r="W25" s="774"/>
    </row>
    <row r="26" spans="12:23" x14ac:dyDescent="0.25">
      <c r="L26" s="976"/>
      <c r="M26" s="976"/>
      <c r="N26" s="976"/>
      <c r="O26" s="976"/>
      <c r="P26" s="976"/>
      <c r="Q26" s="976"/>
      <c r="V26" s="774"/>
      <c r="W26" s="774"/>
    </row>
    <row r="27" spans="12:23" x14ac:dyDescent="0.25">
      <c r="L27" s="976"/>
      <c r="M27" s="976"/>
      <c r="N27" s="976"/>
      <c r="O27" s="976"/>
      <c r="P27" s="976"/>
      <c r="Q27" s="976"/>
      <c r="V27" s="774"/>
      <c r="W27" s="774"/>
    </row>
    <row r="28" spans="12:23" x14ac:dyDescent="0.25">
      <c r="L28" s="976"/>
      <c r="M28" s="976"/>
      <c r="N28" s="976"/>
      <c r="O28" s="976"/>
      <c r="P28" s="976"/>
      <c r="Q28" s="976"/>
      <c r="V28" s="774"/>
      <c r="W28" s="774"/>
    </row>
    <row r="29" spans="12:23" ht="15" customHeight="1" x14ac:dyDescent="0.25">
      <c r="L29" s="976"/>
      <c r="M29" s="976"/>
      <c r="N29" s="976"/>
      <c r="O29" s="976"/>
      <c r="P29" s="976"/>
      <c r="Q29" s="976"/>
      <c r="R29" s="774"/>
      <c r="S29" s="774"/>
      <c r="T29" s="774"/>
      <c r="U29" s="774"/>
      <c r="V29" s="774"/>
      <c r="W29" s="774"/>
    </row>
    <row r="30" spans="12:23" x14ac:dyDescent="0.25">
      <c r="L30" s="976"/>
      <c r="M30" s="976"/>
      <c r="N30" s="976"/>
      <c r="O30" s="976"/>
      <c r="P30" s="976"/>
      <c r="Q30" s="976"/>
      <c r="R30" s="774"/>
      <c r="S30" s="774"/>
      <c r="T30" s="774"/>
      <c r="U30" s="774"/>
      <c r="V30" s="774"/>
      <c r="W30" s="774"/>
    </row>
    <row r="31" spans="12:23" x14ac:dyDescent="0.25">
      <c r="L31" s="976"/>
      <c r="M31" s="976"/>
      <c r="N31" s="976"/>
      <c r="O31" s="976"/>
      <c r="P31" s="976"/>
      <c r="Q31" s="976"/>
      <c r="R31" s="774"/>
      <c r="S31" s="774"/>
      <c r="T31" s="774"/>
      <c r="U31" s="774"/>
      <c r="V31" s="774"/>
      <c r="W31" s="774"/>
    </row>
    <row r="32" spans="12:23" x14ac:dyDescent="0.25">
      <c r="L32" s="976"/>
      <c r="M32" s="976"/>
      <c r="N32" s="976"/>
      <c r="O32" s="976"/>
      <c r="P32" s="976"/>
      <c r="Q32" s="976"/>
      <c r="R32" s="774"/>
      <c r="S32" s="774"/>
      <c r="T32" s="774"/>
      <c r="U32" s="774"/>
      <c r="V32" s="774"/>
      <c r="W32" s="774"/>
    </row>
    <row r="33" spans="1:23" x14ac:dyDescent="0.25">
      <c r="L33" s="976"/>
      <c r="M33" s="976"/>
      <c r="N33" s="976"/>
      <c r="O33" s="976"/>
      <c r="P33" s="976"/>
      <c r="Q33" s="976"/>
      <c r="R33" s="774"/>
      <c r="S33" s="774"/>
      <c r="T33" s="774"/>
      <c r="U33" s="774"/>
      <c r="V33" s="774"/>
      <c r="W33" s="774"/>
    </row>
    <row r="34" spans="1:23" x14ac:dyDescent="0.25">
      <c r="P34" s="774"/>
      <c r="Q34" s="774"/>
      <c r="R34" s="774"/>
      <c r="S34" s="774"/>
      <c r="T34" s="774"/>
      <c r="U34" s="774"/>
      <c r="V34" s="774"/>
      <c r="W34" s="774"/>
    </row>
    <row r="35" spans="1:23" x14ac:dyDescent="0.25">
      <c r="L35" s="775" t="s">
        <v>2754</v>
      </c>
      <c r="M35" s="774"/>
      <c r="N35" s="774"/>
      <c r="O35" s="774"/>
      <c r="P35" s="774"/>
      <c r="Q35" s="774"/>
      <c r="R35" s="774"/>
      <c r="S35" s="774"/>
      <c r="T35" s="774"/>
      <c r="U35" s="774"/>
      <c r="V35" s="774"/>
      <c r="W35" s="774"/>
    </row>
    <row r="36" spans="1:23" x14ac:dyDescent="0.25">
      <c r="L36" s="775"/>
      <c r="M36" s="774" t="s">
        <v>2755</v>
      </c>
      <c r="N36" s="774"/>
      <c r="O36" s="774"/>
      <c r="P36" s="774"/>
      <c r="Q36" s="774"/>
      <c r="R36" s="774"/>
      <c r="S36" s="774"/>
      <c r="T36" s="774"/>
      <c r="U36" s="774"/>
      <c r="V36" s="774"/>
      <c r="W36" s="774"/>
    </row>
    <row r="37" spans="1:23" x14ac:dyDescent="0.25">
      <c r="L37" s="775" t="s">
        <v>2756</v>
      </c>
      <c r="M37" s="774"/>
      <c r="N37" s="774"/>
      <c r="O37" s="774"/>
      <c r="P37" s="774"/>
      <c r="Q37" s="774"/>
      <c r="R37" s="774"/>
      <c r="S37" s="774"/>
      <c r="T37" s="774"/>
      <c r="U37" s="774"/>
      <c r="V37" s="774"/>
      <c r="W37" s="774"/>
    </row>
    <row r="38" spans="1:23" x14ac:dyDescent="0.25">
      <c r="L38" s="774"/>
      <c r="M38" s="774"/>
      <c r="N38" s="774"/>
      <c r="O38" s="774"/>
      <c r="P38" s="774"/>
      <c r="Q38" s="774"/>
      <c r="R38" s="774"/>
      <c r="S38" s="774"/>
      <c r="T38" s="774"/>
      <c r="U38" s="774"/>
      <c r="V38" s="774"/>
      <c r="W38" s="774"/>
    </row>
    <row r="39" spans="1:23" x14ac:dyDescent="0.25">
      <c r="L39" s="774" t="s">
        <v>2757</v>
      </c>
      <c r="M39" s="774"/>
      <c r="N39" s="774"/>
      <c r="O39" s="774"/>
      <c r="P39" s="774"/>
      <c r="Q39" s="774"/>
      <c r="R39" s="774"/>
      <c r="S39" s="774"/>
      <c r="T39" s="774"/>
      <c r="U39" s="774"/>
      <c r="V39" s="774"/>
      <c r="W39" s="774"/>
    </row>
    <row r="40" spans="1:23" x14ac:dyDescent="0.25">
      <c r="L40" s="774"/>
      <c r="M40" s="774"/>
      <c r="N40" s="774"/>
      <c r="O40" s="774"/>
      <c r="P40" s="774"/>
      <c r="Q40" s="774"/>
      <c r="R40" s="774"/>
      <c r="S40" s="774"/>
      <c r="T40" s="774"/>
      <c r="U40" s="774"/>
      <c r="V40" s="774"/>
      <c r="W40" s="774"/>
    </row>
    <row r="41" spans="1:23" x14ac:dyDescent="0.25">
      <c r="L41" s="775" t="s">
        <v>2758</v>
      </c>
      <c r="M41" s="774"/>
      <c r="N41" s="774"/>
      <c r="O41" s="774"/>
      <c r="P41" s="774"/>
      <c r="Q41" s="774"/>
      <c r="R41" s="774"/>
      <c r="S41" s="774"/>
      <c r="T41" s="774"/>
      <c r="U41" s="774"/>
      <c r="V41" s="774"/>
      <c r="W41" s="774"/>
    </row>
    <row r="42" spans="1:23" x14ac:dyDescent="0.25">
      <c r="L42" s="775"/>
      <c r="M42" s="774" t="s">
        <v>2759</v>
      </c>
      <c r="N42" s="774"/>
      <c r="O42" s="774"/>
      <c r="P42" s="774"/>
      <c r="Q42" s="774"/>
      <c r="R42" s="774"/>
      <c r="S42" s="774"/>
      <c r="T42" s="774"/>
      <c r="U42" s="774"/>
      <c r="V42" s="774"/>
      <c r="W42" s="774"/>
    </row>
    <row r="43" spans="1:23" x14ac:dyDescent="0.25">
      <c r="L43" s="775" t="s">
        <v>2760</v>
      </c>
      <c r="M43" s="774"/>
      <c r="N43" s="774"/>
      <c r="O43" s="774"/>
      <c r="P43" s="774"/>
      <c r="Q43" s="774"/>
      <c r="R43" s="774"/>
      <c r="S43" s="774"/>
      <c r="T43" s="774"/>
      <c r="U43" s="774"/>
      <c r="V43" s="774"/>
      <c r="W43" s="774"/>
    </row>
    <row r="44" spans="1:23" x14ac:dyDescent="0.25">
      <c r="L44" s="774"/>
      <c r="M44" s="774"/>
      <c r="N44" s="774"/>
      <c r="O44" s="774"/>
      <c r="P44" s="774"/>
      <c r="Q44" s="774"/>
      <c r="R44" s="774"/>
      <c r="S44" s="774"/>
      <c r="T44" s="774"/>
      <c r="U44" s="774"/>
    </row>
    <row r="45" spans="1:23" x14ac:dyDescent="0.25">
      <c r="L45" s="774" t="s">
        <v>2761</v>
      </c>
      <c r="M45" s="774"/>
      <c r="N45" s="774"/>
      <c r="O45" s="774"/>
      <c r="P45" s="774"/>
      <c r="Q45" s="774"/>
      <c r="R45" s="774"/>
      <c r="S45" s="774"/>
      <c r="T45" s="774"/>
      <c r="U45" s="774"/>
    </row>
    <row r="46" spans="1:23" x14ac:dyDescent="0.25">
      <c r="U46" s="774"/>
    </row>
    <row r="47" spans="1:23" x14ac:dyDescent="0.25">
      <c r="U47" s="774"/>
    </row>
    <row r="48" spans="1:23" s="12" customFormat="1" x14ac:dyDescent="0.25">
      <c r="A48" s="1"/>
      <c r="B48" s="1"/>
      <c r="C48" s="1"/>
      <c r="D48" s="1"/>
      <c r="E48" s="1"/>
      <c r="F48" s="1"/>
      <c r="G48" s="1"/>
      <c r="H48" s="1"/>
      <c r="I48" s="1"/>
      <c r="J48" s="1"/>
      <c r="K48" s="10"/>
      <c r="U48" s="776"/>
    </row>
    <row r="49" spans="2:17" x14ac:dyDescent="0.25">
      <c r="L49" s="278" t="s">
        <v>2762</v>
      </c>
    </row>
    <row r="51" spans="2:17" x14ac:dyDescent="0.25">
      <c r="L51" s="774" t="s">
        <v>2763</v>
      </c>
      <c r="M51" s="774"/>
      <c r="N51" s="774"/>
      <c r="O51" s="774"/>
      <c r="P51" s="774"/>
      <c r="Q51" s="774"/>
    </row>
    <row r="52" spans="2:17" ht="30" customHeight="1" x14ac:dyDescent="0.25">
      <c r="L52" s="976" t="s">
        <v>2764</v>
      </c>
      <c r="M52" s="976"/>
      <c r="N52" s="976"/>
      <c r="O52" s="976"/>
      <c r="P52" s="976"/>
      <c r="Q52" s="774"/>
    </row>
    <row r="53" spans="2:17" ht="30" customHeight="1" x14ac:dyDescent="0.25">
      <c r="B53" s="278" t="s">
        <v>2620</v>
      </c>
      <c r="L53" s="976" t="s">
        <v>2765</v>
      </c>
      <c r="M53" s="976"/>
      <c r="N53" s="976"/>
      <c r="O53" s="976"/>
      <c r="P53" s="976"/>
      <c r="Q53" s="774"/>
    </row>
    <row r="54" spans="2:17" ht="30" customHeight="1" x14ac:dyDescent="0.25">
      <c r="L54" s="976" t="s">
        <v>2766</v>
      </c>
      <c r="M54" s="976"/>
      <c r="N54" s="976"/>
      <c r="O54" s="976"/>
      <c r="P54" s="976"/>
      <c r="Q54" s="774"/>
    </row>
    <row r="55" spans="2:17" ht="30" customHeight="1" x14ac:dyDescent="0.25">
      <c r="L55" s="976" t="s">
        <v>2767</v>
      </c>
      <c r="M55" s="976"/>
      <c r="N55" s="976"/>
      <c r="O55" s="976"/>
      <c r="P55" s="976"/>
      <c r="Q55" s="774"/>
    </row>
    <row r="56" spans="2:17" ht="60" customHeight="1" x14ac:dyDescent="0.25">
      <c r="L56" s="976" t="s">
        <v>2768</v>
      </c>
      <c r="M56" s="976"/>
      <c r="N56" s="976"/>
      <c r="O56" s="976"/>
      <c r="P56" s="976"/>
      <c r="Q56" s="774"/>
    </row>
    <row r="57" spans="2:17" ht="45" customHeight="1" x14ac:dyDescent="0.25">
      <c r="L57" s="976" t="s">
        <v>2769</v>
      </c>
      <c r="M57" s="976"/>
      <c r="N57" s="976"/>
      <c r="O57" s="976"/>
      <c r="P57" s="976"/>
      <c r="Q57" s="774"/>
    </row>
    <row r="58" spans="2:17" ht="30" customHeight="1" x14ac:dyDescent="0.25">
      <c r="L58" s="976" t="s">
        <v>2770</v>
      </c>
      <c r="M58" s="976"/>
      <c r="N58" s="976"/>
      <c r="O58" s="976"/>
      <c r="P58" s="976"/>
      <c r="Q58" s="774"/>
    </row>
    <row r="59" spans="2:17" ht="30" customHeight="1" x14ac:dyDescent="0.25">
      <c r="L59" s="976" t="s">
        <v>2771</v>
      </c>
      <c r="M59" s="976"/>
      <c r="N59" s="976"/>
      <c r="O59" s="976"/>
      <c r="P59" s="976"/>
      <c r="Q59" s="774"/>
    </row>
    <row r="60" spans="2:17" ht="30" customHeight="1" x14ac:dyDescent="0.25">
      <c r="L60" s="976" t="s">
        <v>2772</v>
      </c>
      <c r="M60" s="976"/>
      <c r="N60" s="976"/>
      <c r="O60" s="976"/>
      <c r="P60" s="976"/>
      <c r="Q60" s="774"/>
    </row>
    <row r="61" spans="2:17" x14ac:dyDescent="0.25">
      <c r="L61" s="976"/>
      <c r="M61" s="976"/>
      <c r="N61" s="976"/>
      <c r="O61" s="976"/>
      <c r="P61" s="774"/>
      <c r="Q61" s="774"/>
    </row>
    <row r="62" spans="2:17" x14ac:dyDescent="0.25">
      <c r="L62" s="774" t="s">
        <v>734</v>
      </c>
      <c r="M62" s="774"/>
      <c r="N62" s="774"/>
      <c r="O62" s="774"/>
      <c r="P62" s="774"/>
      <c r="Q62" s="774"/>
    </row>
    <row r="63" spans="2:17" x14ac:dyDescent="0.25">
      <c r="L63" s="774" t="s">
        <v>2773</v>
      </c>
      <c r="M63" s="774">
        <v>40000</v>
      </c>
      <c r="N63" s="774"/>
      <c r="O63" s="774"/>
      <c r="P63" s="774"/>
      <c r="Q63" s="774"/>
    </row>
    <row r="64" spans="2:17" x14ac:dyDescent="0.25">
      <c r="L64" s="774" t="s">
        <v>2774</v>
      </c>
      <c r="M64" s="774">
        <v>5000</v>
      </c>
      <c r="N64" s="774"/>
      <c r="O64" s="774"/>
      <c r="P64" s="774"/>
      <c r="Q64" s="774"/>
    </row>
    <row r="65" spans="12:17" x14ac:dyDescent="0.25">
      <c r="L65" s="774" t="s">
        <v>2775</v>
      </c>
      <c r="M65" s="774" t="s">
        <v>2776</v>
      </c>
      <c r="N65" s="774"/>
      <c r="O65" s="774"/>
      <c r="P65" s="774"/>
      <c r="Q65" s="774"/>
    </row>
    <row r="66" spans="12:17" x14ac:dyDescent="0.25">
      <c r="L66" s="774" t="s">
        <v>2777</v>
      </c>
      <c r="M66" s="774" t="s">
        <v>2776</v>
      </c>
      <c r="N66" s="774"/>
      <c r="O66" s="774"/>
      <c r="P66" s="774"/>
      <c r="Q66" s="774"/>
    </row>
    <row r="67" spans="12:17" x14ac:dyDescent="0.25">
      <c r="L67" s="774" t="s">
        <v>2778</v>
      </c>
      <c r="M67" s="774"/>
      <c r="N67" s="774"/>
      <c r="O67" s="774"/>
      <c r="P67" s="774"/>
      <c r="Q67" s="774"/>
    </row>
    <row r="68" spans="12:17" x14ac:dyDescent="0.25">
      <c r="L68" s="774"/>
      <c r="M68" s="774" t="s">
        <v>2779</v>
      </c>
      <c r="N68" s="774"/>
      <c r="O68" s="774"/>
      <c r="P68" s="774"/>
      <c r="Q68" s="774"/>
    </row>
    <row r="69" spans="12:17" x14ac:dyDescent="0.25">
      <c r="L69" s="774"/>
      <c r="M69" s="774"/>
      <c r="N69" s="774"/>
      <c r="O69" s="774"/>
      <c r="P69" s="774"/>
      <c r="Q69" s="774"/>
    </row>
    <row r="70" spans="12:17" x14ac:dyDescent="0.25">
      <c r="L70" s="774"/>
      <c r="M70" s="774" t="s">
        <v>254</v>
      </c>
      <c r="N70" s="774">
        <v>3149.8</v>
      </c>
      <c r="O70" s="774" t="s">
        <v>2780</v>
      </c>
      <c r="P70" s="774"/>
      <c r="Q70" s="774"/>
    </row>
    <row r="71" spans="12:17" x14ac:dyDescent="0.25">
      <c r="L71" s="774"/>
      <c r="M71" s="774" t="s">
        <v>2781</v>
      </c>
      <c r="N71" s="774">
        <v>43968.505940000003</v>
      </c>
      <c r="O71" s="774" t="s">
        <v>2782</v>
      </c>
      <c r="P71" s="774"/>
      <c r="Q71" s="774"/>
    </row>
    <row r="72" spans="12:17" x14ac:dyDescent="0.25">
      <c r="L72" s="774"/>
      <c r="M72" s="774"/>
      <c r="N72" s="774"/>
      <c r="O72" s="774"/>
      <c r="P72" s="774"/>
      <c r="Q72" s="774"/>
    </row>
    <row r="73" spans="12:17" x14ac:dyDescent="0.25">
      <c r="L73" s="774" t="s">
        <v>2783</v>
      </c>
      <c r="M73" s="774"/>
      <c r="N73" s="774"/>
      <c r="O73" s="774"/>
      <c r="P73" s="774"/>
      <c r="Q73" s="774"/>
    </row>
    <row r="74" spans="12:17" x14ac:dyDescent="0.25">
      <c r="L74" s="774" t="s">
        <v>2784</v>
      </c>
      <c r="M74" s="774"/>
      <c r="N74" s="774"/>
      <c r="O74" s="774"/>
      <c r="P74" s="774"/>
      <c r="Q74" s="774"/>
    </row>
    <row r="75" spans="12:17" x14ac:dyDescent="0.25">
      <c r="L75" s="774"/>
      <c r="M75" s="774"/>
      <c r="N75" s="774"/>
      <c r="O75" s="774"/>
      <c r="P75" s="774"/>
      <c r="Q75" s="774"/>
    </row>
    <row r="76" spans="12:17" x14ac:dyDescent="0.25">
      <c r="L76" s="774"/>
      <c r="M76" s="774"/>
      <c r="N76" s="774"/>
      <c r="O76" s="774"/>
      <c r="P76" s="774"/>
      <c r="Q76" s="774"/>
    </row>
    <row r="77" spans="12:17" x14ac:dyDescent="0.25">
      <c r="L77" s="774"/>
      <c r="M77" s="774"/>
      <c r="N77" s="774"/>
      <c r="O77" s="774"/>
      <c r="P77" s="774"/>
      <c r="Q77" s="774"/>
    </row>
    <row r="78" spans="12:17" x14ac:dyDescent="0.25">
      <c r="L78" s="774" t="s">
        <v>2785</v>
      </c>
      <c r="M78" s="774"/>
      <c r="N78" s="774"/>
      <c r="O78" s="774"/>
      <c r="P78" s="774"/>
      <c r="Q78" s="774"/>
    </row>
    <row r="79" spans="12:17" x14ac:dyDescent="0.25">
      <c r="L79" s="774" t="s">
        <v>2786</v>
      </c>
      <c r="M79" s="774"/>
      <c r="N79" s="774"/>
      <c r="O79" s="774"/>
      <c r="P79" s="774"/>
      <c r="Q79" s="774"/>
    </row>
    <row r="87" spans="10:17" x14ac:dyDescent="0.25">
      <c r="L87" s="774"/>
      <c r="M87" s="774"/>
      <c r="N87" s="774"/>
      <c r="O87" s="774"/>
      <c r="P87" s="774"/>
      <c r="Q87" s="774"/>
    </row>
    <row r="89" spans="10:17" x14ac:dyDescent="0.25">
      <c r="J89" s="278" t="s">
        <v>2621</v>
      </c>
    </row>
  </sheetData>
  <mergeCells count="14">
    <mergeCell ref="L59:P59"/>
    <mergeCell ref="L61:O61"/>
    <mergeCell ref="L60:P60"/>
    <mergeCell ref="L52:P52"/>
    <mergeCell ref="L53:P53"/>
    <mergeCell ref="L54:P54"/>
    <mergeCell ref="L55:P55"/>
    <mergeCell ref="L56:P56"/>
    <mergeCell ref="L58:P58"/>
    <mergeCell ref="L7:O10"/>
    <mergeCell ref="L12:P17"/>
    <mergeCell ref="L25:Q33"/>
    <mergeCell ref="L11:O11"/>
    <mergeCell ref="L57:P57"/>
  </mergeCells>
  <hyperlinks>
    <hyperlink ref="D3" location="Strategi!A1" display="Strategi!A1" xr:uid="{00000000-0004-0000-5200-000000000000}"/>
  </hyperlinks>
  <pageMargins left="0.75" right="0.75" top="1" bottom="1" header="0.5" footer="0.5"/>
  <pageSetup paperSize="9" orientation="portrait" horizontalDpi="4294967292" verticalDpi="4294967292"/>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rgb="FFFF0000"/>
  </sheetPr>
  <dimension ref="A3:K78"/>
  <sheetViews>
    <sheetView topLeftCell="A55" workbookViewId="0">
      <selection activeCell="B74" sqref="B74"/>
    </sheetView>
  </sheetViews>
  <sheetFormatPr defaultColWidth="10.875" defaultRowHeight="15.75" x14ac:dyDescent="0.25"/>
  <cols>
    <col min="1" max="2" width="10.875" style="1"/>
    <col min="3" max="3" width="17.375" style="1" customWidth="1"/>
    <col min="4" max="4" width="31.5" style="1" bestFit="1" customWidth="1"/>
    <col min="5" max="5" width="26.375" style="1" bestFit="1" customWidth="1"/>
    <col min="6" max="16384" width="10.875" style="1"/>
  </cols>
  <sheetData>
    <row r="3" spans="3:11" x14ac:dyDescent="0.25">
      <c r="D3" s="101" t="s">
        <v>2188</v>
      </c>
    </row>
    <row r="7" spans="3:11" x14ac:dyDescent="0.25">
      <c r="C7" s="425" t="s">
        <v>2683</v>
      </c>
      <c r="D7" s="36"/>
      <c r="E7" s="172"/>
      <c r="F7" s="36"/>
      <c r="G7" s="36"/>
      <c r="H7" s="36"/>
      <c r="I7" s="36"/>
      <c r="J7" s="36"/>
      <c r="K7" s="36"/>
    </row>
    <row r="8" spans="3:11" x14ac:dyDescent="0.25">
      <c r="C8" s="981" t="s">
        <v>2682</v>
      </c>
      <c r="D8" s="981"/>
      <c r="E8" s="981"/>
      <c r="F8" s="981"/>
      <c r="G8" s="981"/>
      <c r="H8" s="981"/>
      <c r="I8" s="16"/>
      <c r="J8" s="16"/>
      <c r="K8" s="16"/>
    </row>
    <row r="9" spans="3:11" x14ac:dyDescent="0.25">
      <c r="C9" s="37"/>
      <c r="D9" s="36"/>
      <c r="E9" s="36"/>
      <c r="F9" s="16"/>
      <c r="G9" s="16"/>
      <c r="H9" s="16"/>
      <c r="I9" s="16"/>
      <c r="J9" s="16"/>
      <c r="K9" s="16"/>
    </row>
    <row r="10" spans="3:11" x14ac:dyDescent="0.25">
      <c r="C10" s="411"/>
      <c r="D10" s="61" t="s">
        <v>2681</v>
      </c>
      <c r="E10" s="61" t="s">
        <v>2680</v>
      </c>
      <c r="F10" s="983" t="s">
        <v>2679</v>
      </c>
      <c r="G10" s="978"/>
      <c r="H10" s="978" t="s">
        <v>2678</v>
      </c>
      <c r="I10" s="978"/>
      <c r="J10" s="978" t="s">
        <v>2659</v>
      </c>
      <c r="K10" s="978"/>
    </row>
    <row r="11" spans="3:11" x14ac:dyDescent="0.25">
      <c r="C11" s="411" t="s">
        <v>2677</v>
      </c>
      <c r="D11" s="421">
        <v>30</v>
      </c>
      <c r="E11" s="421">
        <v>25</v>
      </c>
      <c r="F11" s="16" t="s">
        <v>2676</v>
      </c>
      <c r="G11" s="16" t="s">
        <v>2675</v>
      </c>
      <c r="H11" s="16" t="s">
        <v>2676</v>
      </c>
      <c r="I11" s="16" t="s">
        <v>2675</v>
      </c>
      <c r="J11" s="16" t="s">
        <v>2676</v>
      </c>
      <c r="K11" s="16" t="s">
        <v>2675</v>
      </c>
    </row>
    <row r="12" spans="3:11" x14ac:dyDescent="0.25">
      <c r="C12" s="411" t="s">
        <v>2648</v>
      </c>
      <c r="D12" s="411">
        <v>500</v>
      </c>
      <c r="E12" s="411">
        <v>800</v>
      </c>
      <c r="F12" s="16">
        <f>SLOPE(D13:E13,D12:E12)</f>
        <v>6</v>
      </c>
      <c r="G12" s="16">
        <f>INTERCEPT(D13:E13,D12:E12)</f>
        <v>2000</v>
      </c>
      <c r="H12" s="16">
        <f>SLOPE(D12:E12,D11:E11)</f>
        <v>-60</v>
      </c>
      <c r="I12" s="16">
        <f>INTERCEPT(D12:E12,D11:E11)</f>
        <v>2300</v>
      </c>
      <c r="J12" s="16">
        <f>SLOPE(D11:E11,D12:E12)</f>
        <v>-1.6666666666666666E-2</v>
      </c>
      <c r="K12" s="16">
        <f>INTERCEPT(D11:E11,D12:E12)</f>
        <v>38.333333333333336</v>
      </c>
    </row>
    <row r="13" spans="3:11" x14ac:dyDescent="0.25">
      <c r="C13" s="411" t="s">
        <v>2674</v>
      </c>
      <c r="D13" s="411">
        <f>D12*10</f>
        <v>5000</v>
      </c>
      <c r="E13" s="411">
        <f>E12*8.5</f>
        <v>6800</v>
      </c>
      <c r="F13" s="16"/>
      <c r="G13" s="16"/>
      <c r="H13" s="16"/>
      <c r="I13" s="16"/>
      <c r="J13" s="16"/>
      <c r="K13" s="16"/>
    </row>
    <row r="14" spans="3:11" x14ac:dyDescent="0.25">
      <c r="C14" s="36"/>
      <c r="D14" s="36"/>
      <c r="E14" s="36"/>
      <c r="F14" s="19"/>
      <c r="G14" s="19"/>
      <c r="H14" s="19"/>
      <c r="I14" s="19"/>
      <c r="J14" s="19"/>
      <c r="K14" s="16"/>
    </row>
    <row r="15" spans="3:11" x14ac:dyDescent="0.25">
      <c r="C15" s="37" t="s">
        <v>2673</v>
      </c>
      <c r="D15" s="36" t="s">
        <v>2672</v>
      </c>
      <c r="E15" s="36"/>
      <c r="F15" s="19"/>
      <c r="G15" s="19"/>
      <c r="H15" s="19"/>
      <c r="I15" s="19"/>
      <c r="J15" s="19"/>
      <c r="K15" s="36"/>
    </row>
    <row r="16" spans="3:11" x14ac:dyDescent="0.25">
      <c r="C16" s="37"/>
      <c r="D16" s="36"/>
      <c r="E16" s="36"/>
      <c r="F16" s="19"/>
      <c r="G16" s="19"/>
      <c r="H16" s="19"/>
      <c r="I16" s="19"/>
      <c r="J16" s="19"/>
      <c r="K16" s="36"/>
    </row>
    <row r="17" spans="3:11" x14ac:dyDescent="0.25">
      <c r="C17" s="37" t="s">
        <v>2671</v>
      </c>
      <c r="D17" s="36">
        <f>(E13-D13)/(E12-D12)</f>
        <v>6</v>
      </c>
      <c r="E17" s="36"/>
      <c r="F17" s="19"/>
      <c r="G17" s="19"/>
      <c r="H17" s="19"/>
      <c r="I17" s="19"/>
      <c r="J17" s="19"/>
      <c r="K17" s="36"/>
    </row>
    <row r="18" spans="3:11" x14ac:dyDescent="0.25">
      <c r="C18" s="37"/>
      <c r="D18" s="36"/>
      <c r="E18" s="36"/>
      <c r="F18" s="19"/>
      <c r="G18" s="19"/>
      <c r="H18" s="19"/>
      <c r="I18" s="19"/>
      <c r="J18" s="19"/>
      <c r="K18" s="36"/>
    </row>
    <row r="19" spans="3:11" x14ac:dyDescent="0.25">
      <c r="C19" s="37" t="s">
        <v>2670</v>
      </c>
      <c r="D19" s="36">
        <f>D13-D17*D12</f>
        <v>2000</v>
      </c>
      <c r="E19" s="36"/>
      <c r="F19" s="19"/>
      <c r="G19" s="19"/>
      <c r="H19" s="19"/>
      <c r="I19" s="19"/>
      <c r="J19" s="19"/>
      <c r="K19" s="36"/>
    </row>
    <row r="20" spans="3:11" x14ac:dyDescent="0.25">
      <c r="C20" s="36"/>
      <c r="D20" s="36"/>
      <c r="E20" s="36"/>
      <c r="F20" s="19"/>
      <c r="G20" s="19"/>
      <c r="H20" s="19"/>
      <c r="I20" s="19"/>
      <c r="J20" s="19"/>
      <c r="K20" s="37"/>
    </row>
    <row r="21" spans="3:11" x14ac:dyDescent="0.25">
      <c r="C21" s="37" t="s">
        <v>2669</v>
      </c>
      <c r="D21" s="36"/>
      <c r="E21" s="36"/>
      <c r="F21" s="19"/>
      <c r="G21" s="19"/>
      <c r="H21" s="19"/>
      <c r="I21" s="19"/>
      <c r="J21" s="19"/>
      <c r="K21" s="16"/>
    </row>
    <row r="22" spans="3:11" x14ac:dyDescent="0.25">
      <c r="C22" s="37" t="s">
        <v>2668</v>
      </c>
      <c r="D22" s="36"/>
      <c r="E22" s="36"/>
      <c r="F22" s="19"/>
      <c r="G22" s="19"/>
      <c r="H22" s="19"/>
      <c r="I22" s="19"/>
      <c r="J22" s="19"/>
      <c r="K22" s="16"/>
    </row>
    <row r="23" spans="3:11" x14ac:dyDescent="0.25">
      <c r="C23" s="37" t="s">
        <v>2667</v>
      </c>
      <c r="D23" s="36"/>
      <c r="E23" s="36"/>
      <c r="F23" s="19"/>
      <c r="G23" s="19"/>
      <c r="H23" s="19"/>
      <c r="I23" s="19"/>
      <c r="J23" s="19"/>
      <c r="K23" s="16"/>
    </row>
    <row r="24" spans="3:11" x14ac:dyDescent="0.25">
      <c r="C24" s="37" t="s">
        <v>2666</v>
      </c>
      <c r="D24" s="36"/>
      <c r="E24" s="36"/>
      <c r="F24" s="19"/>
      <c r="G24" s="19"/>
      <c r="H24" s="19"/>
      <c r="I24" s="19"/>
      <c r="J24" s="19"/>
      <c r="K24" s="16"/>
    </row>
    <row r="25" spans="3:11" x14ac:dyDescent="0.25">
      <c r="C25" s="36"/>
      <c r="D25" s="36"/>
      <c r="E25" s="36"/>
      <c r="F25" s="19"/>
      <c r="G25" s="169"/>
      <c r="H25" s="16"/>
      <c r="I25" s="169"/>
      <c r="J25" s="501"/>
      <c r="K25" s="16"/>
    </row>
    <row r="26" spans="3:11" x14ac:dyDescent="0.25">
      <c r="C26" s="20" t="s">
        <v>2665</v>
      </c>
      <c r="D26" s="64" t="s">
        <v>2664</v>
      </c>
      <c r="E26" s="503"/>
      <c r="F26" s="169"/>
      <c r="G26" s="169"/>
      <c r="H26" s="169"/>
      <c r="I26" s="169"/>
      <c r="J26" s="501"/>
      <c r="K26" s="16"/>
    </row>
    <row r="27" spans="3:11" x14ac:dyDescent="0.25">
      <c r="C27" s="23"/>
      <c r="D27" s="16"/>
      <c r="E27" s="207"/>
      <c r="F27" s="169"/>
      <c r="G27" s="169"/>
      <c r="H27" s="169"/>
      <c r="I27" s="169"/>
      <c r="J27" s="501"/>
      <c r="K27" s="16"/>
    </row>
    <row r="28" spans="3:11" x14ac:dyDescent="0.25">
      <c r="C28" s="23" t="s">
        <v>2663</v>
      </c>
      <c r="D28" s="978" t="s">
        <v>2662</v>
      </c>
      <c r="E28" s="982"/>
      <c r="F28" s="169"/>
      <c r="G28" s="169"/>
      <c r="H28" s="169"/>
      <c r="I28" s="169"/>
      <c r="J28" s="501"/>
      <c r="K28" s="16"/>
    </row>
    <row r="29" spans="3:11" x14ac:dyDescent="0.25">
      <c r="C29" s="23" t="s">
        <v>2661</v>
      </c>
      <c r="D29" s="978" t="s">
        <v>2660</v>
      </c>
      <c r="E29" s="982"/>
      <c r="F29" s="169"/>
      <c r="G29" s="169"/>
      <c r="H29" s="169"/>
      <c r="I29" s="169"/>
      <c r="J29" s="501"/>
      <c r="K29" s="16"/>
    </row>
    <row r="30" spans="3:11" x14ac:dyDescent="0.25">
      <c r="C30" s="23" t="s">
        <v>2659</v>
      </c>
      <c r="D30" s="978" t="s">
        <v>2658</v>
      </c>
      <c r="E30" s="982"/>
      <c r="F30" s="169"/>
      <c r="G30" s="36"/>
      <c r="H30" s="36"/>
      <c r="I30" s="169"/>
      <c r="J30" s="501"/>
      <c r="K30" s="16"/>
    </row>
    <row r="31" spans="3:11" x14ac:dyDescent="0.25">
      <c r="C31" s="23" t="s">
        <v>2657</v>
      </c>
      <c r="D31" s="978" t="s">
        <v>2656</v>
      </c>
      <c r="E31" s="982"/>
      <c r="F31" s="169"/>
      <c r="G31" s="36"/>
      <c r="H31" s="36"/>
      <c r="I31" s="169"/>
      <c r="J31" s="501"/>
      <c r="K31" s="16"/>
    </row>
    <row r="32" spans="3:11" x14ac:dyDescent="0.25">
      <c r="C32" s="23" t="s">
        <v>2655</v>
      </c>
      <c r="D32" s="978" t="s">
        <v>2654</v>
      </c>
      <c r="E32" s="982"/>
      <c r="F32" s="169"/>
      <c r="G32" s="36"/>
      <c r="H32" s="36"/>
      <c r="I32" s="169"/>
      <c r="J32" s="501"/>
      <c r="K32" s="16"/>
    </row>
    <row r="33" spans="3:11" x14ac:dyDescent="0.25">
      <c r="C33" s="26" t="s">
        <v>2653</v>
      </c>
      <c r="D33" s="979" t="s">
        <v>2652</v>
      </c>
      <c r="E33" s="980"/>
      <c r="F33" s="169"/>
      <c r="G33" s="169"/>
      <c r="H33" s="169"/>
      <c r="I33" s="169"/>
      <c r="J33" s="501"/>
      <c r="K33" s="16"/>
    </row>
    <row r="34" spans="3:11" x14ac:dyDescent="0.25">
      <c r="C34" s="36"/>
      <c r="D34" s="36"/>
      <c r="E34" s="36"/>
      <c r="F34" s="169"/>
      <c r="G34" s="169"/>
      <c r="H34" s="169"/>
      <c r="I34" s="169"/>
      <c r="J34" s="501"/>
      <c r="K34" s="16"/>
    </row>
    <row r="35" spans="3:11" x14ac:dyDescent="0.25">
      <c r="C35" s="36"/>
      <c r="D35" s="36"/>
      <c r="E35" s="36"/>
      <c r="F35" s="169"/>
      <c r="G35" s="169"/>
      <c r="H35" s="169"/>
      <c r="I35" s="169"/>
      <c r="J35" s="501"/>
      <c r="K35" s="16"/>
    </row>
    <row r="36" spans="3:11" x14ac:dyDescent="0.25">
      <c r="C36" s="20" t="s">
        <v>2651</v>
      </c>
      <c r="D36" s="503"/>
      <c r="E36" s="756" t="s">
        <v>2650</v>
      </c>
      <c r="F36" s="169"/>
      <c r="G36" s="169"/>
      <c r="H36" s="169"/>
      <c r="I36" s="169"/>
      <c r="J36" s="501"/>
      <c r="K36" s="16"/>
    </row>
    <row r="37" spans="3:11" x14ac:dyDescent="0.25">
      <c r="C37" s="23"/>
      <c r="D37" s="207"/>
      <c r="E37" s="756" t="s">
        <v>2649</v>
      </c>
      <c r="F37" s="169"/>
      <c r="G37" s="16"/>
      <c r="H37" s="16"/>
      <c r="I37" s="16"/>
      <c r="J37" s="16"/>
      <c r="K37" s="16"/>
    </row>
    <row r="38" spans="3:11" x14ac:dyDescent="0.25">
      <c r="C38" s="23" t="s">
        <v>2648</v>
      </c>
      <c r="D38" s="762" t="s">
        <v>2647</v>
      </c>
      <c r="E38" s="169" t="s">
        <v>2646</v>
      </c>
      <c r="F38" s="169"/>
      <c r="G38" s="16"/>
      <c r="H38" s="16"/>
      <c r="I38" s="16"/>
      <c r="J38" s="16"/>
      <c r="K38" s="16"/>
    </row>
    <row r="39" spans="3:11" x14ac:dyDescent="0.25">
      <c r="C39" s="23" t="s">
        <v>2645</v>
      </c>
      <c r="D39" s="762">
        <f>E39</f>
        <v>22.133333009999998</v>
      </c>
      <c r="E39" s="500">
        <f>38.3-0.016666667*970</f>
        <v>22.133333009999998</v>
      </c>
      <c r="F39" s="16"/>
      <c r="G39" s="16"/>
      <c r="H39" s="16"/>
      <c r="I39" s="16"/>
      <c r="J39" s="16"/>
      <c r="K39" s="16"/>
    </row>
    <row r="40" spans="3:11" x14ac:dyDescent="0.25">
      <c r="C40" s="26" t="s">
        <v>2644</v>
      </c>
      <c r="D40" s="761">
        <f>E40</f>
        <v>13681.666666666672</v>
      </c>
      <c r="E40" s="36">
        <f>((K12*970)+(J12*970^2))-(G12+6*970)</f>
        <v>13681.666666666672</v>
      </c>
      <c r="F40" s="16"/>
      <c r="G40" s="16"/>
      <c r="H40" s="16"/>
      <c r="I40" s="16"/>
      <c r="J40" s="16"/>
      <c r="K40" s="16"/>
    </row>
    <row r="41" spans="3:11" x14ac:dyDescent="0.25">
      <c r="C41" s="16"/>
      <c r="D41" s="16"/>
      <c r="E41" s="16"/>
      <c r="F41" s="16"/>
      <c r="G41" s="16"/>
      <c r="H41" s="16"/>
      <c r="I41" s="16"/>
      <c r="J41" s="16"/>
      <c r="K41" s="16"/>
    </row>
    <row r="42" spans="3:11" x14ac:dyDescent="0.25">
      <c r="C42" s="16"/>
      <c r="D42" s="16"/>
      <c r="E42" s="16"/>
      <c r="F42" s="16"/>
      <c r="G42" s="16"/>
      <c r="H42" s="16"/>
      <c r="I42" s="16"/>
      <c r="J42" s="16"/>
      <c r="K42" s="16"/>
    </row>
    <row r="43" spans="3:11" x14ac:dyDescent="0.25">
      <c r="C43" s="36"/>
      <c r="D43" s="36"/>
      <c r="E43" s="36"/>
      <c r="F43" s="36"/>
      <c r="G43" s="36"/>
      <c r="H43" s="36"/>
      <c r="I43" s="36"/>
      <c r="J43" s="36"/>
      <c r="K43" s="36"/>
    </row>
    <row r="44" spans="3:11" x14ac:dyDescent="0.25">
      <c r="C44" s="36"/>
      <c r="D44" s="36">
        <v>0</v>
      </c>
      <c r="E44" s="760">
        <f t="shared" ref="E44:E68" si="0">(($K$12*D44)+($J$12*D44^2))-($G$12+6*D44)</f>
        <v>-2000</v>
      </c>
      <c r="F44" s="36"/>
      <c r="G44" s="36"/>
      <c r="H44" s="36"/>
      <c r="I44" s="36"/>
      <c r="J44" s="36"/>
      <c r="K44" s="36"/>
    </row>
    <row r="45" spans="3:11" x14ac:dyDescent="0.25">
      <c r="C45" s="36"/>
      <c r="D45" s="36">
        <v>100</v>
      </c>
      <c r="E45" s="760">
        <f t="shared" si="0"/>
        <v>1066.666666666667</v>
      </c>
      <c r="F45" s="36"/>
      <c r="G45" s="36"/>
      <c r="H45" s="36"/>
      <c r="I45" s="36"/>
      <c r="J45" s="36"/>
      <c r="K45" s="36"/>
    </row>
    <row r="46" spans="3:11" x14ac:dyDescent="0.25">
      <c r="C46" s="36"/>
      <c r="D46" s="36">
        <v>200</v>
      </c>
      <c r="E46" s="760">
        <f t="shared" si="0"/>
        <v>3800</v>
      </c>
      <c r="F46" s="36"/>
      <c r="G46" s="36"/>
      <c r="H46" s="36"/>
      <c r="I46" s="36"/>
      <c r="J46" s="36"/>
      <c r="K46" s="36"/>
    </row>
    <row r="47" spans="3:11" x14ac:dyDescent="0.25">
      <c r="C47" s="36"/>
      <c r="D47" s="36">
        <v>300</v>
      </c>
      <c r="E47" s="760">
        <f t="shared" si="0"/>
        <v>6200</v>
      </c>
      <c r="F47" s="36"/>
      <c r="G47" s="36"/>
      <c r="H47" s="36"/>
      <c r="I47" s="36"/>
      <c r="J47" s="36"/>
      <c r="K47" s="36"/>
    </row>
    <row r="48" spans="3:11" x14ac:dyDescent="0.25">
      <c r="C48" s="36"/>
      <c r="D48" s="36">
        <v>400</v>
      </c>
      <c r="E48" s="760">
        <f t="shared" si="0"/>
        <v>8266.6666666666679</v>
      </c>
      <c r="F48" s="36"/>
      <c r="G48" s="36"/>
      <c r="H48" s="36"/>
      <c r="I48" s="36"/>
      <c r="J48" s="36"/>
      <c r="K48" s="36"/>
    </row>
    <row r="49" spans="3:11" x14ac:dyDescent="0.25">
      <c r="C49" s="36"/>
      <c r="D49" s="36">
        <v>500</v>
      </c>
      <c r="E49" s="760">
        <f t="shared" si="0"/>
        <v>10000</v>
      </c>
      <c r="F49" s="36"/>
      <c r="G49" s="36"/>
      <c r="H49" s="36"/>
      <c r="I49" s="36"/>
      <c r="J49" s="36"/>
      <c r="K49" s="36"/>
    </row>
    <row r="50" spans="3:11" x14ac:dyDescent="0.25">
      <c r="C50" s="36"/>
      <c r="D50" s="36">
        <v>600</v>
      </c>
      <c r="E50" s="760">
        <f t="shared" si="0"/>
        <v>11400</v>
      </c>
      <c r="F50" s="36"/>
      <c r="G50" s="36"/>
      <c r="H50" s="36"/>
      <c r="I50" s="36"/>
      <c r="J50" s="36"/>
      <c r="K50" s="36"/>
    </row>
    <row r="51" spans="3:11" x14ac:dyDescent="0.25">
      <c r="C51" s="36"/>
      <c r="D51" s="36">
        <v>700</v>
      </c>
      <c r="E51" s="760">
        <f t="shared" si="0"/>
        <v>12466.666666666668</v>
      </c>
      <c r="F51" s="36"/>
      <c r="G51" s="36"/>
      <c r="H51" s="36"/>
      <c r="I51" s="36"/>
      <c r="J51" s="36"/>
      <c r="K51" s="36"/>
    </row>
    <row r="52" spans="3:11" x14ac:dyDescent="0.25">
      <c r="C52" s="36"/>
      <c r="D52" s="36">
        <v>800</v>
      </c>
      <c r="E52" s="760">
        <f t="shared" si="0"/>
        <v>13200</v>
      </c>
      <c r="F52" s="36"/>
      <c r="G52" s="36"/>
      <c r="H52" s="36"/>
      <c r="I52" s="36"/>
      <c r="J52" s="36"/>
      <c r="K52" s="36"/>
    </row>
    <row r="53" spans="3:11" x14ac:dyDescent="0.25">
      <c r="C53" s="36"/>
      <c r="D53" s="36">
        <v>900</v>
      </c>
      <c r="E53" s="760">
        <f t="shared" si="0"/>
        <v>13600</v>
      </c>
      <c r="F53" s="36"/>
      <c r="G53" s="36"/>
      <c r="H53" s="36"/>
      <c r="I53" s="36"/>
      <c r="J53" s="36"/>
      <c r="K53" s="36"/>
    </row>
    <row r="54" spans="3:11" x14ac:dyDescent="0.25">
      <c r="C54" s="36"/>
      <c r="D54" s="36">
        <v>1000</v>
      </c>
      <c r="E54" s="760">
        <f t="shared" si="0"/>
        <v>13666.666666666668</v>
      </c>
      <c r="F54" s="36"/>
      <c r="G54" s="36"/>
      <c r="H54" s="36"/>
      <c r="I54" s="36"/>
      <c r="J54" s="36"/>
      <c r="K54" s="36"/>
    </row>
    <row r="55" spans="3:11" x14ac:dyDescent="0.25">
      <c r="C55" s="36"/>
      <c r="D55" s="36">
        <v>1100</v>
      </c>
      <c r="E55" s="760">
        <f t="shared" si="0"/>
        <v>13400.000000000004</v>
      </c>
      <c r="F55" s="36"/>
      <c r="G55" s="36"/>
      <c r="H55" s="36"/>
      <c r="I55" s="36"/>
      <c r="J55" s="36"/>
      <c r="K55" s="36"/>
    </row>
    <row r="56" spans="3:11" x14ac:dyDescent="0.25">
      <c r="C56" s="36"/>
      <c r="D56" s="36">
        <v>1200</v>
      </c>
      <c r="E56" s="760">
        <f t="shared" si="0"/>
        <v>12800</v>
      </c>
      <c r="F56" s="36"/>
      <c r="G56" s="36"/>
      <c r="H56" s="36"/>
      <c r="I56" s="36"/>
      <c r="J56" s="36"/>
      <c r="K56" s="36"/>
    </row>
    <row r="57" spans="3:11" x14ac:dyDescent="0.25">
      <c r="C57" s="36"/>
      <c r="D57" s="36">
        <v>1300</v>
      </c>
      <c r="E57" s="760">
        <f t="shared" si="0"/>
        <v>11866.666666666668</v>
      </c>
      <c r="F57" s="36"/>
      <c r="G57" s="36"/>
      <c r="H57" s="36"/>
      <c r="I57" s="36"/>
      <c r="J57" s="36"/>
      <c r="K57" s="36"/>
    </row>
    <row r="58" spans="3:11" x14ac:dyDescent="0.25">
      <c r="C58" s="36"/>
      <c r="D58" s="36">
        <v>1400</v>
      </c>
      <c r="E58" s="760">
        <f t="shared" si="0"/>
        <v>10600.000000000004</v>
      </c>
      <c r="F58" s="36"/>
      <c r="G58" s="36"/>
      <c r="H58" s="36"/>
      <c r="I58" s="36"/>
      <c r="J58" s="36"/>
      <c r="K58" s="36"/>
    </row>
    <row r="59" spans="3:11" x14ac:dyDescent="0.25">
      <c r="C59" s="36"/>
      <c r="D59" s="36">
        <v>1500</v>
      </c>
      <c r="E59" s="760">
        <f t="shared" si="0"/>
        <v>9000</v>
      </c>
      <c r="F59" s="36"/>
      <c r="G59" s="36"/>
      <c r="H59" s="36"/>
      <c r="I59" s="36"/>
      <c r="J59" s="36"/>
      <c r="K59" s="36"/>
    </row>
    <row r="60" spans="3:11" x14ac:dyDescent="0.25">
      <c r="C60" s="36"/>
      <c r="D60" s="36">
        <v>1600</v>
      </c>
      <c r="E60" s="760">
        <f t="shared" si="0"/>
        <v>7066.6666666666715</v>
      </c>
      <c r="F60" s="36"/>
      <c r="G60" s="36"/>
      <c r="H60" s="36"/>
      <c r="I60" s="36"/>
      <c r="J60" s="36"/>
      <c r="K60" s="36"/>
    </row>
    <row r="61" spans="3:11" x14ac:dyDescent="0.25">
      <c r="C61" s="36"/>
      <c r="D61" s="36">
        <v>1700</v>
      </c>
      <c r="E61" s="760">
        <f t="shared" si="0"/>
        <v>4800.0000000000073</v>
      </c>
      <c r="F61" s="36"/>
      <c r="G61" s="36"/>
      <c r="H61" s="36"/>
      <c r="I61" s="36"/>
      <c r="J61" s="36"/>
      <c r="K61" s="36"/>
    </row>
    <row r="62" spans="3:11" x14ac:dyDescent="0.25">
      <c r="C62" s="36"/>
      <c r="D62" s="36">
        <v>1800</v>
      </c>
      <c r="E62" s="760">
        <f t="shared" si="0"/>
        <v>2200</v>
      </c>
      <c r="F62" s="36"/>
      <c r="G62" s="36"/>
      <c r="H62" s="36"/>
      <c r="I62" s="36"/>
      <c r="J62" s="36"/>
      <c r="K62" s="36"/>
    </row>
    <row r="63" spans="3:11" x14ac:dyDescent="0.25">
      <c r="C63" s="36"/>
      <c r="D63" s="36">
        <v>1900</v>
      </c>
      <c r="E63" s="760">
        <f t="shared" si="0"/>
        <v>-733.33333333332121</v>
      </c>
      <c r="F63" s="36"/>
      <c r="G63" s="36"/>
      <c r="H63" s="36"/>
      <c r="I63" s="36"/>
      <c r="J63" s="36"/>
      <c r="K63" s="36"/>
    </row>
    <row r="64" spans="3:11" x14ac:dyDescent="0.25">
      <c r="C64" s="36"/>
      <c r="D64" s="36">
        <v>2000</v>
      </c>
      <c r="E64" s="760">
        <f t="shared" si="0"/>
        <v>-4000</v>
      </c>
      <c r="F64" s="36"/>
      <c r="G64" s="36"/>
      <c r="H64" s="36"/>
      <c r="I64" s="36"/>
      <c r="J64" s="36"/>
      <c r="K64" s="36"/>
    </row>
    <row r="65" spans="1:11" x14ac:dyDescent="0.25">
      <c r="C65" s="36"/>
      <c r="D65" s="36">
        <v>2100</v>
      </c>
      <c r="E65" s="760">
        <f t="shared" si="0"/>
        <v>-7600</v>
      </c>
      <c r="F65" s="36"/>
      <c r="G65" s="36"/>
      <c r="H65" s="36"/>
      <c r="I65" s="36"/>
      <c r="J65" s="36"/>
      <c r="K65" s="36"/>
    </row>
    <row r="66" spans="1:11" x14ac:dyDescent="0.25">
      <c r="C66" s="36"/>
      <c r="D66" s="36">
        <v>2200</v>
      </c>
      <c r="E66" s="760">
        <f t="shared" si="0"/>
        <v>-11533.333333333328</v>
      </c>
      <c r="F66" s="36"/>
      <c r="G66" s="36"/>
      <c r="H66" s="36"/>
      <c r="I66" s="36"/>
      <c r="J66" s="36"/>
      <c r="K66" s="36"/>
    </row>
    <row r="67" spans="1:11" x14ac:dyDescent="0.25">
      <c r="C67" s="36"/>
      <c r="D67" s="36">
        <v>2300</v>
      </c>
      <c r="E67" s="760">
        <f t="shared" si="0"/>
        <v>-15800</v>
      </c>
      <c r="F67" s="36"/>
      <c r="G67" s="36"/>
      <c r="H67" s="36"/>
      <c r="I67" s="36"/>
      <c r="J67" s="36"/>
      <c r="K67" s="36"/>
    </row>
    <row r="68" spans="1:11" x14ac:dyDescent="0.25">
      <c r="C68" s="36"/>
      <c r="D68" s="36">
        <v>2400</v>
      </c>
      <c r="E68" s="760">
        <f t="shared" si="0"/>
        <v>-20400</v>
      </c>
      <c r="F68" s="36"/>
      <c r="G68" s="36"/>
      <c r="H68" s="36"/>
      <c r="I68" s="36"/>
      <c r="J68" s="36"/>
      <c r="K68" s="36"/>
    </row>
    <row r="73" spans="1:11" x14ac:dyDescent="0.25">
      <c r="A73" s="921"/>
    </row>
    <row r="76" spans="1:11" x14ac:dyDescent="0.25">
      <c r="A76"/>
    </row>
    <row r="78" spans="1:11" x14ac:dyDescent="0.25">
      <c r="A78"/>
    </row>
  </sheetData>
  <mergeCells count="10">
    <mergeCell ref="J10:K10"/>
    <mergeCell ref="D33:E33"/>
    <mergeCell ref="C8:H8"/>
    <mergeCell ref="D28:E28"/>
    <mergeCell ref="D29:E29"/>
    <mergeCell ref="D30:E30"/>
    <mergeCell ref="D31:E31"/>
    <mergeCell ref="D32:E32"/>
    <mergeCell ref="F10:G10"/>
    <mergeCell ref="H10:I10"/>
  </mergeCells>
  <hyperlinks>
    <hyperlink ref="D3" location="Strategi!A1" display="Strategi!A1" xr:uid="{00000000-0004-0000-5300-000000000000}"/>
  </hyperlinks>
  <pageMargins left="0.75" right="0.75" top="1" bottom="1" header="0.5" footer="0.5"/>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rgb="FFFF0000"/>
  </sheetPr>
  <dimension ref="D4:V126"/>
  <sheetViews>
    <sheetView workbookViewId="0">
      <selection activeCell="G4" sqref="G4"/>
    </sheetView>
  </sheetViews>
  <sheetFormatPr defaultColWidth="10.875" defaultRowHeight="15.75" x14ac:dyDescent="0.25"/>
  <cols>
    <col min="1" max="16384" width="10.875" style="1"/>
  </cols>
  <sheetData>
    <row r="4" spans="4:22" x14ac:dyDescent="0.25">
      <c r="G4" s="101" t="s">
        <v>2188</v>
      </c>
    </row>
    <row r="6" spans="4:22" x14ac:dyDescent="0.25">
      <c r="D6" s="763" t="s">
        <v>2715</v>
      </c>
      <c r="E6" s="763"/>
      <c r="F6" s="763"/>
      <c r="G6" s="768"/>
      <c r="H6" s="763"/>
      <c r="I6" s="763"/>
      <c r="J6" s="763"/>
      <c r="K6" s="763"/>
      <c r="L6" s="763"/>
      <c r="M6" s="763"/>
      <c r="N6" s="763"/>
      <c r="O6" s="763"/>
      <c r="P6" s="763"/>
      <c r="Q6" s="763"/>
      <c r="R6" s="763"/>
      <c r="S6" s="763"/>
      <c r="T6" s="763"/>
      <c r="U6" s="763"/>
      <c r="V6" s="763"/>
    </row>
    <row r="7" spans="4:22" x14ac:dyDescent="0.25">
      <c r="D7" s="763"/>
      <c r="E7" s="763"/>
      <c r="F7" s="763"/>
      <c r="G7" s="763"/>
      <c r="H7" s="763"/>
      <c r="I7" s="763"/>
      <c r="J7" s="763"/>
      <c r="K7" s="763"/>
      <c r="L7" s="763"/>
      <c r="M7" s="763"/>
      <c r="N7" s="763"/>
      <c r="O7" s="763"/>
      <c r="P7" s="763"/>
      <c r="Q7" s="763"/>
      <c r="R7" s="763"/>
      <c r="S7" s="763"/>
      <c r="T7" s="763"/>
      <c r="U7" s="763"/>
      <c r="V7" s="763"/>
    </row>
    <row r="8" spans="4:22" x14ac:dyDescent="0.25">
      <c r="D8" s="767"/>
      <c r="E8" s="763"/>
      <c r="F8" s="763"/>
      <c r="G8" s="763"/>
      <c r="H8" s="763"/>
      <c r="I8" s="763"/>
      <c r="J8" s="763"/>
      <c r="K8" s="763"/>
      <c r="L8" s="763"/>
      <c r="M8" s="763"/>
      <c r="N8" s="763"/>
      <c r="O8" s="763"/>
      <c r="P8" s="763"/>
      <c r="Q8" s="763"/>
      <c r="R8" s="763"/>
      <c r="S8" s="763"/>
      <c r="T8" s="763"/>
      <c r="U8" s="763"/>
      <c r="V8" s="763"/>
    </row>
    <row r="9" spans="4:22" x14ac:dyDescent="0.25">
      <c r="D9" s="763"/>
      <c r="E9" s="763"/>
      <c r="F9" s="763"/>
      <c r="G9" s="763"/>
      <c r="H9" s="763"/>
      <c r="I9" s="763"/>
      <c r="J9" s="763"/>
      <c r="K9" s="763"/>
      <c r="L9" s="763"/>
      <c r="M9" s="763"/>
      <c r="N9" s="763"/>
      <c r="O9" s="763"/>
      <c r="P9" s="763"/>
      <c r="Q9" s="763"/>
      <c r="R9" s="763"/>
      <c r="S9" s="763"/>
      <c r="T9" s="763"/>
      <c r="U9" s="763"/>
      <c r="V9" s="763"/>
    </row>
    <row r="10" spans="4:22" x14ac:dyDescent="0.25">
      <c r="D10" s="767"/>
      <c r="E10" s="763"/>
      <c r="F10" s="763"/>
      <c r="G10" s="763"/>
      <c r="H10" s="763"/>
      <c r="I10" s="763"/>
      <c r="J10" s="763"/>
      <c r="K10" s="763"/>
      <c r="L10" s="763"/>
      <c r="M10" s="763"/>
      <c r="N10" s="763"/>
      <c r="O10" s="763"/>
      <c r="P10" s="763"/>
      <c r="Q10" s="763"/>
      <c r="R10" s="763"/>
      <c r="S10" s="763"/>
      <c r="T10" s="763"/>
      <c r="U10" s="763"/>
      <c r="V10" s="763"/>
    </row>
    <row r="11" spans="4:22" x14ac:dyDescent="0.25">
      <c r="D11" s="763"/>
      <c r="E11" s="763"/>
      <c r="F11" s="763"/>
      <c r="G11" s="763"/>
      <c r="H11" s="763"/>
      <c r="I11" s="763"/>
      <c r="J11" s="763"/>
      <c r="K11" s="763"/>
      <c r="L11" s="763"/>
      <c r="M11" s="763"/>
      <c r="N11" s="763"/>
      <c r="O11" s="763"/>
      <c r="P11" s="763"/>
      <c r="Q11" s="763"/>
      <c r="R11" s="763"/>
      <c r="S11" s="763"/>
      <c r="T11" s="763"/>
      <c r="U11" s="763"/>
      <c r="V11" s="763"/>
    </row>
    <row r="12" spans="4:22" x14ac:dyDescent="0.25">
      <c r="D12" s="763"/>
      <c r="E12" s="763"/>
      <c r="F12" s="763"/>
      <c r="G12" s="763"/>
      <c r="H12" s="763"/>
      <c r="I12" s="763"/>
      <c r="J12" s="763"/>
      <c r="K12" s="763"/>
      <c r="L12" s="763"/>
      <c r="M12" s="763"/>
      <c r="N12" s="763"/>
      <c r="O12" s="763"/>
      <c r="P12" s="763"/>
      <c r="Q12" s="763"/>
      <c r="R12" s="763"/>
      <c r="S12" s="763"/>
      <c r="T12" s="763"/>
      <c r="U12" s="763"/>
      <c r="V12" s="763"/>
    </row>
    <row r="13" spans="4:22" x14ac:dyDescent="0.25">
      <c r="D13" s="763"/>
      <c r="E13" s="763"/>
      <c r="F13" s="763"/>
      <c r="G13" s="763"/>
      <c r="H13" s="763"/>
      <c r="I13" s="763"/>
      <c r="J13" s="763"/>
      <c r="K13" s="763"/>
      <c r="L13" s="763"/>
      <c r="M13" s="763"/>
      <c r="N13" s="763"/>
      <c r="O13" s="763"/>
      <c r="P13" s="763"/>
      <c r="Q13" s="763"/>
      <c r="R13" s="763"/>
      <c r="S13" s="763"/>
      <c r="T13" s="763"/>
      <c r="U13" s="763"/>
      <c r="V13" s="763"/>
    </row>
    <row r="14" spans="4:22" x14ac:dyDescent="0.25">
      <c r="D14" s="763"/>
      <c r="E14" s="763"/>
      <c r="F14" s="763"/>
      <c r="G14" s="763"/>
      <c r="H14" s="763"/>
      <c r="I14" s="763"/>
      <c r="J14" s="763"/>
      <c r="K14" s="763"/>
      <c r="L14" s="763"/>
      <c r="M14" s="763"/>
      <c r="N14" s="763"/>
      <c r="O14" s="763"/>
      <c r="P14" s="763"/>
      <c r="Q14" s="763"/>
      <c r="R14" s="763"/>
      <c r="S14" s="763"/>
      <c r="T14" s="763"/>
      <c r="U14" s="763"/>
      <c r="V14" s="763"/>
    </row>
    <row r="15" spans="4:22" x14ac:dyDescent="0.25">
      <c r="D15" s="763"/>
      <c r="E15" s="763"/>
      <c r="F15" s="763"/>
      <c r="G15" s="763"/>
      <c r="H15" s="763"/>
      <c r="I15" s="763"/>
      <c r="J15" s="763"/>
      <c r="K15" s="763"/>
      <c r="L15" s="763"/>
      <c r="M15" s="763"/>
      <c r="N15" s="763"/>
      <c r="O15" s="763"/>
      <c r="P15" s="763"/>
      <c r="Q15" s="763"/>
      <c r="R15" s="763"/>
      <c r="S15" s="763"/>
      <c r="T15" s="763"/>
      <c r="U15" s="763"/>
      <c r="V15" s="763"/>
    </row>
    <row r="16" spans="4:22" x14ac:dyDescent="0.25">
      <c r="D16" s="763"/>
      <c r="E16" s="763"/>
      <c r="F16" s="763"/>
      <c r="G16" s="763"/>
      <c r="H16" s="763"/>
      <c r="I16" s="763"/>
      <c r="J16" s="763"/>
      <c r="K16" s="763"/>
      <c r="L16" s="763"/>
      <c r="M16" s="763"/>
      <c r="N16" s="763"/>
      <c r="O16" s="763"/>
      <c r="P16" s="763"/>
      <c r="Q16" s="763"/>
      <c r="R16" s="763"/>
      <c r="S16" s="763"/>
      <c r="T16" s="763"/>
      <c r="U16" s="763"/>
      <c r="V16" s="763"/>
    </row>
    <row r="17" spans="4:22" x14ac:dyDescent="0.25">
      <c r="D17" s="763"/>
      <c r="E17" s="763"/>
      <c r="F17" s="763"/>
      <c r="G17" s="763"/>
      <c r="H17" s="763"/>
      <c r="I17" s="763"/>
      <c r="J17" s="763"/>
      <c r="K17" s="763"/>
      <c r="L17" s="763"/>
      <c r="M17" s="763"/>
      <c r="N17" s="763"/>
      <c r="O17" s="763"/>
      <c r="P17" s="763"/>
      <c r="Q17" s="763"/>
      <c r="R17" s="763"/>
      <c r="S17" s="763"/>
      <c r="T17" s="763"/>
      <c r="U17" s="763"/>
      <c r="V17" s="763"/>
    </row>
    <row r="18" spans="4:22" x14ac:dyDescent="0.25">
      <c r="D18" s="763"/>
      <c r="E18" s="763"/>
      <c r="F18" s="763"/>
      <c r="G18" s="763"/>
      <c r="H18" s="763"/>
      <c r="I18" s="763"/>
      <c r="J18" s="763"/>
      <c r="K18" s="763"/>
      <c r="L18" s="763"/>
      <c r="M18" s="763"/>
      <c r="N18" s="763"/>
      <c r="O18" s="763"/>
      <c r="P18" s="763"/>
      <c r="Q18" s="763"/>
      <c r="R18" s="763"/>
      <c r="S18" s="763"/>
      <c r="T18" s="763"/>
      <c r="U18" s="763"/>
      <c r="V18" s="763"/>
    </row>
    <row r="19" spans="4:22" x14ac:dyDescent="0.25">
      <c r="D19" s="763" t="s">
        <v>849</v>
      </c>
      <c r="E19" s="763" t="s">
        <v>2714</v>
      </c>
      <c r="F19" s="763"/>
      <c r="G19" s="763"/>
      <c r="H19" s="763"/>
      <c r="I19" s="763"/>
      <c r="J19" s="763"/>
      <c r="K19" s="763"/>
      <c r="L19" s="763"/>
      <c r="M19" s="763"/>
      <c r="N19" s="763"/>
      <c r="O19" s="763"/>
      <c r="P19" s="763"/>
      <c r="Q19" s="763"/>
      <c r="R19" s="763"/>
      <c r="S19" s="763"/>
      <c r="T19" s="763"/>
      <c r="U19" s="763"/>
      <c r="V19" s="763"/>
    </row>
    <row r="20" spans="4:22" x14ac:dyDescent="0.25">
      <c r="D20" s="763"/>
      <c r="E20" s="763"/>
      <c r="F20" s="763"/>
      <c r="G20" s="763"/>
      <c r="H20" s="763"/>
      <c r="I20" s="763"/>
      <c r="J20" s="763"/>
      <c r="K20" s="763"/>
      <c r="L20" s="763"/>
      <c r="M20" s="763"/>
      <c r="N20" s="763"/>
      <c r="O20" s="763"/>
      <c r="P20" s="763"/>
      <c r="Q20" s="763"/>
      <c r="R20" s="763"/>
      <c r="S20" s="763"/>
      <c r="T20" s="763"/>
      <c r="U20" s="763"/>
      <c r="V20" s="763"/>
    </row>
    <row r="21" spans="4:22" x14ac:dyDescent="0.25">
      <c r="D21" s="763"/>
      <c r="E21" s="763" t="s">
        <v>2713</v>
      </c>
      <c r="F21" s="763" t="s">
        <v>2712</v>
      </c>
      <c r="G21" s="763"/>
      <c r="H21" s="763" t="s">
        <v>2676</v>
      </c>
      <c r="I21" s="763" t="s">
        <v>2711</v>
      </c>
      <c r="J21" s="763"/>
      <c r="K21" s="763" t="s">
        <v>2710</v>
      </c>
      <c r="L21" s="763"/>
      <c r="M21" s="763"/>
      <c r="N21" s="763"/>
      <c r="O21" s="763"/>
      <c r="P21" s="763"/>
      <c r="Q21" s="763"/>
      <c r="R21" s="763"/>
      <c r="S21" s="763"/>
      <c r="T21" s="763"/>
      <c r="U21" s="763"/>
      <c r="V21" s="763"/>
    </row>
    <row r="22" spans="4:22" x14ac:dyDescent="0.25">
      <c r="D22" s="763" t="s">
        <v>2709</v>
      </c>
      <c r="E22" s="763">
        <v>100</v>
      </c>
      <c r="F22" s="763">
        <v>110</v>
      </c>
      <c r="G22" s="763"/>
      <c r="H22" s="763">
        <f>SLOPE(E22:F22,E23:F23)</f>
        <v>-1</v>
      </c>
      <c r="I22" s="763">
        <f>INTERCEPT(E22:F22,E23:F23)</f>
        <v>150</v>
      </c>
      <c r="J22" s="763"/>
      <c r="K22" s="763"/>
      <c r="L22" s="763"/>
      <c r="M22" s="763"/>
      <c r="N22" s="763"/>
      <c r="O22" s="763"/>
      <c r="P22" s="763"/>
      <c r="Q22" s="763"/>
      <c r="R22" s="763"/>
      <c r="S22" s="763"/>
      <c r="T22" s="763"/>
      <c r="U22" s="763"/>
      <c r="V22" s="763"/>
    </row>
    <row r="23" spans="4:22" x14ac:dyDescent="0.25">
      <c r="D23" s="763" t="s">
        <v>2703</v>
      </c>
      <c r="E23" s="763">
        <v>50</v>
      </c>
      <c r="F23" s="763">
        <f>E23*0.8</f>
        <v>40</v>
      </c>
      <c r="G23" s="763"/>
      <c r="H23" s="763"/>
      <c r="I23" s="763"/>
      <c r="J23" s="763"/>
      <c r="K23" s="763"/>
      <c r="L23" s="763"/>
      <c r="M23" s="763"/>
      <c r="N23" s="763"/>
      <c r="O23" s="763"/>
      <c r="P23" s="763"/>
      <c r="Q23" s="763"/>
      <c r="R23" s="763"/>
      <c r="S23" s="763"/>
      <c r="T23" s="763"/>
      <c r="U23" s="763"/>
      <c r="V23" s="763"/>
    </row>
    <row r="24" spans="4:22" x14ac:dyDescent="0.25">
      <c r="D24" s="763"/>
      <c r="E24" s="763"/>
      <c r="F24" s="763"/>
      <c r="G24" s="763"/>
      <c r="H24" s="763"/>
      <c r="I24" s="763"/>
      <c r="J24" s="763"/>
      <c r="K24" s="763"/>
      <c r="L24" s="763"/>
      <c r="M24" s="763"/>
      <c r="N24" s="763"/>
      <c r="O24" s="763"/>
      <c r="P24" s="763"/>
      <c r="Q24" s="763"/>
      <c r="R24" s="763"/>
      <c r="S24" s="763"/>
      <c r="T24" s="763"/>
      <c r="U24" s="763"/>
      <c r="V24" s="763"/>
    </row>
    <row r="25" spans="4:22" x14ac:dyDescent="0.25">
      <c r="D25" s="763"/>
      <c r="E25" s="763"/>
      <c r="F25" s="763"/>
      <c r="G25" s="763"/>
      <c r="H25" s="763"/>
      <c r="I25" s="763"/>
      <c r="J25" s="763"/>
      <c r="K25" s="763"/>
      <c r="L25" s="763"/>
      <c r="M25" s="763"/>
      <c r="N25" s="763"/>
      <c r="O25" s="763"/>
      <c r="P25" s="763"/>
      <c r="Q25" s="763"/>
      <c r="R25" s="763"/>
      <c r="S25" s="763"/>
      <c r="T25" s="763"/>
      <c r="U25" s="763"/>
      <c r="V25" s="763"/>
    </row>
    <row r="26" spans="4:22" x14ac:dyDescent="0.25">
      <c r="D26" s="763"/>
      <c r="E26" s="763" t="s">
        <v>2703</v>
      </c>
      <c r="F26" s="763" t="s">
        <v>2707</v>
      </c>
      <c r="G26" s="763"/>
      <c r="H26" s="763"/>
      <c r="I26" s="763"/>
      <c r="J26" s="763"/>
      <c r="K26" s="763"/>
      <c r="L26" s="763"/>
      <c r="M26" s="763"/>
      <c r="N26" s="763"/>
      <c r="O26" s="763"/>
      <c r="P26" s="763"/>
      <c r="Q26" s="763"/>
      <c r="R26" s="763"/>
      <c r="S26" s="763"/>
      <c r="T26" s="763"/>
      <c r="U26" s="763"/>
      <c r="V26" s="763"/>
    </row>
    <row r="27" spans="4:22" x14ac:dyDescent="0.25">
      <c r="D27" s="763"/>
      <c r="E27" s="763">
        <v>0</v>
      </c>
      <c r="F27" s="763">
        <f t="shared" ref="F27:F42" si="0">150-E27</f>
        <v>150</v>
      </c>
      <c r="G27" s="763"/>
      <c r="H27" s="763"/>
      <c r="I27" s="763"/>
      <c r="J27" s="763"/>
      <c r="K27" s="763"/>
      <c r="L27" s="763"/>
      <c r="M27" s="763"/>
      <c r="N27" s="763"/>
      <c r="O27" s="763"/>
      <c r="P27" s="763"/>
      <c r="Q27" s="763"/>
      <c r="R27" s="763"/>
      <c r="S27" s="763"/>
      <c r="T27" s="763"/>
      <c r="U27" s="763"/>
      <c r="V27" s="763"/>
    </row>
    <row r="28" spans="4:22" x14ac:dyDescent="0.25">
      <c r="D28" s="763"/>
      <c r="E28" s="763">
        <v>10</v>
      </c>
      <c r="F28" s="763">
        <f t="shared" si="0"/>
        <v>140</v>
      </c>
      <c r="G28" s="763"/>
      <c r="H28" s="763"/>
      <c r="I28" s="763"/>
      <c r="J28" s="763"/>
      <c r="K28" s="763"/>
      <c r="L28" s="763"/>
      <c r="M28" s="763"/>
      <c r="N28" s="763"/>
      <c r="O28" s="763"/>
      <c r="P28" s="763"/>
      <c r="Q28" s="763"/>
      <c r="R28" s="763"/>
      <c r="S28" s="763"/>
      <c r="T28" s="763"/>
      <c r="U28" s="763"/>
      <c r="V28" s="763"/>
    </row>
    <row r="29" spans="4:22" x14ac:dyDescent="0.25">
      <c r="D29" s="763"/>
      <c r="E29" s="763">
        <v>20</v>
      </c>
      <c r="F29" s="763">
        <f t="shared" si="0"/>
        <v>130</v>
      </c>
      <c r="G29" s="763"/>
      <c r="H29" s="763"/>
      <c r="I29" s="763"/>
      <c r="J29" s="763"/>
      <c r="K29" s="763"/>
      <c r="L29" s="763"/>
      <c r="M29" s="763"/>
      <c r="N29" s="763"/>
      <c r="O29" s="763"/>
      <c r="P29" s="763"/>
      <c r="Q29" s="763"/>
      <c r="R29" s="763"/>
      <c r="S29" s="763"/>
      <c r="T29" s="763"/>
      <c r="U29" s="763"/>
      <c r="V29" s="763"/>
    </row>
    <row r="30" spans="4:22" x14ac:dyDescent="0.25">
      <c r="D30" s="763"/>
      <c r="E30" s="763">
        <v>30</v>
      </c>
      <c r="F30" s="763">
        <f t="shared" si="0"/>
        <v>120</v>
      </c>
      <c r="G30" s="763"/>
      <c r="H30" s="763"/>
      <c r="I30" s="763"/>
      <c r="J30" s="763"/>
      <c r="K30" s="763"/>
      <c r="L30" s="763"/>
      <c r="M30" s="763"/>
      <c r="N30" s="763"/>
      <c r="O30" s="763"/>
      <c r="P30" s="763"/>
      <c r="Q30" s="763"/>
      <c r="R30" s="763"/>
      <c r="S30" s="763"/>
      <c r="T30" s="763"/>
      <c r="U30" s="763"/>
      <c r="V30" s="763"/>
    </row>
    <row r="31" spans="4:22" x14ac:dyDescent="0.25">
      <c r="D31" s="763"/>
      <c r="E31" s="763">
        <v>40</v>
      </c>
      <c r="F31" s="763">
        <f t="shared" si="0"/>
        <v>110</v>
      </c>
      <c r="G31" s="763"/>
      <c r="H31" s="763"/>
      <c r="I31" s="763"/>
      <c r="J31" s="763"/>
      <c r="K31" s="763"/>
      <c r="L31" s="763"/>
      <c r="M31" s="763"/>
      <c r="N31" s="763"/>
      <c r="O31" s="763"/>
      <c r="P31" s="763"/>
      <c r="Q31" s="763"/>
      <c r="R31" s="763"/>
      <c r="S31" s="763"/>
      <c r="T31" s="763"/>
      <c r="U31" s="763"/>
      <c r="V31" s="763"/>
    </row>
    <row r="32" spans="4:22" x14ac:dyDescent="0.25">
      <c r="D32" s="763"/>
      <c r="E32" s="763">
        <v>50</v>
      </c>
      <c r="F32" s="763">
        <f t="shared" si="0"/>
        <v>100</v>
      </c>
      <c r="G32" s="763"/>
      <c r="H32" s="763"/>
      <c r="I32" s="763"/>
      <c r="J32" s="763"/>
      <c r="K32" s="763"/>
      <c r="L32" s="763"/>
      <c r="M32" s="763"/>
      <c r="N32" s="763"/>
      <c r="O32" s="763"/>
      <c r="P32" s="763"/>
      <c r="Q32" s="763"/>
      <c r="R32" s="763"/>
      <c r="S32" s="763"/>
      <c r="T32" s="763"/>
      <c r="U32" s="763"/>
      <c r="V32" s="763"/>
    </row>
    <row r="33" spans="4:22" x14ac:dyDescent="0.25">
      <c r="D33" s="763"/>
      <c r="E33" s="763">
        <v>60</v>
      </c>
      <c r="F33" s="763">
        <f t="shared" si="0"/>
        <v>90</v>
      </c>
      <c r="G33" s="763"/>
      <c r="H33" s="763"/>
      <c r="I33" s="763"/>
      <c r="J33" s="763"/>
      <c r="K33" s="763"/>
      <c r="L33" s="763"/>
      <c r="M33" s="763"/>
      <c r="N33" s="763"/>
      <c r="O33" s="763"/>
      <c r="P33" s="763"/>
      <c r="Q33" s="763"/>
      <c r="R33" s="763"/>
      <c r="S33" s="763"/>
      <c r="T33" s="763"/>
      <c r="U33" s="763"/>
      <c r="V33" s="763"/>
    </row>
    <row r="34" spans="4:22" x14ac:dyDescent="0.25">
      <c r="D34" s="763"/>
      <c r="E34" s="763">
        <v>70</v>
      </c>
      <c r="F34" s="763">
        <f t="shared" si="0"/>
        <v>80</v>
      </c>
      <c r="G34" s="763"/>
      <c r="H34" s="763"/>
      <c r="I34" s="763"/>
      <c r="J34" s="763"/>
      <c r="K34" s="763"/>
      <c r="L34" s="763"/>
      <c r="M34" s="763"/>
      <c r="N34" s="763"/>
      <c r="O34" s="763"/>
      <c r="P34" s="763"/>
      <c r="Q34" s="763"/>
      <c r="R34" s="763"/>
      <c r="S34" s="763"/>
      <c r="T34" s="763"/>
      <c r="U34" s="763"/>
      <c r="V34" s="763"/>
    </row>
    <row r="35" spans="4:22" x14ac:dyDescent="0.25">
      <c r="D35" s="763"/>
      <c r="E35" s="763">
        <v>80</v>
      </c>
      <c r="F35" s="763">
        <f t="shared" si="0"/>
        <v>70</v>
      </c>
      <c r="G35" s="763"/>
      <c r="H35" s="763"/>
      <c r="I35" s="763"/>
      <c r="J35" s="763"/>
      <c r="K35" s="763"/>
      <c r="L35" s="763"/>
      <c r="M35" s="763"/>
      <c r="N35" s="763"/>
      <c r="O35" s="763"/>
      <c r="P35" s="763"/>
      <c r="Q35" s="763"/>
      <c r="R35" s="763"/>
      <c r="S35" s="763"/>
      <c r="T35" s="763"/>
      <c r="U35" s="763"/>
      <c r="V35" s="763"/>
    </row>
    <row r="36" spans="4:22" x14ac:dyDescent="0.25">
      <c r="D36" s="763"/>
      <c r="E36" s="763">
        <v>90</v>
      </c>
      <c r="F36" s="763">
        <f t="shared" si="0"/>
        <v>60</v>
      </c>
      <c r="G36" s="763"/>
      <c r="H36" s="763"/>
      <c r="I36" s="763"/>
      <c r="J36" s="763"/>
      <c r="K36" s="763"/>
      <c r="L36" s="763"/>
      <c r="M36" s="763"/>
      <c r="N36" s="763"/>
      <c r="O36" s="763"/>
      <c r="P36" s="763"/>
      <c r="Q36" s="763"/>
      <c r="R36" s="763"/>
      <c r="S36" s="763"/>
      <c r="T36" s="763"/>
      <c r="U36" s="763"/>
      <c r="V36" s="763"/>
    </row>
    <row r="37" spans="4:22" x14ac:dyDescent="0.25">
      <c r="D37" s="763"/>
      <c r="E37" s="763">
        <v>100</v>
      </c>
      <c r="F37" s="763">
        <f t="shared" si="0"/>
        <v>50</v>
      </c>
      <c r="G37" s="763"/>
      <c r="H37" s="763"/>
      <c r="I37" s="763"/>
      <c r="J37" s="763"/>
      <c r="K37" s="763"/>
      <c r="L37" s="763"/>
      <c r="M37" s="763"/>
      <c r="N37" s="763"/>
      <c r="O37" s="763"/>
      <c r="P37" s="763"/>
      <c r="Q37" s="763"/>
      <c r="R37" s="763"/>
      <c r="S37" s="763"/>
      <c r="T37" s="763"/>
      <c r="U37" s="763"/>
      <c r="V37" s="763"/>
    </row>
    <row r="38" spans="4:22" x14ac:dyDescent="0.25">
      <c r="D38" s="763"/>
      <c r="E38" s="763">
        <v>110</v>
      </c>
      <c r="F38" s="763">
        <f t="shared" si="0"/>
        <v>40</v>
      </c>
      <c r="G38" s="763"/>
      <c r="H38" s="763"/>
      <c r="I38" s="763"/>
      <c r="J38" s="763"/>
      <c r="K38" s="763"/>
      <c r="L38" s="763"/>
      <c r="M38" s="763"/>
      <c r="N38" s="763"/>
      <c r="O38" s="763"/>
      <c r="P38" s="763"/>
      <c r="Q38" s="763"/>
      <c r="R38" s="763"/>
      <c r="S38" s="763"/>
      <c r="T38" s="763"/>
      <c r="U38" s="763"/>
      <c r="V38" s="763"/>
    </row>
    <row r="39" spans="4:22" x14ac:dyDescent="0.25">
      <c r="D39" s="763"/>
      <c r="E39" s="763">
        <v>120</v>
      </c>
      <c r="F39" s="763">
        <f t="shared" si="0"/>
        <v>30</v>
      </c>
      <c r="G39" s="763"/>
      <c r="H39" s="763"/>
      <c r="I39" s="763"/>
      <c r="J39" s="763"/>
      <c r="K39" s="763"/>
      <c r="L39" s="763"/>
      <c r="M39" s="763"/>
      <c r="N39" s="763"/>
      <c r="O39" s="763"/>
      <c r="P39" s="763"/>
      <c r="Q39" s="763"/>
      <c r="R39" s="763"/>
      <c r="S39" s="763"/>
      <c r="T39" s="763"/>
      <c r="U39" s="763"/>
      <c r="V39" s="763"/>
    </row>
    <row r="40" spans="4:22" x14ac:dyDescent="0.25">
      <c r="D40" s="763"/>
      <c r="E40" s="763">
        <v>130</v>
      </c>
      <c r="F40" s="763">
        <f t="shared" si="0"/>
        <v>20</v>
      </c>
      <c r="G40" s="763"/>
      <c r="H40" s="763"/>
      <c r="I40" s="763"/>
      <c r="J40" s="763"/>
      <c r="K40" s="763"/>
      <c r="L40" s="763"/>
      <c r="M40" s="763"/>
      <c r="N40" s="763"/>
      <c r="O40" s="763"/>
      <c r="P40" s="763"/>
      <c r="Q40" s="763"/>
      <c r="R40" s="763"/>
      <c r="S40" s="763"/>
      <c r="T40" s="763"/>
      <c r="U40" s="763"/>
      <c r="V40" s="763"/>
    </row>
    <row r="41" spans="4:22" x14ac:dyDescent="0.25">
      <c r="D41" s="763"/>
      <c r="E41" s="763">
        <v>140</v>
      </c>
      <c r="F41" s="763">
        <f t="shared" si="0"/>
        <v>10</v>
      </c>
      <c r="G41" s="763"/>
      <c r="H41" s="763"/>
      <c r="I41" s="763"/>
      <c r="J41" s="763"/>
      <c r="K41" s="763"/>
      <c r="L41" s="763"/>
      <c r="M41" s="763"/>
      <c r="N41" s="763"/>
      <c r="O41" s="763"/>
      <c r="P41" s="763"/>
      <c r="Q41" s="763"/>
      <c r="R41" s="763"/>
      <c r="S41" s="763"/>
      <c r="T41" s="763"/>
      <c r="U41" s="763"/>
      <c r="V41" s="763"/>
    </row>
    <row r="42" spans="4:22" x14ac:dyDescent="0.25">
      <c r="D42" s="763"/>
      <c r="E42" s="763">
        <v>150</v>
      </c>
      <c r="F42" s="763">
        <f t="shared" si="0"/>
        <v>0</v>
      </c>
      <c r="G42" s="763"/>
      <c r="H42" s="763"/>
      <c r="I42" s="763"/>
      <c r="J42" s="763"/>
      <c r="K42" s="763"/>
      <c r="L42" s="763"/>
      <c r="M42" s="763"/>
      <c r="N42" s="763"/>
      <c r="O42" s="763"/>
      <c r="P42" s="763"/>
      <c r="Q42" s="763"/>
      <c r="R42" s="763"/>
      <c r="S42" s="763"/>
      <c r="T42" s="763"/>
      <c r="U42" s="763"/>
      <c r="V42" s="763"/>
    </row>
    <row r="43" spans="4:22" x14ac:dyDescent="0.25">
      <c r="D43" s="763"/>
      <c r="E43" s="763"/>
      <c r="F43" s="763"/>
      <c r="G43" s="763"/>
      <c r="H43" s="763"/>
      <c r="I43" s="763"/>
      <c r="J43" s="763"/>
      <c r="K43" s="763"/>
      <c r="L43" s="763"/>
      <c r="M43" s="763"/>
      <c r="N43" s="763"/>
      <c r="O43" s="763"/>
      <c r="P43" s="763"/>
      <c r="Q43" s="763"/>
      <c r="R43" s="763"/>
      <c r="S43" s="763"/>
      <c r="T43" s="763"/>
      <c r="U43" s="763"/>
      <c r="V43" s="763"/>
    </row>
    <row r="44" spans="4:22" x14ac:dyDescent="0.25">
      <c r="D44" s="763"/>
      <c r="E44" s="763"/>
      <c r="F44" s="763"/>
      <c r="G44" s="763"/>
      <c r="H44" s="763"/>
      <c r="I44" s="763"/>
      <c r="J44" s="763"/>
      <c r="K44" s="763"/>
      <c r="L44" s="763"/>
      <c r="M44" s="763"/>
      <c r="N44" s="763"/>
      <c r="O44" s="763"/>
      <c r="P44" s="763"/>
      <c r="Q44" s="763"/>
      <c r="R44" s="763"/>
      <c r="S44" s="763"/>
      <c r="T44" s="763"/>
      <c r="U44" s="763"/>
      <c r="V44" s="763"/>
    </row>
    <row r="45" spans="4:22" x14ac:dyDescent="0.25">
      <c r="D45" s="763"/>
      <c r="E45" s="763"/>
      <c r="F45" s="763"/>
      <c r="G45" s="763"/>
      <c r="H45" s="763"/>
      <c r="I45" s="763"/>
      <c r="J45" s="763"/>
      <c r="K45" s="763"/>
      <c r="L45" s="763"/>
      <c r="M45" s="763"/>
      <c r="N45" s="763"/>
      <c r="O45" s="763"/>
      <c r="P45" s="763"/>
      <c r="Q45" s="763"/>
      <c r="R45" s="763"/>
      <c r="S45" s="763"/>
      <c r="T45" s="763"/>
      <c r="U45" s="763"/>
      <c r="V45" s="763"/>
    </row>
    <row r="46" spans="4:22" x14ac:dyDescent="0.25">
      <c r="D46" s="763"/>
      <c r="E46" s="763"/>
      <c r="F46" s="763"/>
      <c r="G46" s="763"/>
      <c r="H46" s="763"/>
      <c r="I46" s="763"/>
      <c r="J46" s="763"/>
      <c r="K46" s="763"/>
      <c r="L46" s="763"/>
      <c r="M46" s="763"/>
      <c r="N46" s="763"/>
      <c r="O46" s="763"/>
      <c r="P46" s="763"/>
      <c r="Q46" s="763"/>
      <c r="R46" s="763"/>
      <c r="S46" s="763"/>
      <c r="T46" s="763"/>
      <c r="U46" s="763"/>
      <c r="V46" s="763"/>
    </row>
    <row r="47" spans="4:22" x14ac:dyDescent="0.25">
      <c r="D47" s="763"/>
      <c r="E47" s="763"/>
      <c r="F47" s="763"/>
      <c r="G47" s="763"/>
      <c r="H47" s="763"/>
      <c r="I47" s="763"/>
      <c r="J47" s="763"/>
      <c r="K47" s="763"/>
      <c r="L47" s="763"/>
      <c r="M47" s="763"/>
      <c r="N47" s="763"/>
      <c r="O47" s="763"/>
      <c r="P47" s="763"/>
      <c r="Q47" s="763"/>
      <c r="R47" s="763"/>
      <c r="S47" s="763"/>
      <c r="T47" s="763"/>
      <c r="U47" s="763"/>
      <c r="V47" s="763"/>
    </row>
    <row r="48" spans="4:22" x14ac:dyDescent="0.25">
      <c r="D48" s="763"/>
      <c r="E48" s="763"/>
      <c r="F48" s="763"/>
      <c r="G48" s="763"/>
      <c r="H48" s="763"/>
      <c r="I48" s="763"/>
      <c r="J48" s="763"/>
      <c r="K48" s="763"/>
      <c r="L48" s="763"/>
      <c r="M48" s="763"/>
      <c r="N48" s="763"/>
      <c r="O48" s="763"/>
      <c r="P48" s="763"/>
      <c r="Q48" s="763"/>
      <c r="R48" s="763"/>
      <c r="S48" s="763"/>
      <c r="T48" s="763"/>
      <c r="U48" s="763"/>
      <c r="V48" s="763"/>
    </row>
    <row r="49" spans="4:22" x14ac:dyDescent="0.25">
      <c r="D49" s="763" t="s">
        <v>869</v>
      </c>
      <c r="E49" s="763" t="s">
        <v>2708</v>
      </c>
      <c r="F49" s="763"/>
      <c r="G49" s="763"/>
      <c r="H49" s="763"/>
      <c r="I49" s="763"/>
      <c r="J49" s="763"/>
      <c r="K49" s="763"/>
      <c r="L49" s="763"/>
      <c r="M49" s="763"/>
      <c r="N49" s="763"/>
      <c r="O49" s="763"/>
      <c r="P49" s="763"/>
      <c r="Q49" s="763"/>
      <c r="R49" s="763"/>
      <c r="S49" s="763"/>
      <c r="T49" s="763"/>
      <c r="U49" s="763"/>
      <c r="V49" s="763"/>
    </row>
    <row r="50" spans="4:22" x14ac:dyDescent="0.25">
      <c r="D50" s="763"/>
      <c r="E50" s="763"/>
      <c r="F50" s="763"/>
      <c r="G50" s="763"/>
      <c r="H50" s="763"/>
      <c r="I50" s="763"/>
      <c r="J50" s="763"/>
      <c r="K50" s="763"/>
      <c r="L50" s="763"/>
      <c r="M50" s="763"/>
      <c r="N50" s="763"/>
      <c r="O50" s="763"/>
      <c r="P50" s="763"/>
      <c r="Q50" s="763"/>
      <c r="R50" s="763"/>
      <c r="S50" s="763"/>
      <c r="T50" s="763"/>
      <c r="U50" s="763"/>
      <c r="V50" s="763"/>
    </row>
    <row r="51" spans="4:22" x14ac:dyDescent="0.25">
      <c r="D51" s="763"/>
      <c r="E51" s="763"/>
      <c r="F51" s="763"/>
      <c r="G51" s="763"/>
      <c r="H51" s="763"/>
      <c r="I51" s="763"/>
      <c r="J51" s="763"/>
      <c r="K51" s="763"/>
      <c r="L51" s="763"/>
      <c r="M51" s="763"/>
      <c r="N51" s="763"/>
      <c r="O51" s="763"/>
      <c r="P51" s="763"/>
      <c r="Q51" s="763"/>
      <c r="R51" s="763"/>
      <c r="S51" s="763"/>
      <c r="T51" s="763"/>
      <c r="U51" s="763"/>
      <c r="V51" s="763"/>
    </row>
    <row r="52" spans="4:22" x14ac:dyDescent="0.25">
      <c r="D52" s="763"/>
      <c r="E52" s="763"/>
      <c r="F52" s="763"/>
      <c r="G52" s="763"/>
      <c r="H52" s="763"/>
      <c r="I52" s="763"/>
      <c r="J52" s="763"/>
      <c r="K52" s="763"/>
      <c r="L52" s="763"/>
      <c r="M52" s="763"/>
      <c r="N52" s="763"/>
      <c r="O52" s="763"/>
      <c r="P52" s="763"/>
      <c r="Q52" s="763"/>
      <c r="R52" s="763"/>
      <c r="S52" s="763"/>
      <c r="T52" s="763"/>
      <c r="U52" s="763"/>
      <c r="V52" s="763"/>
    </row>
    <row r="53" spans="4:22" x14ac:dyDescent="0.25">
      <c r="D53" s="763"/>
      <c r="E53" s="763"/>
      <c r="F53" s="763"/>
      <c r="G53" s="763" t="s">
        <v>2707</v>
      </c>
      <c r="H53" s="763" t="s">
        <v>2706</v>
      </c>
      <c r="I53" s="763"/>
      <c r="J53" s="763"/>
      <c r="K53" s="763"/>
      <c r="L53" s="763"/>
      <c r="M53" s="763"/>
      <c r="N53" s="763"/>
      <c r="O53" s="763"/>
      <c r="P53" s="763"/>
      <c r="Q53" s="763"/>
      <c r="R53" s="763"/>
      <c r="S53" s="763"/>
      <c r="T53" s="763"/>
      <c r="U53" s="763"/>
      <c r="V53" s="763"/>
    </row>
    <row r="54" spans="4:22" x14ac:dyDescent="0.25">
      <c r="D54" s="763"/>
      <c r="E54" s="763"/>
      <c r="F54" s="763"/>
      <c r="G54" s="763">
        <v>150</v>
      </c>
      <c r="H54" s="763">
        <v>150</v>
      </c>
      <c r="I54" s="763"/>
      <c r="J54" s="763"/>
      <c r="K54" s="763"/>
      <c r="L54" s="763"/>
      <c r="M54" s="763"/>
      <c r="N54" s="763"/>
      <c r="O54" s="763"/>
      <c r="P54" s="763"/>
      <c r="Q54" s="763"/>
      <c r="R54" s="763"/>
      <c r="S54" s="763"/>
      <c r="T54" s="763"/>
      <c r="U54" s="763"/>
      <c r="V54" s="763"/>
    </row>
    <row r="55" spans="4:22" x14ac:dyDescent="0.25">
      <c r="D55" s="763"/>
      <c r="E55" s="763"/>
      <c r="F55" s="763"/>
      <c r="G55" s="763">
        <v>140</v>
      </c>
      <c r="H55" s="763">
        <f t="shared" ref="H55:H62" si="1">G55-F79</f>
        <v>130</v>
      </c>
      <c r="I55" s="763"/>
      <c r="J55" s="763"/>
      <c r="K55" s="763"/>
      <c r="L55" s="763"/>
      <c r="M55" s="763"/>
      <c r="N55" s="763"/>
      <c r="O55" s="763"/>
      <c r="P55" s="763"/>
      <c r="Q55" s="763"/>
      <c r="R55" s="763"/>
      <c r="S55" s="763"/>
      <c r="T55" s="763"/>
      <c r="U55" s="763"/>
      <c r="V55" s="763"/>
    </row>
    <row r="56" spans="4:22" x14ac:dyDescent="0.25">
      <c r="D56" s="763"/>
      <c r="E56" s="763"/>
      <c r="F56" s="763"/>
      <c r="G56" s="763">
        <v>130</v>
      </c>
      <c r="H56" s="763">
        <f t="shared" si="1"/>
        <v>110</v>
      </c>
      <c r="I56" s="763"/>
      <c r="J56" s="763"/>
      <c r="K56" s="763"/>
      <c r="L56" s="763"/>
      <c r="M56" s="763"/>
      <c r="N56" s="763"/>
      <c r="O56" s="763"/>
      <c r="P56" s="763"/>
      <c r="Q56" s="763"/>
      <c r="R56" s="763"/>
      <c r="S56" s="763"/>
      <c r="T56" s="763"/>
      <c r="U56" s="763"/>
      <c r="V56" s="763"/>
    </row>
    <row r="57" spans="4:22" x14ac:dyDescent="0.25">
      <c r="D57" s="763"/>
      <c r="E57" s="763"/>
      <c r="F57" s="763"/>
      <c r="G57" s="763">
        <v>120</v>
      </c>
      <c r="H57" s="763">
        <f t="shared" si="1"/>
        <v>90</v>
      </c>
      <c r="I57" s="763"/>
      <c r="J57" s="763"/>
      <c r="K57" s="763"/>
      <c r="L57" s="763"/>
      <c r="M57" s="763"/>
      <c r="N57" s="763"/>
      <c r="O57" s="763"/>
      <c r="P57" s="763"/>
      <c r="Q57" s="763"/>
      <c r="R57" s="763"/>
      <c r="S57" s="763"/>
      <c r="T57" s="763"/>
      <c r="U57" s="763"/>
      <c r="V57" s="763"/>
    </row>
    <row r="58" spans="4:22" x14ac:dyDescent="0.25">
      <c r="D58" s="763"/>
      <c r="E58" s="763"/>
      <c r="F58" s="763"/>
      <c r="G58" s="763">
        <v>110</v>
      </c>
      <c r="H58" s="763">
        <f t="shared" si="1"/>
        <v>70</v>
      </c>
      <c r="I58" s="763"/>
      <c r="J58" s="763"/>
      <c r="K58" s="763"/>
      <c r="L58" s="763"/>
      <c r="M58" s="763"/>
      <c r="N58" s="763"/>
      <c r="O58" s="763"/>
      <c r="P58" s="763"/>
      <c r="Q58" s="763"/>
      <c r="R58" s="763"/>
      <c r="S58" s="763"/>
      <c r="T58" s="763"/>
      <c r="U58" s="763"/>
      <c r="V58" s="763"/>
    </row>
    <row r="59" spans="4:22" x14ac:dyDescent="0.25">
      <c r="D59" s="763"/>
      <c r="E59" s="763"/>
      <c r="F59" s="763"/>
      <c r="G59" s="763">
        <v>100</v>
      </c>
      <c r="H59" s="763">
        <f t="shared" si="1"/>
        <v>50</v>
      </c>
      <c r="I59" s="763"/>
      <c r="J59" s="763"/>
      <c r="K59" s="763"/>
      <c r="L59" s="763"/>
      <c r="M59" s="763"/>
      <c r="N59" s="763"/>
      <c r="O59" s="763"/>
      <c r="P59" s="763"/>
      <c r="Q59" s="763"/>
      <c r="R59" s="763"/>
      <c r="S59" s="763"/>
      <c r="T59" s="763"/>
      <c r="U59" s="763"/>
      <c r="V59" s="763"/>
    </row>
    <row r="60" spans="4:22" x14ac:dyDescent="0.25">
      <c r="D60" s="763"/>
      <c r="E60" s="763"/>
      <c r="F60" s="763"/>
      <c r="G60" s="763">
        <v>90</v>
      </c>
      <c r="H60" s="763">
        <f t="shared" si="1"/>
        <v>30</v>
      </c>
      <c r="I60" s="763"/>
      <c r="J60" s="763"/>
      <c r="K60" s="763"/>
      <c r="L60" s="763"/>
      <c r="M60" s="763"/>
      <c r="N60" s="763"/>
      <c r="O60" s="763"/>
      <c r="P60" s="763"/>
      <c r="Q60" s="763"/>
      <c r="R60" s="763"/>
      <c r="S60" s="763"/>
      <c r="T60" s="763"/>
      <c r="U60" s="763"/>
      <c r="V60" s="763"/>
    </row>
    <row r="61" spans="4:22" x14ac:dyDescent="0.25">
      <c r="D61" s="763"/>
      <c r="E61" s="763"/>
      <c r="F61" s="763"/>
      <c r="G61" s="763">
        <v>80</v>
      </c>
      <c r="H61" s="763">
        <f t="shared" si="1"/>
        <v>10</v>
      </c>
      <c r="I61" s="763"/>
      <c r="J61" s="763"/>
      <c r="K61" s="763"/>
      <c r="L61" s="763"/>
      <c r="M61" s="763"/>
      <c r="N61" s="763"/>
      <c r="O61" s="763"/>
      <c r="P61" s="763"/>
      <c r="Q61" s="763"/>
      <c r="R61" s="763"/>
      <c r="S61" s="763"/>
      <c r="T61" s="763"/>
      <c r="U61" s="763"/>
      <c r="V61" s="763"/>
    </row>
    <row r="62" spans="4:22" x14ac:dyDescent="0.25">
      <c r="D62" s="763"/>
      <c r="E62" s="763"/>
      <c r="F62" s="763"/>
      <c r="G62" s="763">
        <v>70</v>
      </c>
      <c r="H62" s="763">
        <f t="shared" si="1"/>
        <v>-10</v>
      </c>
      <c r="I62" s="763"/>
      <c r="J62" s="763"/>
      <c r="K62" s="763"/>
      <c r="L62" s="763"/>
      <c r="M62" s="763"/>
      <c r="N62" s="763"/>
      <c r="O62" s="763"/>
      <c r="P62" s="763"/>
      <c r="Q62" s="763"/>
      <c r="R62" s="763"/>
      <c r="S62" s="763"/>
      <c r="T62" s="763"/>
      <c r="U62" s="763"/>
      <c r="V62" s="763"/>
    </row>
    <row r="63" spans="4:22" x14ac:dyDescent="0.25">
      <c r="D63" s="763"/>
      <c r="E63" s="763"/>
      <c r="F63" s="763"/>
      <c r="G63" s="763">
        <v>60</v>
      </c>
      <c r="H63" s="763"/>
      <c r="I63" s="763"/>
      <c r="J63" s="763"/>
      <c r="K63" s="763"/>
      <c r="L63" s="763"/>
      <c r="M63" s="763"/>
      <c r="N63" s="763"/>
      <c r="O63" s="763"/>
      <c r="P63" s="763"/>
      <c r="Q63" s="763"/>
      <c r="R63" s="763"/>
      <c r="S63" s="763"/>
      <c r="T63" s="763"/>
      <c r="U63" s="763"/>
      <c r="V63" s="763"/>
    </row>
    <row r="64" spans="4:22" x14ac:dyDescent="0.25">
      <c r="D64" s="763"/>
      <c r="E64" s="763"/>
      <c r="F64" s="763"/>
      <c r="G64" s="763">
        <v>50</v>
      </c>
      <c r="H64" s="763"/>
      <c r="I64" s="763"/>
      <c r="J64" s="763"/>
      <c r="K64" s="763"/>
      <c r="L64" s="763"/>
      <c r="M64" s="763"/>
      <c r="N64" s="763"/>
      <c r="O64" s="763"/>
      <c r="P64" s="763"/>
      <c r="Q64" s="763"/>
      <c r="R64" s="763"/>
      <c r="S64" s="763"/>
      <c r="T64" s="763"/>
      <c r="U64" s="763"/>
      <c r="V64" s="763"/>
    </row>
    <row r="65" spans="4:22" x14ac:dyDescent="0.25">
      <c r="D65" s="763"/>
      <c r="E65" s="763"/>
      <c r="F65" s="763"/>
      <c r="G65" s="763">
        <v>40</v>
      </c>
      <c r="H65" s="763"/>
      <c r="I65" s="763"/>
      <c r="J65" s="763"/>
      <c r="K65" s="763"/>
      <c r="L65" s="763"/>
      <c r="M65" s="763"/>
      <c r="N65" s="763"/>
      <c r="O65" s="763"/>
      <c r="P65" s="763"/>
      <c r="Q65" s="763"/>
      <c r="R65" s="763"/>
      <c r="S65" s="763"/>
      <c r="T65" s="763"/>
      <c r="U65" s="763"/>
      <c r="V65" s="763"/>
    </row>
    <row r="66" spans="4:22" x14ac:dyDescent="0.25">
      <c r="D66" s="763"/>
      <c r="E66" s="763"/>
      <c r="F66" s="763"/>
      <c r="G66" s="763">
        <v>30</v>
      </c>
      <c r="H66" s="763"/>
      <c r="I66" s="763"/>
      <c r="J66" s="763"/>
      <c r="K66" s="763"/>
      <c r="L66" s="763"/>
      <c r="M66" s="763"/>
      <c r="N66" s="763"/>
      <c r="O66" s="763"/>
      <c r="P66" s="763"/>
      <c r="Q66" s="763"/>
      <c r="R66" s="763"/>
      <c r="S66" s="763"/>
      <c r="T66" s="763"/>
      <c r="U66" s="763"/>
      <c r="V66" s="763"/>
    </row>
    <row r="67" spans="4:22" x14ac:dyDescent="0.25">
      <c r="D67" s="763"/>
      <c r="E67" s="763"/>
      <c r="F67" s="763"/>
      <c r="G67" s="763">
        <v>20</v>
      </c>
      <c r="H67" s="763"/>
      <c r="I67" s="763"/>
      <c r="J67" s="763"/>
      <c r="K67" s="763"/>
      <c r="L67" s="763"/>
      <c r="M67" s="763"/>
      <c r="N67" s="763"/>
      <c r="O67" s="763"/>
      <c r="P67" s="763"/>
      <c r="Q67" s="763"/>
      <c r="R67" s="763"/>
      <c r="S67" s="763"/>
      <c r="T67" s="763"/>
      <c r="U67" s="763"/>
      <c r="V67" s="763"/>
    </row>
    <row r="68" spans="4:22" x14ac:dyDescent="0.25">
      <c r="D68" s="763"/>
      <c r="E68" s="763"/>
      <c r="F68" s="763"/>
      <c r="G68" s="763">
        <v>10</v>
      </c>
      <c r="H68" s="763"/>
      <c r="I68" s="763"/>
      <c r="J68" s="763"/>
      <c r="K68" s="763"/>
      <c r="L68" s="763"/>
      <c r="M68" s="763"/>
      <c r="N68" s="763"/>
      <c r="O68" s="763"/>
      <c r="P68" s="763"/>
      <c r="Q68" s="763"/>
      <c r="R68" s="763"/>
      <c r="S68" s="763"/>
      <c r="T68" s="763"/>
      <c r="U68" s="763"/>
      <c r="V68" s="763"/>
    </row>
    <row r="69" spans="4:22" x14ac:dyDescent="0.25">
      <c r="D69" s="763"/>
      <c r="E69" s="763"/>
      <c r="F69" s="763"/>
      <c r="G69" s="763">
        <v>0</v>
      </c>
      <c r="H69" s="763"/>
      <c r="I69" s="763"/>
      <c r="J69" s="763"/>
      <c r="K69" s="763"/>
      <c r="L69" s="763"/>
      <c r="M69" s="763"/>
      <c r="N69" s="763"/>
      <c r="O69" s="763"/>
      <c r="P69" s="763"/>
      <c r="Q69" s="763"/>
      <c r="R69" s="763"/>
      <c r="S69" s="763"/>
      <c r="T69" s="763"/>
      <c r="U69" s="763"/>
      <c r="V69" s="763"/>
    </row>
    <row r="70" spans="4:22" x14ac:dyDescent="0.25">
      <c r="D70" s="763"/>
      <c r="E70" s="763"/>
      <c r="F70" s="763"/>
      <c r="G70" s="763"/>
      <c r="H70" s="763"/>
      <c r="I70" s="763"/>
      <c r="J70" s="763"/>
      <c r="K70" s="763"/>
      <c r="L70" s="763"/>
      <c r="M70" s="763"/>
      <c r="N70" s="763"/>
      <c r="O70" s="763"/>
      <c r="P70" s="763"/>
      <c r="Q70" s="763"/>
      <c r="R70" s="763"/>
      <c r="S70" s="763"/>
      <c r="T70" s="763"/>
      <c r="U70" s="763"/>
      <c r="V70" s="763"/>
    </row>
    <row r="71" spans="4:22" x14ac:dyDescent="0.25">
      <c r="D71" s="763"/>
      <c r="E71" s="763"/>
      <c r="F71" s="763"/>
      <c r="G71" s="763"/>
      <c r="H71" s="763"/>
      <c r="I71" s="763"/>
      <c r="J71" s="763"/>
      <c r="K71" s="763"/>
      <c r="L71" s="763"/>
      <c r="M71" s="763"/>
      <c r="N71" s="763"/>
      <c r="O71" s="763"/>
      <c r="P71" s="763"/>
      <c r="Q71" s="763"/>
      <c r="R71" s="763"/>
      <c r="S71" s="763"/>
      <c r="T71" s="763"/>
      <c r="U71" s="763"/>
      <c r="V71" s="763"/>
    </row>
    <row r="72" spans="4:22" x14ac:dyDescent="0.25">
      <c r="D72" s="763" t="s">
        <v>873</v>
      </c>
      <c r="E72" s="763" t="s">
        <v>2705</v>
      </c>
      <c r="F72" s="763"/>
      <c r="G72" s="763"/>
      <c r="H72" s="763"/>
      <c r="I72" s="763"/>
      <c r="J72" s="763"/>
      <c r="K72" s="763"/>
      <c r="L72" s="763"/>
      <c r="M72" s="763"/>
      <c r="N72" s="763"/>
      <c r="O72" s="763"/>
      <c r="P72" s="763"/>
      <c r="Q72" s="763"/>
      <c r="R72" s="763"/>
      <c r="S72" s="763"/>
      <c r="T72" s="763"/>
      <c r="U72" s="763"/>
      <c r="V72" s="763"/>
    </row>
    <row r="73" spans="4:22" x14ac:dyDescent="0.25">
      <c r="D73" s="763"/>
      <c r="E73" s="763"/>
      <c r="F73" s="763"/>
      <c r="G73" s="763"/>
      <c r="H73" s="763"/>
      <c r="I73" s="763"/>
      <c r="J73" s="763"/>
      <c r="K73" s="763"/>
      <c r="L73" s="763"/>
      <c r="M73" s="763"/>
      <c r="N73" s="763"/>
      <c r="O73" s="763"/>
      <c r="P73" s="763"/>
      <c r="Q73" s="763"/>
      <c r="R73" s="763"/>
      <c r="S73" s="763"/>
      <c r="T73" s="763"/>
      <c r="U73" s="763"/>
      <c r="V73" s="763"/>
    </row>
    <row r="74" spans="4:22" x14ac:dyDescent="0.25">
      <c r="D74" s="763"/>
      <c r="E74" s="763"/>
      <c r="F74" s="763"/>
      <c r="G74" s="763"/>
      <c r="H74" s="763" t="s">
        <v>2704</v>
      </c>
      <c r="I74" s="763"/>
      <c r="J74" s="763"/>
      <c r="K74" s="763"/>
      <c r="L74" s="763"/>
      <c r="M74" s="763"/>
      <c r="N74" s="763"/>
      <c r="O74" s="763"/>
      <c r="P74" s="763"/>
      <c r="Q74" s="763"/>
      <c r="R74" s="763"/>
      <c r="S74" s="763"/>
      <c r="T74" s="763"/>
      <c r="U74" s="763"/>
      <c r="V74" s="763"/>
    </row>
    <row r="75" spans="4:22" x14ac:dyDescent="0.25">
      <c r="D75" s="763"/>
      <c r="E75" s="763"/>
      <c r="F75" s="763"/>
      <c r="G75" s="763"/>
      <c r="H75" s="763"/>
      <c r="I75" s="763"/>
      <c r="J75" s="763"/>
      <c r="K75" s="763"/>
      <c r="L75" s="763"/>
      <c r="M75" s="763"/>
      <c r="N75" s="763"/>
      <c r="O75" s="763"/>
      <c r="P75" s="763"/>
      <c r="Q75" s="763"/>
      <c r="R75" s="763"/>
      <c r="S75" s="763"/>
      <c r="T75" s="763"/>
      <c r="U75" s="763"/>
      <c r="V75" s="763"/>
    </row>
    <row r="76" spans="4:22" x14ac:dyDescent="0.25">
      <c r="D76" s="763"/>
      <c r="E76" s="763"/>
      <c r="F76" s="763"/>
      <c r="G76" s="763"/>
      <c r="H76" s="763"/>
      <c r="I76" s="763"/>
      <c r="J76" s="763"/>
      <c r="K76" s="763"/>
      <c r="L76" s="763"/>
      <c r="M76" s="763"/>
      <c r="N76" s="763"/>
      <c r="O76" s="763"/>
      <c r="P76" s="763"/>
      <c r="Q76" s="763"/>
      <c r="R76" s="763"/>
      <c r="S76" s="763"/>
      <c r="T76" s="763"/>
      <c r="U76" s="763"/>
      <c r="V76" s="763"/>
    </row>
    <row r="77" spans="4:22" x14ac:dyDescent="0.25">
      <c r="D77" s="763"/>
      <c r="E77" s="763"/>
      <c r="F77" s="763" t="s">
        <v>2703</v>
      </c>
      <c r="G77" s="763" t="s">
        <v>2657</v>
      </c>
      <c r="H77" s="763"/>
      <c r="I77" s="763"/>
      <c r="J77" s="763"/>
      <c r="K77" s="763"/>
      <c r="L77" s="763"/>
      <c r="M77" s="763"/>
      <c r="N77" s="763"/>
      <c r="O77" s="763"/>
      <c r="P77" s="763"/>
      <c r="Q77" s="763"/>
      <c r="R77" s="763"/>
      <c r="S77" s="763"/>
      <c r="T77" s="763"/>
      <c r="U77" s="763"/>
      <c r="V77" s="763"/>
    </row>
    <row r="78" spans="4:22" x14ac:dyDescent="0.25">
      <c r="D78" s="763"/>
      <c r="E78" s="763"/>
      <c r="F78" s="763">
        <v>0</v>
      </c>
      <c r="G78" s="763">
        <f t="shared" ref="G78:G93" si="2">150*F78-F78^2</f>
        <v>0</v>
      </c>
      <c r="H78" s="763"/>
      <c r="I78" s="763"/>
      <c r="J78" s="763"/>
      <c r="K78" s="763"/>
      <c r="L78" s="763"/>
      <c r="M78" s="763"/>
      <c r="N78" s="763"/>
      <c r="O78" s="763"/>
      <c r="P78" s="763"/>
      <c r="Q78" s="763"/>
      <c r="R78" s="763"/>
      <c r="S78" s="763" t="s">
        <v>2702</v>
      </c>
      <c r="T78" s="763"/>
      <c r="U78" s="763"/>
      <c r="V78" s="763"/>
    </row>
    <row r="79" spans="4:22" x14ac:dyDescent="0.25">
      <c r="D79" s="763"/>
      <c r="E79" s="763"/>
      <c r="F79" s="763">
        <v>10</v>
      </c>
      <c r="G79" s="763">
        <f t="shared" si="2"/>
        <v>1400</v>
      </c>
      <c r="H79" s="763"/>
      <c r="I79" s="763"/>
      <c r="J79" s="763"/>
      <c r="K79" s="763"/>
      <c r="L79" s="763"/>
      <c r="M79" s="763"/>
      <c r="N79" s="763"/>
      <c r="O79" s="763"/>
      <c r="P79" s="763"/>
      <c r="Q79" s="763"/>
      <c r="R79" s="763"/>
      <c r="S79" s="763"/>
      <c r="T79" s="763"/>
      <c r="U79" s="763"/>
      <c r="V79" s="763"/>
    </row>
    <row r="80" spans="4:22" x14ac:dyDescent="0.25">
      <c r="D80" s="763"/>
      <c r="E80" s="763"/>
      <c r="F80" s="763">
        <v>20</v>
      </c>
      <c r="G80" s="763">
        <f t="shared" si="2"/>
        <v>2600</v>
      </c>
      <c r="H80" s="763"/>
      <c r="I80" s="763"/>
      <c r="J80" s="763"/>
      <c r="K80" s="763"/>
      <c r="L80" s="763"/>
      <c r="M80" s="763"/>
      <c r="N80" s="763"/>
      <c r="O80" s="763"/>
      <c r="P80" s="763"/>
      <c r="Q80" s="763"/>
      <c r="R80" s="763"/>
      <c r="S80" s="763"/>
      <c r="T80" s="763"/>
      <c r="U80" s="763"/>
      <c r="V80" s="763"/>
    </row>
    <row r="81" spans="4:22" x14ac:dyDescent="0.25">
      <c r="D81" s="763"/>
      <c r="E81" s="763"/>
      <c r="F81" s="763">
        <v>30</v>
      </c>
      <c r="G81" s="763">
        <f t="shared" si="2"/>
        <v>3600</v>
      </c>
      <c r="H81" s="763"/>
      <c r="I81" s="763"/>
      <c r="J81" s="763"/>
      <c r="K81" s="763"/>
      <c r="L81" s="763"/>
      <c r="M81" s="763"/>
      <c r="N81" s="763"/>
      <c r="O81" s="763"/>
      <c r="P81" s="763"/>
      <c r="Q81" s="763"/>
      <c r="R81" s="763"/>
      <c r="S81" s="763" t="s">
        <v>2701</v>
      </c>
      <c r="T81" s="763"/>
      <c r="U81" s="763"/>
      <c r="V81" s="763"/>
    </row>
    <row r="82" spans="4:22" x14ac:dyDescent="0.25">
      <c r="D82" s="763"/>
      <c r="E82" s="763"/>
      <c r="F82" s="763">
        <v>40</v>
      </c>
      <c r="G82" s="763">
        <f t="shared" si="2"/>
        <v>4400</v>
      </c>
      <c r="H82" s="763"/>
      <c r="I82" s="763"/>
      <c r="J82" s="763"/>
      <c r="K82" s="763"/>
      <c r="L82" s="763"/>
      <c r="M82" s="763"/>
      <c r="N82" s="763"/>
      <c r="O82" s="763"/>
      <c r="P82" s="763"/>
      <c r="Q82" s="763"/>
      <c r="R82" s="763"/>
      <c r="S82" s="763"/>
      <c r="T82" s="763"/>
      <c r="U82" s="763"/>
      <c r="V82" s="763"/>
    </row>
    <row r="83" spans="4:22" x14ac:dyDescent="0.25">
      <c r="D83" s="763"/>
      <c r="E83" s="763"/>
      <c r="F83" s="763">
        <v>50</v>
      </c>
      <c r="G83" s="763">
        <f t="shared" si="2"/>
        <v>5000</v>
      </c>
      <c r="H83" s="763"/>
      <c r="I83" s="763"/>
      <c r="J83" s="763"/>
      <c r="K83" s="763"/>
      <c r="L83" s="763"/>
      <c r="M83" s="763"/>
      <c r="N83" s="763"/>
      <c r="O83" s="763"/>
      <c r="P83" s="763"/>
      <c r="Q83" s="763"/>
      <c r="R83" s="763"/>
      <c r="S83" s="763"/>
      <c r="T83" s="763"/>
      <c r="U83" s="763"/>
      <c r="V83" s="763"/>
    </row>
    <row r="84" spans="4:22" x14ac:dyDescent="0.25">
      <c r="D84" s="763"/>
      <c r="E84" s="763"/>
      <c r="F84" s="763">
        <v>60</v>
      </c>
      <c r="G84" s="763">
        <f t="shared" si="2"/>
        <v>5400</v>
      </c>
      <c r="H84" s="763"/>
      <c r="I84" s="763"/>
      <c r="J84" s="763"/>
      <c r="K84" s="763"/>
      <c r="L84" s="763"/>
      <c r="M84" s="763"/>
      <c r="N84" s="763"/>
      <c r="O84" s="763"/>
      <c r="P84" s="763"/>
      <c r="Q84" s="763"/>
      <c r="R84" s="763"/>
      <c r="S84" s="763" t="s">
        <v>2700</v>
      </c>
      <c r="T84" s="763"/>
      <c r="U84" s="763"/>
      <c r="V84" s="763"/>
    </row>
    <row r="85" spans="4:22" x14ac:dyDescent="0.25">
      <c r="D85" s="763"/>
      <c r="E85" s="763"/>
      <c r="F85" s="763">
        <v>70</v>
      </c>
      <c r="G85" s="763">
        <f t="shared" si="2"/>
        <v>5600</v>
      </c>
      <c r="H85" s="763"/>
      <c r="I85" s="763"/>
      <c r="J85" s="763"/>
      <c r="K85" s="763"/>
      <c r="L85" s="763"/>
      <c r="M85" s="763"/>
      <c r="N85" s="763"/>
      <c r="O85" s="763"/>
      <c r="P85" s="763"/>
      <c r="Q85" s="763"/>
      <c r="R85" s="763"/>
      <c r="S85" s="763"/>
      <c r="T85" s="763"/>
      <c r="U85" s="763"/>
      <c r="V85" s="763"/>
    </row>
    <row r="86" spans="4:22" x14ac:dyDescent="0.25">
      <c r="D86" s="763"/>
      <c r="E86" s="763"/>
      <c r="F86" s="763">
        <v>80</v>
      </c>
      <c r="G86" s="763">
        <f t="shared" si="2"/>
        <v>5600</v>
      </c>
      <c r="H86" s="763"/>
      <c r="I86" s="763"/>
      <c r="J86" s="763"/>
      <c r="K86" s="763"/>
      <c r="L86" s="763"/>
      <c r="M86" s="763"/>
      <c r="N86" s="763"/>
      <c r="O86" s="763"/>
      <c r="P86" s="763"/>
      <c r="Q86" s="763"/>
      <c r="R86" s="763"/>
      <c r="S86" s="763"/>
      <c r="T86" s="763"/>
      <c r="U86" s="763"/>
      <c r="V86" s="763"/>
    </row>
    <row r="87" spans="4:22" x14ac:dyDescent="0.25">
      <c r="D87" s="763"/>
      <c r="E87" s="763"/>
      <c r="F87" s="763">
        <v>90</v>
      </c>
      <c r="G87" s="763">
        <f t="shared" si="2"/>
        <v>5400</v>
      </c>
      <c r="H87" s="763"/>
      <c r="I87" s="763"/>
      <c r="J87" s="763"/>
      <c r="K87" s="763"/>
      <c r="L87" s="763"/>
      <c r="M87" s="763"/>
      <c r="N87" s="763"/>
      <c r="O87" s="763"/>
      <c r="P87" s="763"/>
      <c r="Q87" s="763"/>
      <c r="R87" s="763"/>
      <c r="S87" s="763"/>
      <c r="T87" s="763"/>
      <c r="U87" s="763"/>
      <c r="V87" s="763"/>
    </row>
    <row r="88" spans="4:22" x14ac:dyDescent="0.25">
      <c r="D88" s="763"/>
      <c r="E88" s="763"/>
      <c r="F88" s="763">
        <v>100</v>
      </c>
      <c r="G88" s="763">
        <f t="shared" si="2"/>
        <v>5000</v>
      </c>
      <c r="H88" s="763"/>
      <c r="I88" s="763"/>
      <c r="J88" s="763"/>
      <c r="K88" s="763"/>
      <c r="L88" s="763"/>
      <c r="M88" s="763"/>
      <c r="N88" s="763"/>
      <c r="O88" s="763"/>
      <c r="P88" s="763"/>
      <c r="Q88" s="763"/>
      <c r="R88" s="763"/>
      <c r="S88" s="763"/>
      <c r="T88" s="763"/>
      <c r="U88" s="763"/>
      <c r="V88" s="763"/>
    </row>
    <row r="89" spans="4:22" x14ac:dyDescent="0.25">
      <c r="D89" s="763"/>
      <c r="E89" s="763"/>
      <c r="F89" s="763">
        <v>110</v>
      </c>
      <c r="G89" s="763">
        <f t="shared" si="2"/>
        <v>4400</v>
      </c>
      <c r="H89" s="763"/>
      <c r="I89" s="763"/>
      <c r="J89" s="763"/>
      <c r="K89" s="763"/>
      <c r="L89" s="763"/>
      <c r="M89" s="763"/>
      <c r="N89" s="763"/>
      <c r="O89" s="763"/>
      <c r="P89" s="763"/>
      <c r="Q89" s="763"/>
      <c r="R89" s="763"/>
      <c r="S89" s="763"/>
      <c r="T89" s="763"/>
      <c r="U89" s="763"/>
      <c r="V89" s="763"/>
    </row>
    <row r="90" spans="4:22" x14ac:dyDescent="0.25">
      <c r="D90" s="763"/>
      <c r="E90" s="763"/>
      <c r="F90" s="763">
        <v>120</v>
      </c>
      <c r="G90" s="763">
        <f t="shared" si="2"/>
        <v>3600</v>
      </c>
      <c r="H90" s="763"/>
      <c r="I90" s="763"/>
      <c r="J90" s="763"/>
      <c r="K90" s="763"/>
      <c r="L90" s="763"/>
      <c r="M90" s="763"/>
      <c r="N90" s="763"/>
      <c r="O90" s="763"/>
      <c r="P90" s="763"/>
      <c r="Q90" s="763"/>
      <c r="R90" s="763"/>
      <c r="S90" s="763"/>
      <c r="T90" s="763"/>
      <c r="U90" s="763"/>
      <c r="V90" s="763"/>
    </row>
    <row r="91" spans="4:22" x14ac:dyDescent="0.25">
      <c r="D91" s="763"/>
      <c r="E91" s="763"/>
      <c r="F91" s="763">
        <v>130</v>
      </c>
      <c r="G91" s="763">
        <f t="shared" si="2"/>
        <v>2600</v>
      </c>
      <c r="H91" s="763"/>
      <c r="I91" s="763"/>
      <c r="J91" s="763"/>
      <c r="K91" s="763"/>
      <c r="L91" s="763"/>
      <c r="M91" s="763"/>
      <c r="N91" s="763"/>
      <c r="O91" s="763"/>
      <c r="P91" s="763"/>
      <c r="Q91" s="763"/>
      <c r="R91" s="763"/>
      <c r="S91" s="763"/>
      <c r="T91" s="763"/>
      <c r="U91" s="763"/>
      <c r="V91" s="763"/>
    </row>
    <row r="92" spans="4:22" x14ac:dyDescent="0.25">
      <c r="D92" s="763"/>
      <c r="E92" s="763"/>
      <c r="F92" s="763">
        <v>140</v>
      </c>
      <c r="G92" s="763">
        <f t="shared" si="2"/>
        <v>1400</v>
      </c>
      <c r="H92" s="763"/>
      <c r="I92" s="763"/>
      <c r="J92" s="763"/>
      <c r="K92" s="763"/>
      <c r="L92" s="763"/>
      <c r="M92" s="763"/>
      <c r="N92" s="763"/>
      <c r="O92" s="763"/>
      <c r="P92" s="763"/>
      <c r="Q92" s="763"/>
      <c r="R92" s="763"/>
      <c r="S92" s="763"/>
      <c r="T92" s="763"/>
      <c r="U92" s="763"/>
      <c r="V92" s="763"/>
    </row>
    <row r="93" spans="4:22" x14ac:dyDescent="0.25">
      <c r="D93" s="763"/>
      <c r="E93" s="763"/>
      <c r="F93" s="763">
        <v>150</v>
      </c>
      <c r="G93" s="763">
        <f t="shared" si="2"/>
        <v>0</v>
      </c>
      <c r="H93" s="763"/>
      <c r="I93" s="763"/>
      <c r="J93" s="763"/>
      <c r="K93" s="763"/>
      <c r="L93" s="763"/>
      <c r="M93" s="763"/>
      <c r="N93" s="763"/>
      <c r="O93" s="763"/>
      <c r="P93" s="763"/>
      <c r="Q93" s="763"/>
      <c r="R93" s="763"/>
      <c r="S93" s="763"/>
      <c r="T93" s="763"/>
      <c r="U93" s="763"/>
      <c r="V93" s="763"/>
    </row>
    <row r="94" spans="4:22" x14ac:dyDescent="0.25">
      <c r="D94" s="763"/>
      <c r="E94" s="763"/>
      <c r="F94" s="763"/>
      <c r="G94" s="763"/>
      <c r="H94" s="763"/>
      <c r="I94" s="763"/>
      <c r="J94" s="763"/>
      <c r="K94" s="763"/>
      <c r="L94" s="763"/>
      <c r="M94" s="763"/>
      <c r="N94" s="763"/>
      <c r="O94" s="763"/>
      <c r="P94" s="763"/>
      <c r="Q94" s="763"/>
      <c r="R94" s="763"/>
      <c r="S94" s="763"/>
      <c r="T94" s="763"/>
      <c r="U94" s="763"/>
      <c r="V94" s="763"/>
    </row>
    <row r="95" spans="4:22" x14ac:dyDescent="0.25">
      <c r="D95" s="763"/>
      <c r="E95" s="763"/>
      <c r="F95" s="763"/>
      <c r="G95" s="763"/>
      <c r="H95" s="763"/>
      <c r="I95" s="763"/>
      <c r="J95" s="763"/>
      <c r="K95" s="763"/>
      <c r="L95" s="763"/>
      <c r="M95" s="763"/>
      <c r="N95" s="763"/>
      <c r="O95" s="763"/>
      <c r="P95" s="763"/>
      <c r="Q95" s="763"/>
      <c r="R95" s="763"/>
      <c r="S95" s="763"/>
      <c r="T95" s="763"/>
      <c r="U95" s="763"/>
      <c r="V95" s="763"/>
    </row>
    <row r="96" spans="4:22" x14ac:dyDescent="0.25">
      <c r="D96" s="763"/>
      <c r="E96" s="763"/>
      <c r="F96" s="763"/>
      <c r="G96" s="763"/>
      <c r="H96" s="763"/>
      <c r="I96" s="763"/>
      <c r="J96" s="763"/>
      <c r="K96" s="763"/>
      <c r="L96" s="763"/>
      <c r="M96" s="763"/>
      <c r="N96" s="763"/>
      <c r="O96" s="763"/>
      <c r="P96" s="763"/>
      <c r="Q96" s="763"/>
      <c r="R96" s="763"/>
      <c r="S96" s="763"/>
      <c r="T96" s="763"/>
      <c r="U96" s="763"/>
      <c r="V96" s="763"/>
    </row>
    <row r="97" spans="4:22" x14ac:dyDescent="0.25">
      <c r="D97" s="763" t="s">
        <v>2699</v>
      </c>
      <c r="E97" s="763" t="s">
        <v>2698</v>
      </c>
      <c r="F97" s="763"/>
      <c r="G97" s="763"/>
      <c r="H97" s="763"/>
      <c r="I97" s="763"/>
      <c r="J97" s="763"/>
      <c r="K97" s="763"/>
      <c r="L97" s="763"/>
      <c r="M97" s="763"/>
      <c r="N97" s="763"/>
      <c r="O97" s="763"/>
      <c r="P97" s="763"/>
      <c r="Q97" s="763"/>
      <c r="R97" s="763"/>
      <c r="S97" s="763"/>
      <c r="T97" s="763"/>
      <c r="U97" s="763"/>
      <c r="V97" s="763"/>
    </row>
    <row r="98" spans="4:22" x14ac:dyDescent="0.25">
      <c r="D98" s="763"/>
      <c r="E98" s="763"/>
      <c r="F98" s="763"/>
      <c r="G98" s="763"/>
      <c r="H98" s="763"/>
      <c r="I98" s="763"/>
      <c r="J98" s="763"/>
      <c r="K98" s="763"/>
      <c r="L98" s="763"/>
      <c r="M98" s="763"/>
      <c r="N98" s="763"/>
      <c r="O98" s="763"/>
      <c r="P98" s="763"/>
      <c r="Q98" s="763"/>
      <c r="R98" s="763"/>
      <c r="S98" s="763"/>
      <c r="T98" s="763"/>
      <c r="U98" s="763"/>
      <c r="V98" s="763"/>
    </row>
    <row r="99" spans="4:22" x14ac:dyDescent="0.25">
      <c r="D99" s="763"/>
      <c r="E99" s="763"/>
      <c r="F99" s="763"/>
      <c r="G99" s="763"/>
      <c r="H99" s="763"/>
      <c r="I99" s="763"/>
      <c r="J99" s="763"/>
      <c r="K99" s="763"/>
      <c r="L99" s="763"/>
      <c r="M99" s="763"/>
      <c r="N99" s="763"/>
      <c r="O99" s="763"/>
      <c r="P99" s="763"/>
      <c r="Q99" s="763"/>
      <c r="R99" s="763"/>
      <c r="S99" s="763"/>
      <c r="T99" s="763"/>
      <c r="U99" s="763"/>
      <c r="V99" s="763"/>
    </row>
    <row r="100" spans="4:22" x14ac:dyDescent="0.25">
      <c r="D100" s="763"/>
      <c r="E100" s="763" t="s">
        <v>2697</v>
      </c>
      <c r="F100" s="763"/>
      <c r="G100" s="763"/>
      <c r="H100" s="763"/>
      <c r="I100" s="763"/>
      <c r="J100" s="763"/>
      <c r="K100" s="763"/>
      <c r="L100" s="763"/>
      <c r="M100" s="763"/>
      <c r="N100" s="763"/>
      <c r="O100" s="763"/>
      <c r="P100" s="763"/>
      <c r="Q100" s="763"/>
      <c r="R100" s="763"/>
      <c r="S100" s="763"/>
      <c r="T100" s="763"/>
      <c r="U100" s="763"/>
      <c r="V100" s="763"/>
    </row>
    <row r="101" spans="4:22" x14ac:dyDescent="0.25">
      <c r="D101" s="763"/>
      <c r="E101" s="763"/>
      <c r="F101" s="763"/>
      <c r="G101" s="763"/>
      <c r="H101" s="763"/>
      <c r="I101" s="763"/>
      <c r="J101" s="763"/>
      <c r="K101" s="763"/>
      <c r="L101" s="763"/>
      <c r="M101" s="763"/>
      <c r="N101" s="763"/>
      <c r="O101" s="763"/>
      <c r="P101" s="763"/>
      <c r="Q101" s="763"/>
      <c r="R101" s="763"/>
      <c r="S101" s="763"/>
      <c r="T101" s="763"/>
      <c r="U101" s="763"/>
      <c r="V101" s="763"/>
    </row>
    <row r="102" spans="4:22" x14ac:dyDescent="0.25">
      <c r="D102" s="763"/>
      <c r="E102" s="763"/>
      <c r="F102" s="763"/>
      <c r="G102" s="763"/>
      <c r="H102" s="763"/>
      <c r="I102" s="763"/>
      <c r="J102" s="763"/>
      <c r="K102" s="763"/>
      <c r="L102" s="763"/>
      <c r="M102" s="763"/>
      <c r="N102" s="763"/>
      <c r="O102" s="763"/>
      <c r="P102" s="763"/>
      <c r="Q102" s="763"/>
      <c r="R102" s="763"/>
      <c r="S102" s="763"/>
      <c r="T102" s="763"/>
      <c r="U102" s="763"/>
      <c r="V102" s="763"/>
    </row>
    <row r="103" spans="4:22" x14ac:dyDescent="0.25">
      <c r="D103" s="763"/>
      <c r="E103" s="763" t="s">
        <v>2696</v>
      </c>
      <c r="F103" s="763"/>
      <c r="G103" s="763"/>
      <c r="H103" s="763"/>
      <c r="I103" s="763"/>
      <c r="J103" s="763"/>
      <c r="K103" s="763"/>
      <c r="L103" s="763"/>
      <c r="M103" s="763"/>
      <c r="N103" s="763"/>
      <c r="O103" s="763"/>
      <c r="P103" s="763"/>
      <c r="Q103" s="763"/>
      <c r="R103" s="763"/>
      <c r="S103" s="763"/>
      <c r="T103" s="763"/>
      <c r="U103" s="763"/>
      <c r="V103" s="763"/>
    </row>
    <row r="104" spans="4:22" x14ac:dyDescent="0.25">
      <c r="D104" s="763"/>
      <c r="E104" s="763"/>
      <c r="F104" s="763"/>
      <c r="G104" s="763"/>
      <c r="H104" s="763"/>
      <c r="I104" s="763"/>
      <c r="J104" s="763"/>
      <c r="K104" s="763"/>
      <c r="L104" s="763"/>
      <c r="M104" s="763"/>
      <c r="N104" s="763"/>
      <c r="O104" s="763"/>
      <c r="P104" s="763"/>
      <c r="Q104" s="763"/>
      <c r="R104" s="763"/>
      <c r="S104" s="763"/>
      <c r="T104" s="763"/>
      <c r="U104" s="763"/>
      <c r="V104" s="763"/>
    </row>
    <row r="105" spans="4:22" x14ac:dyDescent="0.25">
      <c r="D105" s="763"/>
      <c r="E105" s="763" t="s">
        <v>2695</v>
      </c>
      <c r="F105" s="763"/>
      <c r="G105" s="763"/>
      <c r="H105" s="763"/>
      <c r="I105" s="763" t="s">
        <v>2694</v>
      </c>
      <c r="J105" s="763"/>
      <c r="K105" s="763"/>
      <c r="L105" s="763"/>
      <c r="M105" s="763"/>
      <c r="N105" s="763"/>
      <c r="O105" s="763"/>
      <c r="P105" s="763"/>
      <c r="Q105" s="763"/>
      <c r="R105" s="763"/>
      <c r="S105" s="763"/>
      <c r="T105" s="763"/>
      <c r="U105" s="763"/>
      <c r="V105" s="763"/>
    </row>
    <row r="106" spans="4:22" x14ac:dyDescent="0.25">
      <c r="D106" s="763"/>
      <c r="E106" s="763"/>
      <c r="F106" s="763"/>
      <c r="G106" s="763"/>
      <c r="H106" s="763"/>
      <c r="I106" s="763"/>
      <c r="J106" s="763"/>
      <c r="K106" s="763"/>
      <c r="L106" s="763"/>
      <c r="M106" s="763"/>
      <c r="N106" s="763"/>
      <c r="O106" s="763"/>
      <c r="P106" s="763"/>
      <c r="Q106" s="763"/>
      <c r="R106" s="763"/>
      <c r="S106" s="763"/>
      <c r="T106" s="763"/>
      <c r="U106" s="763"/>
      <c r="V106" s="763"/>
    </row>
    <row r="107" spans="4:22" x14ac:dyDescent="0.25">
      <c r="D107" s="763"/>
      <c r="E107" s="763" t="s">
        <v>2693</v>
      </c>
      <c r="F107" s="763"/>
      <c r="G107" s="763"/>
      <c r="H107" s="763"/>
      <c r="I107" s="763" t="s">
        <v>2692</v>
      </c>
      <c r="J107" s="763"/>
      <c r="K107" s="763"/>
      <c r="L107" s="763"/>
      <c r="M107" s="763"/>
      <c r="N107" s="763"/>
      <c r="O107" s="763"/>
      <c r="P107" s="763"/>
      <c r="Q107" s="763"/>
      <c r="R107" s="763"/>
      <c r="S107" s="763"/>
      <c r="T107" s="763"/>
      <c r="U107" s="763"/>
      <c r="V107" s="763"/>
    </row>
    <row r="108" spans="4:22" x14ac:dyDescent="0.25">
      <c r="D108" s="763"/>
      <c r="E108" s="763"/>
      <c r="F108" s="763"/>
      <c r="G108" s="763"/>
      <c r="H108" s="763"/>
      <c r="I108" s="763"/>
      <c r="J108" s="763"/>
      <c r="K108" s="763"/>
      <c r="L108" s="763"/>
      <c r="M108" s="763"/>
      <c r="N108" s="763"/>
      <c r="O108" s="763"/>
      <c r="P108" s="763"/>
      <c r="Q108" s="763"/>
      <c r="R108" s="763"/>
      <c r="S108" s="763"/>
      <c r="T108" s="763"/>
      <c r="U108" s="763"/>
      <c r="V108" s="763"/>
    </row>
    <row r="109" spans="4:22" x14ac:dyDescent="0.25">
      <c r="D109" s="763"/>
      <c r="E109" s="763"/>
      <c r="F109" s="763"/>
      <c r="G109" s="763"/>
      <c r="H109" s="763"/>
      <c r="I109" s="763" t="s">
        <v>2691</v>
      </c>
      <c r="J109" s="763"/>
      <c r="K109" s="763"/>
      <c r="L109" s="763"/>
      <c r="M109" s="763"/>
      <c r="N109" s="763"/>
      <c r="O109" s="763"/>
      <c r="P109" s="763"/>
      <c r="Q109" s="763"/>
      <c r="R109" s="763"/>
      <c r="S109" s="763"/>
      <c r="T109" s="763"/>
      <c r="U109" s="763"/>
      <c r="V109" s="763"/>
    </row>
    <row r="110" spans="4:22" x14ac:dyDescent="0.25">
      <c r="D110" s="763"/>
      <c r="E110" s="763"/>
      <c r="F110" s="763"/>
      <c r="G110" s="763"/>
      <c r="H110" s="763"/>
      <c r="I110" s="763"/>
      <c r="J110" s="763"/>
      <c r="K110" s="763"/>
      <c r="L110" s="763"/>
      <c r="M110" s="763"/>
      <c r="N110" s="763"/>
      <c r="O110" s="763"/>
      <c r="P110" s="763"/>
      <c r="Q110" s="763"/>
      <c r="R110" s="763"/>
      <c r="S110" s="763"/>
      <c r="T110" s="763"/>
      <c r="U110" s="763"/>
      <c r="V110" s="763"/>
    </row>
    <row r="111" spans="4:22" x14ac:dyDescent="0.25">
      <c r="D111" s="763"/>
      <c r="E111" s="763"/>
      <c r="F111" s="763"/>
      <c r="G111" s="763"/>
      <c r="H111" s="763"/>
      <c r="I111" s="763"/>
      <c r="J111" s="763"/>
      <c r="K111" s="763"/>
      <c r="L111" s="763"/>
      <c r="M111" s="763"/>
      <c r="N111" s="763"/>
      <c r="O111" s="763"/>
      <c r="P111" s="763"/>
      <c r="Q111" s="763"/>
      <c r="R111" s="763"/>
      <c r="S111" s="763"/>
      <c r="T111" s="763"/>
      <c r="U111" s="763"/>
      <c r="V111" s="763"/>
    </row>
    <row r="112" spans="4:22" x14ac:dyDescent="0.25">
      <c r="D112" s="763"/>
      <c r="E112" s="763"/>
      <c r="F112" s="763"/>
      <c r="G112" s="763"/>
      <c r="H112" s="763"/>
      <c r="I112" s="763"/>
      <c r="J112" s="763"/>
      <c r="K112" s="763"/>
      <c r="L112" s="763"/>
      <c r="M112" s="763"/>
      <c r="N112" s="763"/>
      <c r="O112" s="763"/>
      <c r="P112" s="763"/>
      <c r="Q112" s="763"/>
      <c r="R112" s="763"/>
      <c r="S112" s="763"/>
      <c r="T112" s="763"/>
      <c r="U112" s="763"/>
      <c r="V112" s="763"/>
    </row>
    <row r="113" spans="4:22" x14ac:dyDescent="0.25">
      <c r="D113" s="763"/>
      <c r="E113" s="763"/>
      <c r="F113" s="763"/>
      <c r="G113" s="763"/>
      <c r="H113" s="763"/>
      <c r="I113" s="763"/>
      <c r="J113" s="763"/>
      <c r="K113" s="763"/>
      <c r="L113" s="763"/>
      <c r="M113" s="763"/>
      <c r="N113" s="763"/>
      <c r="O113" s="763"/>
      <c r="P113" s="763"/>
      <c r="Q113" s="763"/>
      <c r="R113" s="763"/>
      <c r="S113" s="763"/>
      <c r="T113" s="763"/>
      <c r="U113" s="763"/>
      <c r="V113" s="763"/>
    </row>
    <row r="114" spans="4:22" x14ac:dyDescent="0.25">
      <c r="D114" s="763"/>
      <c r="E114" s="763"/>
      <c r="F114" s="763"/>
      <c r="G114" s="763"/>
      <c r="H114" s="763"/>
      <c r="I114" s="763"/>
      <c r="J114" s="763"/>
      <c r="K114" s="763"/>
      <c r="L114" s="763"/>
      <c r="M114" s="763"/>
      <c r="N114" s="763"/>
      <c r="O114" s="763"/>
      <c r="P114" s="763"/>
      <c r="Q114" s="763"/>
      <c r="R114" s="763"/>
      <c r="S114" s="763"/>
      <c r="T114" s="763"/>
      <c r="U114" s="763"/>
      <c r="V114" s="763"/>
    </row>
    <row r="115" spans="4:22" x14ac:dyDescent="0.25">
      <c r="D115" s="763"/>
      <c r="E115" s="763"/>
      <c r="F115" s="763"/>
      <c r="G115" s="763"/>
      <c r="H115" s="763"/>
      <c r="I115" s="763"/>
      <c r="J115" s="763"/>
      <c r="K115" s="763"/>
      <c r="L115" s="763"/>
      <c r="M115" s="763"/>
      <c r="N115" s="763"/>
      <c r="O115" s="763"/>
      <c r="P115" s="763"/>
      <c r="Q115" s="763"/>
      <c r="R115" s="763"/>
      <c r="S115" s="763"/>
      <c r="T115" s="763"/>
      <c r="U115" s="763"/>
      <c r="V115" s="763"/>
    </row>
    <row r="116" spans="4:22" x14ac:dyDescent="0.25">
      <c r="D116" s="763"/>
      <c r="E116" s="763"/>
      <c r="F116" s="763"/>
      <c r="G116" s="763"/>
      <c r="H116" s="763"/>
      <c r="I116" s="763"/>
      <c r="J116" s="763"/>
      <c r="K116" s="763"/>
      <c r="L116" s="763"/>
      <c r="M116" s="763"/>
      <c r="N116" s="763"/>
      <c r="O116" s="763"/>
      <c r="P116" s="763"/>
      <c r="Q116" s="763"/>
      <c r="R116" s="763"/>
      <c r="S116" s="763"/>
      <c r="T116" s="763"/>
      <c r="U116" s="763"/>
      <c r="V116" s="763"/>
    </row>
    <row r="117" spans="4:22" x14ac:dyDescent="0.25">
      <c r="D117" s="763"/>
      <c r="E117" s="763"/>
      <c r="F117" s="763"/>
      <c r="G117" s="763"/>
      <c r="H117" s="763"/>
      <c r="I117" s="763"/>
      <c r="J117" s="763"/>
      <c r="K117" s="763"/>
      <c r="L117" s="763"/>
      <c r="M117" s="763"/>
      <c r="N117" s="763"/>
      <c r="O117" s="763"/>
      <c r="P117" s="763"/>
      <c r="Q117" s="763"/>
      <c r="R117" s="763"/>
      <c r="S117" s="763"/>
      <c r="T117" s="763"/>
      <c r="U117" s="763"/>
      <c r="V117" s="763"/>
    </row>
    <row r="118" spans="4:22" x14ac:dyDescent="0.25">
      <c r="D118" s="763" t="s">
        <v>2690</v>
      </c>
      <c r="E118" s="763" t="s">
        <v>2689</v>
      </c>
      <c r="F118" s="763"/>
      <c r="G118" s="763"/>
      <c r="H118" s="763"/>
      <c r="I118" s="763"/>
      <c r="J118" s="763"/>
      <c r="K118" s="763"/>
      <c r="L118" s="763"/>
      <c r="M118" s="763"/>
      <c r="N118" s="763"/>
      <c r="O118" s="763"/>
      <c r="P118" s="763"/>
      <c r="Q118" s="763"/>
      <c r="R118" s="763"/>
      <c r="S118" s="763"/>
      <c r="T118" s="763"/>
      <c r="U118" s="763"/>
      <c r="V118" s="763"/>
    </row>
    <row r="119" spans="4:22" x14ac:dyDescent="0.25">
      <c r="D119" s="763"/>
      <c r="E119" s="763"/>
      <c r="F119" s="763"/>
      <c r="G119" s="763"/>
      <c r="H119" s="763"/>
      <c r="I119" s="763"/>
      <c r="J119" s="763"/>
      <c r="K119" s="763"/>
      <c r="L119" s="763"/>
      <c r="M119" s="763"/>
      <c r="N119" s="763"/>
      <c r="O119" s="763"/>
      <c r="P119" s="763"/>
      <c r="Q119" s="763"/>
      <c r="R119" s="763"/>
      <c r="S119" s="763"/>
      <c r="T119" s="763"/>
      <c r="U119" s="763"/>
      <c r="V119" s="763"/>
    </row>
    <row r="120" spans="4:22" x14ac:dyDescent="0.25">
      <c r="D120" s="763"/>
      <c r="E120" s="763" t="s">
        <v>2688</v>
      </c>
      <c r="F120" s="763">
        <v>-1</v>
      </c>
      <c r="G120" s="763"/>
      <c r="H120" s="763"/>
      <c r="I120" s="763"/>
      <c r="J120" s="763"/>
      <c r="K120" s="763"/>
      <c r="L120" s="763"/>
      <c r="M120" s="763"/>
      <c r="N120" s="763"/>
      <c r="O120" s="763"/>
      <c r="P120" s="763"/>
      <c r="Q120" s="763"/>
      <c r="R120" s="763"/>
      <c r="S120" s="763"/>
      <c r="T120" s="763"/>
      <c r="U120" s="763"/>
      <c r="V120" s="763"/>
    </row>
    <row r="121" spans="4:22" x14ac:dyDescent="0.25">
      <c r="D121" s="763"/>
      <c r="E121" s="763" t="s">
        <v>2687</v>
      </c>
      <c r="F121" s="766">
        <v>135</v>
      </c>
      <c r="G121" s="763"/>
      <c r="H121" s="763" t="s">
        <v>2686</v>
      </c>
      <c r="I121" s="765">
        <f>-F120*(F121/F122)</f>
        <v>9</v>
      </c>
      <c r="J121" s="763"/>
      <c r="K121" s="763"/>
      <c r="L121" s="763"/>
      <c r="M121" s="763"/>
      <c r="N121" s="763"/>
      <c r="O121" s="763"/>
      <c r="P121" s="763"/>
      <c r="Q121" s="763"/>
      <c r="R121" s="763"/>
      <c r="S121" s="763"/>
      <c r="T121" s="763"/>
      <c r="U121" s="763"/>
      <c r="V121" s="763"/>
    </row>
    <row r="122" spans="4:22" x14ac:dyDescent="0.25">
      <c r="D122" s="763"/>
      <c r="E122" s="763" t="s">
        <v>2685</v>
      </c>
      <c r="F122" s="764">
        <f>150-F121</f>
        <v>15</v>
      </c>
      <c r="G122" s="763"/>
      <c r="H122" s="763"/>
      <c r="I122" s="763"/>
      <c r="J122" s="763"/>
      <c r="K122" s="763"/>
      <c r="L122" s="763"/>
      <c r="M122" s="763"/>
      <c r="N122" s="763"/>
      <c r="O122" s="763"/>
      <c r="P122" s="763"/>
      <c r="Q122" s="763"/>
      <c r="R122" s="763"/>
      <c r="S122" s="763"/>
      <c r="T122" s="763"/>
      <c r="U122" s="763"/>
      <c r="V122" s="763"/>
    </row>
    <row r="123" spans="4:22" x14ac:dyDescent="0.25">
      <c r="D123" s="763"/>
      <c r="E123" s="763"/>
      <c r="F123" s="763"/>
      <c r="G123" s="763"/>
      <c r="H123" s="763"/>
      <c r="I123" s="763"/>
      <c r="J123" s="763"/>
      <c r="K123" s="763"/>
      <c r="L123" s="763"/>
      <c r="M123" s="763"/>
      <c r="N123" s="763"/>
      <c r="O123" s="763"/>
      <c r="P123" s="763"/>
      <c r="Q123" s="763"/>
      <c r="R123" s="763"/>
      <c r="S123" s="763"/>
      <c r="T123" s="763"/>
      <c r="U123" s="763"/>
      <c r="V123" s="763"/>
    </row>
    <row r="124" spans="4:22" x14ac:dyDescent="0.25">
      <c r="D124" s="763"/>
      <c r="E124" s="763"/>
      <c r="F124" s="763"/>
      <c r="G124" s="763"/>
      <c r="H124" s="763"/>
      <c r="I124" s="763"/>
      <c r="J124" s="763"/>
      <c r="K124" s="763"/>
      <c r="L124" s="763"/>
      <c r="M124" s="763"/>
      <c r="N124" s="763"/>
      <c r="O124" s="763"/>
      <c r="P124" s="763"/>
      <c r="Q124" s="763"/>
      <c r="R124" s="763"/>
      <c r="S124" s="763"/>
      <c r="T124" s="763"/>
      <c r="U124" s="763"/>
      <c r="V124" s="763"/>
    </row>
    <row r="125" spans="4:22" x14ac:dyDescent="0.25">
      <c r="D125" s="763"/>
      <c r="E125" s="763" t="s">
        <v>2684</v>
      </c>
      <c r="F125" s="763"/>
      <c r="G125" s="763"/>
      <c r="H125" s="763"/>
      <c r="I125" s="763"/>
      <c r="J125" s="763"/>
      <c r="K125" s="763"/>
      <c r="L125" s="763"/>
      <c r="M125" s="763"/>
      <c r="N125" s="763"/>
      <c r="O125" s="763"/>
      <c r="P125" s="763"/>
      <c r="Q125" s="763"/>
      <c r="R125" s="763"/>
      <c r="S125" s="763"/>
      <c r="T125" s="763"/>
      <c r="U125" s="763"/>
      <c r="V125" s="763"/>
    </row>
    <row r="126" spans="4:22" x14ac:dyDescent="0.25">
      <c r="D126" s="763"/>
      <c r="E126" s="763"/>
      <c r="F126" s="763"/>
      <c r="G126" s="763"/>
      <c r="H126" s="763"/>
      <c r="I126" s="763"/>
      <c r="J126" s="763"/>
      <c r="K126" s="763"/>
      <c r="L126" s="763"/>
      <c r="M126" s="763"/>
      <c r="N126" s="763"/>
      <c r="O126" s="763"/>
      <c r="P126" s="763"/>
      <c r="Q126" s="763"/>
      <c r="R126" s="763"/>
      <c r="S126" s="763"/>
      <c r="T126" s="763"/>
      <c r="U126" s="763"/>
      <c r="V126" s="763"/>
    </row>
  </sheetData>
  <hyperlinks>
    <hyperlink ref="G4" location="Strategi!A1" display="Strategi!A1" xr:uid="{00000000-0004-0000-5400-000000000000}"/>
  </hyperlinks>
  <pageMargins left="0.75" right="0.75" top="1" bottom="1" header="0.5" footer="0.5"/>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rgb="FFFF0000"/>
  </sheetPr>
  <dimension ref="B3:P62"/>
  <sheetViews>
    <sheetView topLeftCell="A157" workbookViewId="0">
      <selection activeCell="C3" sqref="C3"/>
    </sheetView>
  </sheetViews>
  <sheetFormatPr defaultColWidth="10.875" defaultRowHeight="15.75" x14ac:dyDescent="0.25"/>
  <cols>
    <col min="1" max="16384" width="10.875" style="1"/>
  </cols>
  <sheetData>
    <row r="3" spans="2:16" x14ac:dyDescent="0.25">
      <c r="C3" s="101" t="s">
        <v>2188</v>
      </c>
    </row>
    <row r="5" spans="2:16" x14ac:dyDescent="0.25">
      <c r="B5" s="769" t="s">
        <v>2718</v>
      </c>
      <c r="C5" s="769"/>
      <c r="D5" s="769"/>
      <c r="E5" s="769"/>
      <c r="F5" s="769"/>
      <c r="G5" s="769"/>
      <c r="H5" s="769"/>
      <c r="I5" s="769"/>
      <c r="J5" s="769"/>
      <c r="K5" s="769"/>
      <c r="L5" s="769"/>
      <c r="M5" s="769"/>
      <c r="N5" s="769"/>
      <c r="O5" s="769"/>
      <c r="P5" s="769"/>
    </row>
    <row r="6" spans="2:16" x14ac:dyDescent="0.25">
      <c r="B6" s="769"/>
      <c r="C6" s="769"/>
      <c r="D6" s="769"/>
      <c r="E6" s="769"/>
      <c r="F6" s="769"/>
      <c r="G6" s="769"/>
      <c r="H6" s="769"/>
      <c r="I6" s="769"/>
      <c r="J6" s="769"/>
      <c r="K6" s="769"/>
      <c r="L6" s="769"/>
      <c r="M6" s="769"/>
      <c r="N6" s="769"/>
      <c r="O6" s="769"/>
      <c r="P6" s="769"/>
    </row>
    <row r="7" spans="2:16" x14ac:dyDescent="0.25">
      <c r="B7" s="769"/>
      <c r="C7" s="769"/>
      <c r="D7" s="769"/>
      <c r="E7" s="769"/>
      <c r="F7" s="769"/>
      <c r="G7" s="769"/>
      <c r="H7" s="769"/>
      <c r="I7" s="769"/>
      <c r="J7" s="769"/>
      <c r="K7" s="769"/>
      <c r="L7" s="769"/>
      <c r="M7" s="769"/>
      <c r="N7" s="769"/>
      <c r="O7" s="769"/>
      <c r="P7" s="769"/>
    </row>
    <row r="8" spans="2:16" x14ac:dyDescent="0.25">
      <c r="B8" s="769"/>
      <c r="C8" s="769"/>
      <c r="D8" s="769"/>
      <c r="E8" s="769"/>
      <c r="F8" s="769"/>
      <c r="G8" s="769"/>
      <c r="H8" s="769"/>
      <c r="I8" s="769"/>
      <c r="J8" s="769"/>
      <c r="K8" s="769"/>
      <c r="L8" s="769"/>
      <c r="M8" s="769"/>
      <c r="N8" s="769"/>
      <c r="O8" s="769"/>
      <c r="P8" s="769"/>
    </row>
    <row r="9" spans="2:16" x14ac:dyDescent="0.25">
      <c r="B9" s="769"/>
      <c r="C9" s="769"/>
      <c r="D9" s="769"/>
      <c r="E9" s="769"/>
      <c r="F9" s="769"/>
      <c r="G9" s="769"/>
      <c r="H9" s="769"/>
      <c r="I9" s="769"/>
      <c r="J9" s="769"/>
      <c r="K9" s="769"/>
      <c r="L9" s="769"/>
      <c r="M9" s="769"/>
      <c r="N9" s="769"/>
      <c r="O9" s="769"/>
      <c r="P9" s="769"/>
    </row>
    <row r="10" spans="2:16" x14ac:dyDescent="0.25">
      <c r="B10" s="769"/>
      <c r="C10" s="769"/>
      <c r="D10" s="769"/>
      <c r="E10" s="769"/>
      <c r="F10" s="769"/>
      <c r="G10" s="769"/>
      <c r="H10" s="769"/>
      <c r="I10" s="769"/>
      <c r="J10" s="769"/>
      <c r="K10" s="769"/>
      <c r="L10" s="769"/>
      <c r="M10" s="769"/>
      <c r="N10" s="769"/>
      <c r="O10" s="769"/>
      <c r="P10" s="769"/>
    </row>
    <row r="11" spans="2:16" x14ac:dyDescent="0.25">
      <c r="B11" s="769"/>
      <c r="C11" s="769"/>
      <c r="D11" s="769"/>
      <c r="E11" s="769"/>
      <c r="F11" s="769"/>
      <c r="G11" s="769"/>
      <c r="H11" s="769"/>
      <c r="I11" s="769"/>
      <c r="J11" s="769"/>
      <c r="K11" s="769"/>
      <c r="L11" s="769"/>
      <c r="M11" s="769"/>
      <c r="N11" s="769"/>
      <c r="O11" s="769"/>
      <c r="P11" s="769"/>
    </row>
    <row r="12" spans="2:16" x14ac:dyDescent="0.25">
      <c r="B12" s="769"/>
      <c r="C12" s="769"/>
      <c r="D12" s="769"/>
      <c r="E12" s="769"/>
      <c r="F12" s="769"/>
      <c r="G12" s="769"/>
      <c r="H12" s="769"/>
      <c r="I12" s="769"/>
      <c r="J12" s="769"/>
      <c r="K12" s="769"/>
      <c r="L12" s="769"/>
      <c r="M12" s="769"/>
      <c r="N12" s="769"/>
      <c r="O12" s="769"/>
      <c r="P12" s="769"/>
    </row>
    <row r="13" spans="2:16" x14ac:dyDescent="0.25">
      <c r="B13" s="769" t="s">
        <v>849</v>
      </c>
      <c r="C13" s="984" t="s">
        <v>2719</v>
      </c>
      <c r="D13" s="984"/>
      <c r="E13" s="984"/>
      <c r="F13" s="984"/>
      <c r="G13" s="984"/>
      <c r="H13" s="984"/>
      <c r="I13" s="984"/>
      <c r="J13" s="769"/>
      <c r="K13" s="769"/>
      <c r="L13" s="769"/>
      <c r="M13" s="769"/>
      <c r="N13" s="769"/>
      <c r="O13" s="769"/>
      <c r="P13" s="769"/>
    </row>
    <row r="14" spans="2:16" x14ac:dyDescent="0.25">
      <c r="B14" s="769"/>
      <c r="C14" s="769"/>
      <c r="D14" s="769"/>
      <c r="E14" s="769"/>
      <c r="F14" s="769"/>
      <c r="G14" s="769"/>
      <c r="H14" s="769"/>
      <c r="I14" s="769"/>
      <c r="J14" s="769"/>
      <c r="K14" s="769"/>
      <c r="L14" s="769"/>
      <c r="M14" s="769"/>
      <c r="N14" s="769"/>
      <c r="O14" s="769"/>
      <c r="P14" s="769"/>
    </row>
    <row r="15" spans="2:16" x14ac:dyDescent="0.25">
      <c r="B15" s="769"/>
      <c r="C15" s="769" t="s">
        <v>2713</v>
      </c>
      <c r="D15" s="769" t="s">
        <v>2712</v>
      </c>
      <c r="E15" s="769"/>
      <c r="F15" s="769" t="s">
        <v>2675</v>
      </c>
      <c r="G15" s="769" t="s">
        <v>2676</v>
      </c>
      <c r="H15" s="769"/>
      <c r="I15" s="984" t="s">
        <v>2720</v>
      </c>
      <c r="J15" s="984"/>
      <c r="K15" s="769"/>
      <c r="L15" s="769"/>
      <c r="M15" s="769"/>
      <c r="N15" s="769"/>
      <c r="O15" s="769"/>
      <c r="P15" s="769"/>
    </row>
    <row r="16" spans="2:16" x14ac:dyDescent="0.25">
      <c r="B16" s="769" t="s">
        <v>2707</v>
      </c>
      <c r="C16" s="769">
        <v>40</v>
      </c>
      <c r="D16" s="769">
        <v>33.9</v>
      </c>
      <c r="E16" s="769"/>
      <c r="F16" s="769"/>
      <c r="G16" s="769"/>
      <c r="H16" s="769"/>
      <c r="I16" s="769"/>
      <c r="J16" s="769"/>
      <c r="K16" s="769"/>
      <c r="L16" s="769"/>
      <c r="M16" s="769"/>
      <c r="N16" s="769"/>
      <c r="O16" s="769"/>
      <c r="P16" s="769"/>
    </row>
    <row r="17" spans="2:16" x14ac:dyDescent="0.25">
      <c r="B17" s="769" t="s">
        <v>2721</v>
      </c>
      <c r="C17" s="769">
        <v>500</v>
      </c>
      <c r="D17" s="770">
        <v>650</v>
      </c>
      <c r="E17" s="769"/>
      <c r="F17" s="769">
        <v>60.31335953</v>
      </c>
      <c r="G17" s="769">
        <v>-4.0626718999999999E-2</v>
      </c>
      <c r="H17" s="769"/>
      <c r="I17" s="769"/>
      <c r="J17" s="769"/>
      <c r="K17" s="769"/>
      <c r="L17" s="769"/>
      <c r="M17" s="769"/>
      <c r="N17" s="769"/>
      <c r="O17" s="769"/>
      <c r="P17" s="769"/>
    </row>
    <row r="18" spans="2:16" x14ac:dyDescent="0.25">
      <c r="B18" s="769" t="s">
        <v>572</v>
      </c>
      <c r="C18" s="769">
        <v>20000</v>
      </c>
      <c r="D18" s="769">
        <v>22040</v>
      </c>
      <c r="E18" s="769"/>
      <c r="F18" s="769"/>
      <c r="G18" s="769"/>
      <c r="H18" s="769"/>
      <c r="I18" s="769"/>
      <c r="J18" s="769"/>
      <c r="K18" s="769"/>
      <c r="L18" s="769"/>
      <c r="M18" s="769"/>
      <c r="N18" s="769"/>
      <c r="O18" s="769"/>
      <c r="P18" s="769"/>
    </row>
    <row r="19" spans="2:16" x14ac:dyDescent="0.25">
      <c r="B19" s="769"/>
      <c r="C19" s="769"/>
      <c r="D19" s="769"/>
      <c r="E19" s="769"/>
      <c r="F19" s="769"/>
      <c r="G19" s="769"/>
      <c r="H19" s="769"/>
      <c r="I19" s="769"/>
      <c r="J19" s="769"/>
      <c r="K19" s="769"/>
      <c r="L19" s="769"/>
      <c r="M19" s="769"/>
      <c r="N19" s="769"/>
      <c r="O19" s="769"/>
      <c r="P19" s="769"/>
    </row>
    <row r="20" spans="2:16" x14ac:dyDescent="0.25">
      <c r="B20" s="769"/>
      <c r="C20" s="769"/>
      <c r="D20" s="769"/>
      <c r="E20" s="769"/>
      <c r="F20" s="769"/>
      <c r="G20" s="769"/>
      <c r="H20" s="769"/>
      <c r="I20" s="769"/>
      <c r="J20" s="769"/>
      <c r="K20" s="769"/>
      <c r="L20" s="769"/>
      <c r="M20" s="769"/>
      <c r="N20" s="769"/>
      <c r="O20" s="769"/>
      <c r="P20" s="769"/>
    </row>
    <row r="21" spans="2:16" x14ac:dyDescent="0.25">
      <c r="B21" s="769"/>
      <c r="C21" s="769"/>
      <c r="D21" s="769" t="s">
        <v>2721</v>
      </c>
      <c r="E21" s="769" t="s">
        <v>2707</v>
      </c>
      <c r="F21" s="769"/>
      <c r="G21" s="769"/>
      <c r="H21" s="769"/>
      <c r="I21" s="769"/>
      <c r="J21" s="769"/>
      <c r="K21" s="769"/>
      <c r="L21" s="769"/>
      <c r="M21" s="769"/>
      <c r="N21" s="769"/>
      <c r="O21" s="769"/>
      <c r="P21" s="769"/>
    </row>
    <row r="22" spans="2:16" x14ac:dyDescent="0.25">
      <c r="B22" s="769"/>
      <c r="C22" s="769"/>
      <c r="D22" s="769">
        <v>0</v>
      </c>
      <c r="E22" s="769">
        <v>60.31335953</v>
      </c>
      <c r="F22" s="769"/>
      <c r="G22" s="769"/>
      <c r="H22" s="769"/>
      <c r="I22" s="769"/>
      <c r="J22" s="769"/>
      <c r="K22" s="769"/>
      <c r="L22" s="769"/>
      <c r="M22" s="769"/>
      <c r="N22" s="769"/>
      <c r="O22" s="769"/>
      <c r="P22" s="769"/>
    </row>
    <row r="23" spans="2:16" x14ac:dyDescent="0.25">
      <c r="B23" s="769"/>
      <c r="C23" s="769"/>
      <c r="D23" s="769">
        <v>100</v>
      </c>
      <c r="E23" s="769">
        <v>56.250687620000001</v>
      </c>
      <c r="F23" s="769"/>
      <c r="G23" s="769"/>
      <c r="H23" s="769"/>
      <c r="I23" s="769"/>
      <c r="J23" s="769"/>
      <c r="K23" s="769"/>
      <c r="L23" s="769"/>
      <c r="M23" s="769"/>
      <c r="N23" s="769"/>
      <c r="O23" s="769"/>
      <c r="P23" s="769"/>
    </row>
    <row r="24" spans="2:16" x14ac:dyDescent="0.25">
      <c r="B24" s="769"/>
      <c r="C24" s="769"/>
      <c r="D24" s="769">
        <v>200</v>
      </c>
      <c r="E24" s="769">
        <v>52.188015720000003</v>
      </c>
      <c r="F24" s="769"/>
      <c r="G24" s="769"/>
      <c r="H24" s="769"/>
      <c r="I24" s="769"/>
      <c r="J24" s="769"/>
      <c r="K24" s="769"/>
      <c r="L24" s="769"/>
      <c r="M24" s="769"/>
      <c r="N24" s="769"/>
      <c r="O24" s="769"/>
      <c r="P24" s="769"/>
    </row>
    <row r="25" spans="2:16" x14ac:dyDescent="0.25">
      <c r="B25" s="769"/>
      <c r="C25" s="769"/>
      <c r="D25" s="769">
        <v>300</v>
      </c>
      <c r="E25" s="769">
        <v>48.125343809999997</v>
      </c>
      <c r="F25" s="769"/>
      <c r="G25" s="769"/>
      <c r="H25" s="769"/>
      <c r="I25" s="769"/>
      <c r="J25" s="769"/>
      <c r="K25" s="769"/>
      <c r="L25" s="769"/>
      <c r="M25" s="769"/>
      <c r="N25" s="769"/>
      <c r="O25" s="769"/>
      <c r="P25" s="769"/>
    </row>
    <row r="26" spans="2:16" x14ac:dyDescent="0.25">
      <c r="B26" s="769"/>
      <c r="C26" s="769"/>
      <c r="D26" s="769">
        <v>400</v>
      </c>
      <c r="E26" s="769">
        <v>44.062671909999999</v>
      </c>
      <c r="F26" s="769"/>
      <c r="G26" s="769"/>
      <c r="H26" s="772"/>
      <c r="I26" s="771"/>
      <c r="J26" s="771"/>
      <c r="K26" s="769"/>
      <c r="L26" s="769"/>
      <c r="M26" s="769"/>
      <c r="N26" s="769"/>
      <c r="O26" s="769"/>
      <c r="P26" s="769"/>
    </row>
    <row r="27" spans="2:16" x14ac:dyDescent="0.25">
      <c r="B27" s="769"/>
      <c r="C27" s="769"/>
      <c r="D27" s="769">
        <v>500</v>
      </c>
      <c r="E27" s="769">
        <v>40</v>
      </c>
      <c r="F27" s="769"/>
      <c r="G27" s="769"/>
      <c r="H27" s="772"/>
      <c r="I27" s="772"/>
      <c r="J27" s="772"/>
      <c r="K27" s="769"/>
      <c r="L27" s="769"/>
      <c r="M27" s="769"/>
      <c r="N27" s="769"/>
      <c r="O27" s="769"/>
      <c r="P27" s="769"/>
    </row>
    <row r="28" spans="2:16" x14ac:dyDescent="0.25">
      <c r="B28" s="769"/>
      <c r="C28" s="769"/>
      <c r="D28" s="769">
        <v>600</v>
      </c>
      <c r="E28" s="769">
        <v>35.937328090000001</v>
      </c>
      <c r="F28" s="769"/>
      <c r="G28" s="769"/>
      <c r="H28" s="772"/>
      <c r="I28" s="771"/>
      <c r="J28" s="771"/>
      <c r="K28" s="769"/>
      <c r="L28" s="769"/>
      <c r="M28" s="769"/>
      <c r="N28" s="769"/>
      <c r="O28" s="769"/>
      <c r="P28" s="769"/>
    </row>
    <row r="29" spans="2:16" x14ac:dyDescent="0.25">
      <c r="B29" s="769"/>
      <c r="C29" s="769"/>
      <c r="D29" s="769">
        <v>700</v>
      </c>
      <c r="E29" s="769">
        <v>31.87465619</v>
      </c>
      <c r="F29" s="769"/>
      <c r="G29" s="769"/>
      <c r="H29" s="769"/>
      <c r="I29" s="769"/>
      <c r="J29" s="769"/>
      <c r="K29" s="769"/>
      <c r="L29" s="769"/>
      <c r="M29" s="769"/>
      <c r="N29" s="769"/>
      <c r="O29" s="769"/>
      <c r="P29" s="769"/>
    </row>
    <row r="30" spans="2:16" x14ac:dyDescent="0.25">
      <c r="B30" s="769"/>
      <c r="C30" s="769"/>
      <c r="D30" s="769">
        <v>800</v>
      </c>
      <c r="E30" s="769">
        <v>27.811984280000001</v>
      </c>
      <c r="F30" s="769"/>
      <c r="G30" s="769"/>
      <c r="H30" s="769"/>
      <c r="I30" s="769"/>
      <c r="J30" s="769"/>
      <c r="K30" s="769"/>
      <c r="L30" s="769"/>
      <c r="M30" s="769"/>
      <c r="N30" s="769"/>
      <c r="O30" s="769"/>
      <c r="P30" s="769"/>
    </row>
    <row r="31" spans="2:16" x14ac:dyDescent="0.25">
      <c r="B31" s="769"/>
      <c r="C31" s="769"/>
      <c r="D31" s="769">
        <v>900</v>
      </c>
      <c r="E31" s="769">
        <v>23.749312379999999</v>
      </c>
      <c r="F31" s="769"/>
      <c r="G31" s="769"/>
      <c r="H31" s="769"/>
      <c r="I31" s="769"/>
      <c r="J31" s="769"/>
      <c r="K31" s="769"/>
      <c r="L31" s="769"/>
      <c r="M31" s="769"/>
      <c r="N31" s="769"/>
      <c r="O31" s="769"/>
      <c r="P31" s="769"/>
    </row>
    <row r="32" spans="2:16" x14ac:dyDescent="0.25">
      <c r="B32" s="769"/>
      <c r="C32" s="769"/>
      <c r="D32" s="769">
        <v>1000</v>
      </c>
      <c r="E32" s="769">
        <v>19.68664047</v>
      </c>
      <c r="F32" s="769"/>
      <c r="G32" s="769"/>
      <c r="H32" s="769"/>
      <c r="I32" s="769"/>
      <c r="J32" s="769"/>
      <c r="K32" s="769"/>
      <c r="L32" s="769"/>
      <c r="M32" s="769"/>
      <c r="N32" s="769"/>
      <c r="O32" s="769"/>
      <c r="P32" s="769"/>
    </row>
    <row r="33" spans="2:16" x14ac:dyDescent="0.25">
      <c r="B33" s="769"/>
      <c r="C33" s="769"/>
      <c r="D33" s="769">
        <v>1100</v>
      </c>
      <c r="E33" s="769">
        <v>15.623968570000001</v>
      </c>
      <c r="F33" s="769"/>
      <c r="G33" s="769"/>
      <c r="H33" s="769"/>
      <c r="I33" s="769"/>
      <c r="J33" s="769"/>
      <c r="K33" s="769"/>
      <c r="L33" s="769"/>
      <c r="M33" s="769"/>
      <c r="N33" s="769"/>
      <c r="O33" s="769"/>
      <c r="P33" s="769"/>
    </row>
    <row r="34" spans="2:16" x14ac:dyDescent="0.25">
      <c r="B34" s="769"/>
      <c r="C34" s="769"/>
      <c r="D34" s="769">
        <v>1200</v>
      </c>
      <c r="E34" s="769">
        <v>11.56129666</v>
      </c>
      <c r="F34" s="769"/>
      <c r="G34" s="769"/>
      <c r="H34" s="769"/>
      <c r="I34" s="769"/>
      <c r="J34" s="769"/>
      <c r="K34" s="769"/>
      <c r="L34" s="769"/>
      <c r="M34" s="769"/>
      <c r="N34" s="769"/>
      <c r="O34" s="769"/>
      <c r="P34" s="769"/>
    </row>
    <row r="35" spans="2:16" x14ac:dyDescent="0.25">
      <c r="B35" s="769"/>
      <c r="C35" s="769"/>
      <c r="D35" s="769">
        <v>1300</v>
      </c>
      <c r="E35" s="769">
        <v>7.4986247539999997</v>
      </c>
      <c r="F35" s="769"/>
      <c r="G35" s="769"/>
      <c r="H35" s="769"/>
      <c r="I35" s="769"/>
      <c r="J35" s="769"/>
      <c r="K35" s="769"/>
      <c r="L35" s="769"/>
      <c r="M35" s="769"/>
      <c r="N35" s="769"/>
      <c r="O35" s="769"/>
      <c r="P35" s="769"/>
    </row>
    <row r="36" spans="2:16" x14ac:dyDescent="0.25">
      <c r="B36" s="769"/>
      <c r="C36" s="769"/>
      <c r="D36" s="769">
        <v>1400</v>
      </c>
      <c r="E36" s="769">
        <v>3.435952849</v>
      </c>
      <c r="F36" s="769"/>
      <c r="G36" s="769"/>
      <c r="H36" s="769"/>
      <c r="I36" s="769"/>
      <c r="J36" s="769"/>
      <c r="K36" s="769"/>
      <c r="L36" s="769"/>
      <c r="M36" s="769"/>
      <c r="N36" s="769"/>
      <c r="O36" s="769"/>
      <c r="P36" s="769"/>
    </row>
    <row r="37" spans="2:16" x14ac:dyDescent="0.25">
      <c r="B37" s="769"/>
      <c r="C37" s="769"/>
      <c r="D37" s="769">
        <v>1500</v>
      </c>
      <c r="E37" s="769">
        <v>-0.62671905699999997</v>
      </c>
      <c r="F37" s="769"/>
      <c r="G37" s="769"/>
      <c r="H37" s="769"/>
      <c r="I37" s="769"/>
      <c r="J37" s="769"/>
      <c r="K37" s="769"/>
      <c r="L37" s="769"/>
      <c r="M37" s="769"/>
      <c r="N37" s="769"/>
      <c r="O37" s="769"/>
      <c r="P37" s="769"/>
    </row>
    <row r="38" spans="2:16" x14ac:dyDescent="0.25">
      <c r="B38" s="769"/>
      <c r="C38" s="769"/>
      <c r="D38" s="769"/>
      <c r="E38" s="769"/>
      <c r="F38" s="769"/>
      <c r="G38" s="769"/>
      <c r="H38" s="769"/>
      <c r="I38" s="769"/>
      <c r="J38" s="769"/>
      <c r="K38" s="769"/>
      <c r="L38" s="769"/>
      <c r="M38" s="769"/>
      <c r="N38" s="769"/>
      <c r="O38" s="769"/>
      <c r="P38" s="769"/>
    </row>
    <row r="39" spans="2:16" x14ac:dyDescent="0.25">
      <c r="B39" s="769"/>
      <c r="C39" s="769"/>
      <c r="D39" s="769"/>
      <c r="E39" s="769"/>
      <c r="F39" s="769"/>
      <c r="G39" s="769"/>
      <c r="H39" s="769"/>
      <c r="I39" s="769"/>
      <c r="J39" s="769"/>
      <c r="K39" s="769"/>
      <c r="L39" s="769"/>
      <c r="M39" s="769"/>
      <c r="N39" s="769"/>
      <c r="O39" s="769"/>
      <c r="P39" s="769"/>
    </row>
    <row r="40" spans="2:16" x14ac:dyDescent="0.25">
      <c r="B40" s="769"/>
      <c r="C40" s="769"/>
      <c r="D40" s="769"/>
      <c r="E40" s="769"/>
      <c r="F40" s="769"/>
      <c r="G40" s="769"/>
      <c r="H40" s="769"/>
      <c r="I40" s="769"/>
      <c r="J40" s="769"/>
      <c r="K40" s="769"/>
      <c r="L40" s="769"/>
      <c r="M40" s="769"/>
      <c r="N40" s="769"/>
      <c r="O40" s="769"/>
      <c r="P40" s="769"/>
    </row>
    <row r="41" spans="2:16" x14ac:dyDescent="0.25">
      <c r="B41" s="769"/>
      <c r="C41" s="769"/>
      <c r="D41" s="769"/>
      <c r="E41" s="769"/>
      <c r="F41" s="769"/>
      <c r="G41" s="769"/>
      <c r="H41" s="769"/>
      <c r="I41" s="769"/>
      <c r="J41" s="769"/>
      <c r="K41" s="769"/>
      <c r="L41" s="769"/>
      <c r="M41" s="769"/>
      <c r="N41" s="769"/>
      <c r="O41" s="769"/>
      <c r="P41" s="769"/>
    </row>
    <row r="42" spans="2:16" x14ac:dyDescent="0.25">
      <c r="B42" s="769"/>
      <c r="C42" s="769"/>
      <c r="D42" s="769"/>
      <c r="E42" s="769"/>
      <c r="F42" s="769"/>
      <c r="G42" s="769"/>
      <c r="H42" s="769"/>
      <c r="I42" s="769"/>
      <c r="J42" s="769"/>
      <c r="K42" s="769"/>
      <c r="L42" s="769"/>
      <c r="M42" s="769"/>
      <c r="N42" s="769"/>
      <c r="O42" s="769"/>
      <c r="P42" s="769"/>
    </row>
    <row r="43" spans="2:16" x14ac:dyDescent="0.25">
      <c r="B43" s="769"/>
      <c r="C43" s="769"/>
      <c r="D43" s="769"/>
      <c r="E43" s="769"/>
      <c r="F43" s="769"/>
      <c r="G43" s="769"/>
      <c r="H43" s="769"/>
      <c r="I43" s="769"/>
      <c r="J43" s="769"/>
      <c r="K43" s="769"/>
      <c r="L43" s="769"/>
      <c r="M43" s="769"/>
      <c r="N43" s="769"/>
      <c r="O43" s="769"/>
      <c r="P43" s="769"/>
    </row>
    <row r="44" spans="2:16" x14ac:dyDescent="0.25">
      <c r="B44" s="769"/>
      <c r="C44" s="769"/>
      <c r="D44" s="769"/>
      <c r="E44" s="769"/>
      <c r="F44" s="769"/>
      <c r="G44" s="769"/>
      <c r="H44" s="769"/>
      <c r="I44" s="769"/>
      <c r="J44" s="769"/>
      <c r="K44" s="769"/>
      <c r="L44" s="769"/>
      <c r="M44" s="769"/>
      <c r="N44" s="769"/>
      <c r="O44" s="769"/>
      <c r="P44" s="769"/>
    </row>
    <row r="45" spans="2:16" x14ac:dyDescent="0.25">
      <c r="B45" s="769"/>
      <c r="C45" s="769"/>
      <c r="D45" s="769"/>
      <c r="E45" s="769"/>
      <c r="F45" s="769"/>
      <c r="G45" s="769"/>
      <c r="H45" s="769"/>
      <c r="I45" s="769"/>
      <c r="J45" s="769"/>
      <c r="K45" s="769"/>
      <c r="L45" s="769"/>
      <c r="M45" s="769"/>
      <c r="N45" s="769"/>
      <c r="O45" s="769"/>
      <c r="P45" s="769"/>
    </row>
    <row r="46" spans="2:16" x14ac:dyDescent="0.25">
      <c r="B46" s="769" t="s">
        <v>869</v>
      </c>
      <c r="C46" s="984" t="s">
        <v>2722</v>
      </c>
      <c r="D46" s="984"/>
      <c r="E46" s="984"/>
      <c r="F46" s="984"/>
      <c r="G46" s="984"/>
      <c r="H46" s="769"/>
      <c r="I46" s="769"/>
      <c r="J46" s="769"/>
      <c r="K46" s="769"/>
      <c r="L46" s="769"/>
      <c r="M46" s="769"/>
      <c r="N46" s="769"/>
      <c r="O46" s="769"/>
      <c r="P46" s="769"/>
    </row>
    <row r="47" spans="2:16" x14ac:dyDescent="0.25">
      <c r="B47" s="769"/>
      <c r="C47" s="769"/>
      <c r="D47" s="769"/>
      <c r="E47" s="769"/>
      <c r="F47" s="769"/>
      <c r="G47" s="769"/>
      <c r="H47" s="769"/>
      <c r="I47" s="769"/>
      <c r="J47" s="769"/>
      <c r="K47" s="769"/>
      <c r="L47" s="769"/>
      <c r="M47" s="769"/>
      <c r="N47" s="769"/>
      <c r="O47" s="769"/>
      <c r="P47" s="769"/>
    </row>
    <row r="48" spans="2:16" x14ac:dyDescent="0.25">
      <c r="B48" s="769"/>
      <c r="C48" s="769" t="s">
        <v>2688</v>
      </c>
      <c r="D48" s="769">
        <v>-24.614343049999999</v>
      </c>
      <c r="E48" s="769"/>
      <c r="F48" s="769"/>
      <c r="G48" s="769"/>
      <c r="H48" s="769"/>
      <c r="I48" s="769"/>
      <c r="J48" s="769"/>
      <c r="K48" s="769"/>
      <c r="L48" s="769"/>
      <c r="M48" s="769"/>
      <c r="N48" s="769"/>
      <c r="O48" s="769"/>
      <c r="P48" s="769"/>
    </row>
    <row r="49" spans="2:16" x14ac:dyDescent="0.25">
      <c r="B49" s="769"/>
      <c r="C49" s="769" t="s">
        <v>2723</v>
      </c>
      <c r="D49" s="769">
        <v>38</v>
      </c>
      <c r="E49" s="769"/>
      <c r="F49" s="769" t="s">
        <v>2724</v>
      </c>
      <c r="G49" s="769">
        <v>1.70372502</v>
      </c>
      <c r="H49" s="769"/>
      <c r="I49" s="769"/>
      <c r="J49" s="769"/>
      <c r="K49" s="769"/>
      <c r="L49" s="769"/>
      <c r="M49" s="769"/>
      <c r="N49" s="769"/>
      <c r="O49" s="769"/>
      <c r="P49" s="769"/>
    </row>
    <row r="50" spans="2:16" x14ac:dyDescent="0.25">
      <c r="B50" s="769"/>
      <c r="C50" s="769" t="s">
        <v>2725</v>
      </c>
      <c r="D50" s="770">
        <v>549</v>
      </c>
      <c r="E50" s="769"/>
      <c r="F50" s="769"/>
      <c r="G50" s="769"/>
      <c r="H50" s="769"/>
      <c r="I50" s="769"/>
      <c r="J50" s="769"/>
      <c r="K50" s="769"/>
      <c r="L50" s="769"/>
      <c r="M50" s="769"/>
      <c r="N50" s="769"/>
      <c r="O50" s="769"/>
      <c r="P50" s="769"/>
    </row>
    <row r="51" spans="2:16" x14ac:dyDescent="0.25">
      <c r="B51" s="769"/>
      <c r="C51" s="769"/>
      <c r="D51" s="769"/>
      <c r="E51" s="769"/>
      <c r="F51" s="769"/>
      <c r="G51" s="769"/>
      <c r="H51" s="769"/>
      <c r="I51" s="769"/>
      <c r="J51" s="769"/>
      <c r="K51" s="769"/>
      <c r="L51" s="769"/>
      <c r="M51" s="769"/>
      <c r="N51" s="769"/>
      <c r="O51" s="769"/>
      <c r="P51" s="769"/>
    </row>
    <row r="52" spans="2:16" x14ac:dyDescent="0.25">
      <c r="B52" s="769"/>
      <c r="C52" s="769"/>
      <c r="D52" s="769"/>
      <c r="E52" s="769"/>
      <c r="F52" s="769"/>
      <c r="G52" s="769"/>
      <c r="H52" s="769"/>
      <c r="I52" s="769"/>
      <c r="J52" s="769"/>
      <c r="K52" s="769"/>
      <c r="L52" s="769"/>
      <c r="M52" s="769"/>
      <c r="N52" s="769"/>
      <c r="O52" s="769"/>
      <c r="P52" s="769"/>
    </row>
    <row r="53" spans="2:16" x14ac:dyDescent="0.25">
      <c r="B53" s="769"/>
      <c r="C53" s="769"/>
      <c r="D53" s="769"/>
      <c r="E53" s="769"/>
      <c r="F53" s="769"/>
      <c r="G53" s="769"/>
      <c r="H53" s="769"/>
      <c r="I53" s="769"/>
      <c r="J53" s="769"/>
      <c r="K53" s="769"/>
      <c r="L53" s="769"/>
      <c r="M53" s="769"/>
      <c r="N53" s="769"/>
      <c r="O53" s="769"/>
      <c r="P53" s="769"/>
    </row>
    <row r="54" spans="2:16" x14ac:dyDescent="0.25">
      <c r="B54" s="769" t="s">
        <v>873</v>
      </c>
      <c r="C54" s="984" t="s">
        <v>2726</v>
      </c>
      <c r="D54" s="984"/>
      <c r="E54" s="984"/>
      <c r="F54" s="984"/>
      <c r="G54" s="984"/>
      <c r="H54" s="984"/>
      <c r="I54" s="984"/>
      <c r="J54" s="984"/>
      <c r="K54" s="984"/>
      <c r="L54" s="984"/>
      <c r="M54" s="984"/>
      <c r="N54" s="984"/>
      <c r="O54" s="984"/>
      <c r="P54" s="984"/>
    </row>
    <row r="55" spans="2:16" x14ac:dyDescent="0.25">
      <c r="B55" s="769"/>
      <c r="C55" s="769"/>
      <c r="D55" s="769"/>
      <c r="E55" s="769"/>
      <c r="F55" s="769"/>
      <c r="G55" s="769"/>
      <c r="H55" s="769"/>
      <c r="I55" s="769"/>
      <c r="J55" s="769"/>
      <c r="K55" s="769"/>
      <c r="L55" s="769"/>
      <c r="M55" s="769"/>
      <c r="N55" s="769"/>
      <c r="O55" s="769"/>
      <c r="P55" s="769"/>
    </row>
    <row r="56" spans="2:16" x14ac:dyDescent="0.25">
      <c r="B56" s="769"/>
      <c r="C56" s="769"/>
      <c r="D56" s="769"/>
      <c r="E56" s="769"/>
      <c r="F56" s="769"/>
      <c r="G56" s="769"/>
      <c r="H56" s="769"/>
      <c r="I56" s="769"/>
      <c r="J56" s="769"/>
      <c r="K56" s="769"/>
      <c r="L56" s="769"/>
      <c r="M56" s="769"/>
      <c r="N56" s="769"/>
      <c r="O56" s="769"/>
      <c r="P56" s="769"/>
    </row>
    <row r="57" spans="2:16" x14ac:dyDescent="0.25">
      <c r="B57" s="769"/>
      <c r="C57" s="769" t="s">
        <v>2688</v>
      </c>
      <c r="D57" s="769">
        <v>-24.614343049999999</v>
      </c>
      <c r="E57" s="769"/>
      <c r="F57" s="769"/>
      <c r="G57" s="769"/>
      <c r="H57" s="769"/>
      <c r="I57" s="769"/>
      <c r="J57" s="769"/>
      <c r="K57" s="769"/>
      <c r="L57" s="769"/>
      <c r="M57" s="769"/>
      <c r="N57" s="769"/>
      <c r="O57" s="769"/>
      <c r="P57" s="769"/>
    </row>
    <row r="58" spans="2:16" x14ac:dyDescent="0.25">
      <c r="B58" s="769"/>
      <c r="C58" s="769" t="s">
        <v>2723</v>
      </c>
      <c r="D58" s="769">
        <v>50</v>
      </c>
      <c r="E58" s="769"/>
      <c r="F58" s="769">
        <v>2.2417434470000002</v>
      </c>
      <c r="G58" s="769"/>
      <c r="H58" s="984" t="s">
        <v>2727</v>
      </c>
      <c r="I58" s="984"/>
      <c r="J58" s="984"/>
      <c r="K58" s="984"/>
      <c r="L58" s="984"/>
      <c r="M58" s="984"/>
      <c r="N58" s="984"/>
      <c r="O58" s="769"/>
      <c r="P58" s="769"/>
    </row>
    <row r="59" spans="2:16" x14ac:dyDescent="0.25">
      <c r="B59" s="769"/>
      <c r="C59" s="769" t="s">
        <v>2725</v>
      </c>
      <c r="D59" s="769">
        <v>549</v>
      </c>
      <c r="E59" s="769"/>
      <c r="F59" s="769"/>
      <c r="G59" s="769"/>
      <c r="H59" s="769"/>
      <c r="I59" s="769"/>
      <c r="J59" s="769"/>
      <c r="K59" s="769"/>
      <c r="L59" s="769"/>
      <c r="M59" s="769"/>
      <c r="N59" s="769"/>
      <c r="O59" s="769"/>
      <c r="P59" s="769"/>
    </row>
    <row r="60" spans="2:16" x14ac:dyDescent="0.25">
      <c r="B60" s="769"/>
      <c r="C60" s="769"/>
      <c r="D60" s="769"/>
      <c r="E60" s="769"/>
      <c r="F60" s="769"/>
      <c r="G60" s="769"/>
      <c r="H60" s="769"/>
      <c r="I60" s="769"/>
      <c r="J60" s="769"/>
      <c r="K60" s="769"/>
      <c r="L60" s="769"/>
      <c r="M60" s="769"/>
      <c r="N60" s="769"/>
      <c r="O60" s="769"/>
      <c r="P60" s="769"/>
    </row>
    <row r="61" spans="2:16" x14ac:dyDescent="0.25">
      <c r="B61" s="769"/>
      <c r="C61" s="769"/>
      <c r="D61" s="769"/>
      <c r="E61" s="769"/>
      <c r="F61" s="769"/>
      <c r="G61" s="769"/>
      <c r="H61" s="769"/>
      <c r="I61" s="769"/>
      <c r="J61" s="769"/>
      <c r="K61" s="769"/>
      <c r="L61" s="769"/>
      <c r="M61" s="769"/>
      <c r="N61" s="769"/>
      <c r="O61" s="769"/>
      <c r="P61" s="769"/>
    </row>
    <row r="62" spans="2:16" x14ac:dyDescent="0.25">
      <c r="B62" s="769"/>
      <c r="C62" s="769"/>
      <c r="D62" s="769"/>
      <c r="E62" s="769"/>
      <c r="F62" s="769"/>
      <c r="G62" s="769"/>
      <c r="H62" s="769"/>
      <c r="I62" s="769"/>
      <c r="J62" s="769"/>
      <c r="K62" s="769"/>
      <c r="L62" s="769"/>
      <c r="M62" s="769"/>
      <c r="N62" s="769"/>
      <c r="O62" s="769"/>
      <c r="P62" s="769"/>
    </row>
  </sheetData>
  <mergeCells count="5">
    <mergeCell ref="C13:I13"/>
    <mergeCell ref="I15:J15"/>
    <mergeCell ref="C46:G46"/>
    <mergeCell ref="C54:P54"/>
    <mergeCell ref="H58:N58"/>
  </mergeCells>
  <hyperlinks>
    <hyperlink ref="C3" location="Strategi!A1" display="Strategi!A1" xr:uid="{00000000-0004-0000-5500-000000000000}"/>
  </hyperlinks>
  <pageMargins left="0.75" right="0.75" top="1" bottom="1" header="0.5" footer="0.5"/>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rgb="FFFF0000"/>
  </sheetPr>
  <dimension ref="D6:I36"/>
  <sheetViews>
    <sheetView workbookViewId="0">
      <selection activeCell="D6" sqref="D6"/>
    </sheetView>
  </sheetViews>
  <sheetFormatPr defaultColWidth="10.875" defaultRowHeight="15.75" x14ac:dyDescent="0.25"/>
  <cols>
    <col min="1" max="16384" width="10.875" style="1"/>
  </cols>
  <sheetData>
    <row r="6" spans="4:9" x14ac:dyDescent="0.25">
      <c r="D6" s="101" t="s">
        <v>2188</v>
      </c>
    </row>
    <row r="9" spans="4:9" x14ac:dyDescent="0.25">
      <c r="D9" s="1" t="s">
        <v>2743</v>
      </c>
    </row>
    <row r="10" spans="4:9" x14ac:dyDescent="0.25">
      <c r="D10" s="1" t="s">
        <v>2742</v>
      </c>
    </row>
    <row r="13" spans="4:9" x14ac:dyDescent="0.25">
      <c r="D13" s="985" t="s">
        <v>2741</v>
      </c>
      <c r="E13" s="985"/>
      <c r="F13" s="985"/>
      <c r="G13" s="985"/>
      <c r="H13" s="985"/>
      <c r="I13" s="985"/>
    </row>
    <row r="14" spans="4:9" x14ac:dyDescent="0.25">
      <c r="D14" s="985"/>
      <c r="E14" s="985"/>
      <c r="F14" s="985"/>
      <c r="G14" s="985"/>
      <c r="H14" s="985"/>
      <c r="I14" s="985"/>
    </row>
    <row r="15" spans="4:9" x14ac:dyDescent="0.25">
      <c r="D15" s="985"/>
      <c r="E15" s="985"/>
      <c r="F15" s="985"/>
      <c r="G15" s="985"/>
      <c r="H15" s="985"/>
      <c r="I15" s="985"/>
    </row>
    <row r="17" spans="4:9" x14ac:dyDescent="0.25">
      <c r="D17" s="608" t="b">
        <v>0</v>
      </c>
      <c r="E17" s="1" t="s">
        <v>2740</v>
      </c>
    </row>
    <row r="18" spans="4:9" x14ac:dyDescent="0.25">
      <c r="E18" s="1" t="s">
        <v>2739</v>
      </c>
    </row>
    <row r="19" spans="4:9" x14ac:dyDescent="0.25">
      <c r="E19" s="1" t="s">
        <v>2738</v>
      </c>
    </row>
    <row r="20" spans="4:9" x14ac:dyDescent="0.25">
      <c r="E20" s="1" t="s">
        <v>2737</v>
      </c>
    </row>
    <row r="23" spans="4:9" x14ac:dyDescent="0.25">
      <c r="D23" s="985" t="s">
        <v>2736</v>
      </c>
      <c r="E23" s="985"/>
      <c r="F23" s="985"/>
      <c r="G23" s="985"/>
      <c r="H23" s="985"/>
      <c r="I23" s="985"/>
    </row>
    <row r="24" spans="4:9" x14ac:dyDescent="0.25">
      <c r="D24" s="985"/>
      <c r="E24" s="985"/>
      <c r="F24" s="985"/>
      <c r="G24" s="985"/>
      <c r="H24" s="985"/>
      <c r="I24" s="985"/>
    </row>
    <row r="25" spans="4:9" x14ac:dyDescent="0.25">
      <c r="D25" s="608" t="s">
        <v>2735</v>
      </c>
    </row>
    <row r="26" spans="4:9" x14ac:dyDescent="0.25">
      <c r="D26" s="1" t="s">
        <v>2734</v>
      </c>
    </row>
    <row r="27" spans="4:9" x14ac:dyDescent="0.25">
      <c r="E27" s="773"/>
      <c r="F27" s="773"/>
      <c r="G27" s="773"/>
      <c r="H27" s="773"/>
    </row>
    <row r="28" spans="4:9" x14ac:dyDescent="0.25">
      <c r="E28" s="773"/>
      <c r="F28" s="773"/>
      <c r="G28" s="773"/>
      <c r="H28" s="773"/>
    </row>
    <row r="30" spans="4:9" x14ac:dyDescent="0.25">
      <c r="D30" s="985" t="s">
        <v>2733</v>
      </c>
      <c r="E30" s="985"/>
      <c r="F30" s="985"/>
      <c r="G30" s="985"/>
    </row>
    <row r="31" spans="4:9" x14ac:dyDescent="0.25">
      <c r="D31" s="985"/>
      <c r="E31" s="985"/>
      <c r="F31" s="985"/>
      <c r="G31" s="985"/>
    </row>
    <row r="32" spans="4:9" x14ac:dyDescent="0.25">
      <c r="D32" s="608" t="b">
        <v>0</v>
      </c>
    </row>
    <row r="33" spans="4:4" x14ac:dyDescent="0.25">
      <c r="D33" s="1" t="s">
        <v>2732</v>
      </c>
    </row>
    <row r="34" spans="4:4" x14ac:dyDescent="0.25">
      <c r="D34" s="1" t="s">
        <v>2731</v>
      </c>
    </row>
    <row r="36" spans="4:4" x14ac:dyDescent="0.25">
      <c r="D36" s="1" t="s">
        <v>2730</v>
      </c>
    </row>
  </sheetData>
  <mergeCells count="3">
    <mergeCell ref="D13:I15"/>
    <mergeCell ref="D23:I24"/>
    <mergeCell ref="D30:G31"/>
  </mergeCells>
  <hyperlinks>
    <hyperlink ref="D6" location="Strategi!A1" display="Strategi!A1" xr:uid="{00000000-0004-0000-5600-000000000000}"/>
  </hyperlink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rgb="FFFF0000"/>
  </sheetPr>
  <dimension ref="C4:I30"/>
  <sheetViews>
    <sheetView workbookViewId="0">
      <selection activeCell="E4" sqref="E4"/>
    </sheetView>
  </sheetViews>
  <sheetFormatPr defaultColWidth="10.875" defaultRowHeight="15.75" x14ac:dyDescent="0.25"/>
  <cols>
    <col min="1" max="2" width="10.875" style="1"/>
    <col min="3" max="3" width="23.875" style="1" customWidth="1"/>
    <col min="4" max="4" width="23.375" style="1" bestFit="1" customWidth="1"/>
    <col min="5" max="5" width="21.375" style="1" bestFit="1" customWidth="1"/>
    <col min="6" max="6" width="22.375" style="1" bestFit="1" customWidth="1"/>
    <col min="7" max="7" width="15.875" style="1" bestFit="1" customWidth="1"/>
    <col min="8" max="8" width="21.375" style="1" bestFit="1" customWidth="1"/>
    <col min="9" max="9" width="18.125" style="1" bestFit="1" customWidth="1"/>
    <col min="10" max="16384" width="10.875" style="1"/>
  </cols>
  <sheetData>
    <row r="4" spans="3:9" x14ac:dyDescent="0.25">
      <c r="E4" s="101" t="s">
        <v>1220</v>
      </c>
    </row>
    <row r="11" spans="3:9" x14ac:dyDescent="0.25">
      <c r="C11" s="425" t="s">
        <v>2848</v>
      </c>
      <c r="D11" s="36"/>
      <c r="E11" s="170"/>
      <c r="F11" s="36"/>
      <c r="G11" s="36"/>
      <c r="H11" s="36"/>
      <c r="I11" s="36"/>
    </row>
    <row r="12" spans="3:9" x14ac:dyDescent="0.25">
      <c r="C12" s="37" t="s">
        <v>2849</v>
      </c>
      <c r="D12" s="36"/>
      <c r="E12" s="36"/>
      <c r="F12" s="36"/>
      <c r="G12" s="36"/>
      <c r="H12" s="36"/>
      <c r="I12" s="36"/>
    </row>
    <row r="13" spans="3:9" x14ac:dyDescent="0.25">
      <c r="C13" s="36"/>
      <c r="D13" s="986" t="s">
        <v>67</v>
      </c>
      <c r="E13" s="987"/>
      <c r="F13" s="988"/>
      <c r="G13" s="986" t="s">
        <v>68</v>
      </c>
      <c r="H13" s="987"/>
      <c r="I13" s="988"/>
    </row>
    <row r="14" spans="3:9" x14ac:dyDescent="0.25">
      <c r="C14" s="36"/>
      <c r="D14" s="61" t="s">
        <v>248</v>
      </c>
      <c r="E14" s="61" t="s">
        <v>2850</v>
      </c>
      <c r="F14" s="61" t="s">
        <v>2851</v>
      </c>
      <c r="G14" s="61" t="s">
        <v>2852</v>
      </c>
      <c r="H14" s="61" t="s">
        <v>2853</v>
      </c>
      <c r="I14" s="61" t="s">
        <v>2854</v>
      </c>
    </row>
    <row r="15" spans="3:9" x14ac:dyDescent="0.25">
      <c r="C15" s="781" t="s">
        <v>229</v>
      </c>
      <c r="D15" s="782" t="s">
        <v>2855</v>
      </c>
      <c r="E15" s="783" t="s">
        <v>331</v>
      </c>
      <c r="F15" s="784" t="s">
        <v>514</v>
      </c>
      <c r="G15" s="785" t="s">
        <v>2856</v>
      </c>
      <c r="H15" s="786" t="s">
        <v>521</v>
      </c>
      <c r="I15" s="787" t="s">
        <v>2857</v>
      </c>
    </row>
    <row r="16" spans="3:9" x14ac:dyDescent="0.25">
      <c r="C16" s="788" t="s">
        <v>255</v>
      </c>
      <c r="D16" s="789" t="s">
        <v>2858</v>
      </c>
      <c r="E16" s="790" t="s">
        <v>2859</v>
      </c>
      <c r="F16" s="791" t="s">
        <v>2860</v>
      </c>
      <c r="G16" s="792" t="s">
        <v>2861</v>
      </c>
      <c r="H16" s="793" t="s">
        <v>2862</v>
      </c>
      <c r="I16" s="794" t="s">
        <v>281</v>
      </c>
    </row>
    <row r="17" spans="3:9" x14ac:dyDescent="0.25">
      <c r="C17" s="795" t="s">
        <v>2857</v>
      </c>
      <c r="D17" s="792"/>
      <c r="E17" s="796" t="s">
        <v>293</v>
      </c>
      <c r="F17" s="797"/>
      <c r="G17" s="792"/>
      <c r="H17" s="798" t="s">
        <v>2863</v>
      </c>
      <c r="I17" s="792"/>
    </row>
    <row r="18" spans="3:9" x14ac:dyDescent="0.25">
      <c r="C18" s="799" t="s">
        <v>2855</v>
      </c>
      <c r="D18" s="792"/>
      <c r="E18" s="800" t="s">
        <v>2864</v>
      </c>
      <c r="F18" s="797"/>
      <c r="G18" s="792"/>
      <c r="H18" s="801" t="s">
        <v>2865</v>
      </c>
      <c r="I18" s="792"/>
    </row>
    <row r="19" spans="3:9" x14ac:dyDescent="0.25">
      <c r="C19" s="802" t="s">
        <v>293</v>
      </c>
      <c r="D19" s="792"/>
      <c r="E19" s="792"/>
      <c r="F19" s="792"/>
      <c r="G19" s="792"/>
      <c r="H19" s="792"/>
      <c r="I19" s="792"/>
    </row>
    <row r="20" spans="3:9" x14ac:dyDescent="0.25">
      <c r="C20" s="803" t="s">
        <v>2858</v>
      </c>
      <c r="D20" s="792"/>
      <c r="E20" s="792"/>
      <c r="F20" s="792"/>
      <c r="G20" s="792"/>
      <c r="H20" s="792"/>
      <c r="I20" s="792"/>
    </row>
    <row r="21" spans="3:9" x14ac:dyDescent="0.25">
      <c r="C21" s="804" t="s">
        <v>2864</v>
      </c>
      <c r="D21" s="792"/>
      <c r="E21" s="792"/>
      <c r="F21" s="792"/>
      <c r="G21" s="792"/>
      <c r="H21" s="792"/>
      <c r="I21" s="792"/>
    </row>
    <row r="22" spans="3:9" x14ac:dyDescent="0.25">
      <c r="C22" s="805" t="s">
        <v>521</v>
      </c>
      <c r="D22" s="792"/>
      <c r="E22" s="792"/>
      <c r="F22" s="792"/>
      <c r="G22" s="792"/>
      <c r="H22" s="792"/>
      <c r="I22" s="792"/>
    </row>
    <row r="23" spans="3:9" x14ac:dyDescent="0.25">
      <c r="C23" s="806" t="s">
        <v>281</v>
      </c>
      <c r="D23" s="792"/>
      <c r="E23" s="792"/>
      <c r="F23" s="792"/>
      <c r="G23" s="792"/>
      <c r="H23" s="792"/>
      <c r="I23" s="792"/>
    </row>
    <row r="24" spans="3:9" x14ac:dyDescent="0.25">
      <c r="C24" s="807" t="s">
        <v>2856</v>
      </c>
      <c r="D24" s="792"/>
      <c r="E24" s="792"/>
      <c r="F24" s="792"/>
      <c r="G24" s="792"/>
      <c r="H24" s="792"/>
      <c r="I24" s="792"/>
    </row>
    <row r="25" spans="3:9" x14ac:dyDescent="0.25">
      <c r="C25" s="808" t="s">
        <v>2862</v>
      </c>
      <c r="D25" s="792"/>
      <c r="E25" s="792"/>
      <c r="F25" s="792"/>
      <c r="G25" s="792"/>
      <c r="H25" s="792"/>
      <c r="I25" s="792"/>
    </row>
    <row r="26" spans="3:9" x14ac:dyDescent="0.25">
      <c r="C26" s="809" t="s">
        <v>2861</v>
      </c>
      <c r="D26" s="792"/>
      <c r="E26" s="792"/>
      <c r="F26" s="792"/>
      <c r="G26" s="792"/>
      <c r="H26" s="792"/>
      <c r="I26" s="792"/>
    </row>
    <row r="27" spans="3:9" x14ac:dyDescent="0.25">
      <c r="C27" s="810" t="s">
        <v>2863</v>
      </c>
      <c r="D27" s="792"/>
      <c r="E27" s="792"/>
      <c r="F27" s="792"/>
      <c r="G27" s="792"/>
      <c r="H27" s="792"/>
      <c r="I27" s="792"/>
    </row>
    <row r="28" spans="3:9" x14ac:dyDescent="0.25">
      <c r="C28" s="811" t="s">
        <v>2865</v>
      </c>
      <c r="D28" s="792"/>
      <c r="E28" s="792"/>
      <c r="F28" s="792"/>
      <c r="G28" s="792"/>
      <c r="H28" s="792"/>
      <c r="I28" s="792"/>
    </row>
    <row r="29" spans="3:9" x14ac:dyDescent="0.25">
      <c r="C29" s="812" t="s">
        <v>514</v>
      </c>
      <c r="D29" s="792"/>
      <c r="E29" s="792"/>
      <c r="F29" s="792"/>
      <c r="G29" s="792"/>
      <c r="H29" s="792"/>
      <c r="I29" s="792"/>
    </row>
    <row r="30" spans="3:9" x14ac:dyDescent="0.25">
      <c r="C30" s="813" t="s">
        <v>267</v>
      </c>
      <c r="D30" s="814"/>
      <c r="E30" s="814"/>
      <c r="F30" s="814"/>
      <c r="G30" s="814"/>
      <c r="H30" s="814"/>
      <c r="I30" s="814"/>
    </row>
  </sheetData>
  <mergeCells count="2">
    <mergeCell ref="D13:F13"/>
    <mergeCell ref="G13:I13"/>
  </mergeCells>
  <hyperlinks>
    <hyperlink ref="E4" location="Regnskaber!A1" display="Regnskaber!A1" xr:uid="{00000000-0004-0000-5700-000000000000}"/>
  </hyperlink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rgb="FFFF0000"/>
  </sheetPr>
  <dimension ref="D3:Q39"/>
  <sheetViews>
    <sheetView workbookViewId="0">
      <selection activeCell="F3" sqref="F3"/>
    </sheetView>
  </sheetViews>
  <sheetFormatPr defaultColWidth="10.875" defaultRowHeight="15.75" x14ac:dyDescent="0.25"/>
  <cols>
    <col min="1" max="5" width="10.875" style="1"/>
    <col min="6" max="6" width="24.375" style="1" customWidth="1"/>
    <col min="7" max="8" width="10.875" style="1"/>
    <col min="9" max="9" width="27.625" style="1" customWidth="1"/>
    <col min="10" max="16384" width="10.875" style="1"/>
  </cols>
  <sheetData>
    <row r="3" spans="4:17" x14ac:dyDescent="0.25">
      <c r="F3" s="101" t="s">
        <v>1220</v>
      </c>
    </row>
    <row r="7" spans="4:17" x14ac:dyDescent="0.25">
      <c r="D7" s="288" t="s">
        <v>2867</v>
      </c>
      <c r="E7" s="844"/>
      <c r="F7" s="270"/>
      <c r="G7" s="270"/>
      <c r="H7" s="270"/>
      <c r="I7" s="270"/>
      <c r="J7" s="270"/>
      <c r="K7" s="270"/>
      <c r="L7" s="270"/>
      <c r="M7" s="270"/>
      <c r="N7" s="270"/>
      <c r="O7" s="270"/>
      <c r="P7" s="270"/>
      <c r="Q7" s="270"/>
    </row>
    <row r="8" spans="4:17" x14ac:dyDescent="0.25">
      <c r="D8" s="270" t="s">
        <v>2868</v>
      </c>
      <c r="E8" s="270"/>
      <c r="F8" s="270"/>
      <c r="G8" s="270"/>
      <c r="H8" s="270"/>
      <c r="I8" s="270"/>
      <c r="J8" s="270"/>
      <c r="K8" s="270"/>
      <c r="L8" s="270"/>
      <c r="M8" s="270"/>
      <c r="N8" s="270"/>
      <c r="O8" s="270"/>
      <c r="P8" s="270"/>
      <c r="Q8" s="270"/>
    </row>
    <row r="9" spans="4:17" x14ac:dyDescent="0.25">
      <c r="D9" s="270"/>
      <c r="E9" s="270"/>
      <c r="F9" s="270"/>
      <c r="G9" s="270"/>
      <c r="H9" s="270"/>
      <c r="I9" s="270"/>
      <c r="J9" s="270"/>
      <c r="K9" s="270"/>
      <c r="L9" s="270"/>
      <c r="M9" s="270"/>
      <c r="N9" s="270"/>
      <c r="O9" s="270"/>
      <c r="P9" s="270"/>
      <c r="Q9" s="270"/>
    </row>
    <row r="10" spans="4:17" x14ac:dyDescent="0.25">
      <c r="D10" s="816" t="s">
        <v>574</v>
      </c>
      <c r="E10" s="817"/>
      <c r="F10" s="818" t="s">
        <v>582</v>
      </c>
      <c r="G10" s="819"/>
      <c r="H10" s="282"/>
      <c r="I10" s="282" t="s">
        <v>2869</v>
      </c>
      <c r="J10" s="282"/>
      <c r="K10" s="270"/>
      <c r="L10" s="270"/>
      <c r="M10" s="270"/>
      <c r="N10" s="270"/>
      <c r="O10" s="270"/>
      <c r="P10" s="270"/>
      <c r="Q10" s="270"/>
    </row>
    <row r="11" spans="4:17" x14ac:dyDescent="0.25">
      <c r="D11" s="820" t="s">
        <v>637</v>
      </c>
      <c r="E11" s="283">
        <v>25000</v>
      </c>
      <c r="F11" s="820" t="s">
        <v>2870</v>
      </c>
      <c r="G11" s="821">
        <v>42000</v>
      </c>
      <c r="H11" s="822"/>
      <c r="I11" s="822" t="s">
        <v>2871</v>
      </c>
      <c r="J11" s="822"/>
      <c r="K11" s="822"/>
      <c r="L11" s="822"/>
      <c r="M11" s="270"/>
      <c r="N11" s="270"/>
      <c r="O11" s="270"/>
      <c r="P11" s="270"/>
      <c r="Q11" s="270"/>
    </row>
    <row r="12" spans="4:17" ht="31.5" x14ac:dyDescent="0.25">
      <c r="D12" s="820" t="s">
        <v>638</v>
      </c>
      <c r="E12" s="283">
        <v>15000</v>
      </c>
      <c r="F12" s="820" t="s">
        <v>2872</v>
      </c>
      <c r="G12" s="821">
        <v>20000</v>
      </c>
      <c r="H12" s="822"/>
      <c r="I12" s="822" t="s">
        <v>2873</v>
      </c>
      <c r="J12" s="822"/>
      <c r="K12" s="822"/>
      <c r="L12" s="822"/>
      <c r="M12" s="822"/>
      <c r="N12" s="822"/>
      <c r="O12" s="270"/>
      <c r="P12" s="270"/>
      <c r="Q12" s="270"/>
    </row>
    <row r="13" spans="4:17" ht="31.5" x14ac:dyDescent="0.25">
      <c r="D13" s="820" t="s">
        <v>2874</v>
      </c>
      <c r="E13" s="283">
        <v>35000</v>
      </c>
      <c r="F13" s="252" t="s">
        <v>2875</v>
      </c>
      <c r="G13" s="821">
        <v>34000</v>
      </c>
      <c r="H13" s="822"/>
      <c r="I13" s="822" t="s">
        <v>2876</v>
      </c>
      <c r="J13" s="822"/>
      <c r="K13" s="822"/>
      <c r="L13" s="822"/>
      <c r="M13" s="822"/>
      <c r="N13" s="822"/>
      <c r="O13" s="822"/>
      <c r="P13" s="822"/>
      <c r="Q13" s="822"/>
    </row>
    <row r="14" spans="4:17" x14ac:dyDescent="0.25">
      <c r="D14" s="820" t="s">
        <v>2877</v>
      </c>
      <c r="E14" s="283">
        <v>42000</v>
      </c>
      <c r="F14" s="820" t="s">
        <v>2878</v>
      </c>
      <c r="G14" s="821">
        <v>75000</v>
      </c>
      <c r="H14" s="822"/>
      <c r="I14" s="822" t="s">
        <v>2879</v>
      </c>
      <c r="J14" s="822"/>
      <c r="K14" s="270"/>
      <c r="L14" s="270"/>
      <c r="M14" s="270"/>
      <c r="N14" s="270"/>
      <c r="O14" s="270"/>
      <c r="P14" s="270"/>
      <c r="Q14" s="270"/>
    </row>
    <row r="15" spans="4:17" ht="31.5" x14ac:dyDescent="0.25">
      <c r="D15" s="820" t="s">
        <v>2880</v>
      </c>
      <c r="E15" s="283">
        <v>10000</v>
      </c>
      <c r="F15" s="820" t="s">
        <v>2881</v>
      </c>
      <c r="G15" s="821">
        <v>25000</v>
      </c>
      <c r="H15" s="822"/>
      <c r="I15" s="822" t="s">
        <v>2882</v>
      </c>
      <c r="J15" s="822"/>
      <c r="K15" s="822"/>
      <c r="L15" s="822"/>
      <c r="M15" s="822"/>
      <c r="N15" s="822"/>
      <c r="O15" s="822"/>
      <c r="P15" s="822"/>
      <c r="Q15" s="822"/>
    </row>
    <row r="16" spans="4:17" ht="47.25" x14ac:dyDescent="0.25">
      <c r="D16" s="252" t="s">
        <v>2883</v>
      </c>
      <c r="E16" s="283">
        <v>82000</v>
      </c>
      <c r="F16" s="820" t="s">
        <v>2884</v>
      </c>
      <c r="G16" s="821">
        <v>50000</v>
      </c>
      <c r="H16" s="822"/>
      <c r="I16" s="822" t="s">
        <v>2885</v>
      </c>
      <c r="J16" s="822"/>
      <c r="K16" s="822"/>
      <c r="L16" s="822"/>
      <c r="M16" s="822"/>
      <c r="N16" s="270"/>
      <c r="O16" s="270"/>
      <c r="P16" s="270"/>
      <c r="Q16" s="270"/>
    </row>
    <row r="17" spans="4:17" ht="31.5" x14ac:dyDescent="0.25">
      <c r="D17" s="820" t="s">
        <v>2886</v>
      </c>
      <c r="E17" s="283">
        <v>50000</v>
      </c>
      <c r="F17" s="820" t="s">
        <v>911</v>
      </c>
      <c r="G17" s="821">
        <v>13000</v>
      </c>
      <c r="H17" s="822"/>
      <c r="I17" s="822" t="s">
        <v>2887</v>
      </c>
      <c r="J17" s="822"/>
      <c r="K17" s="822"/>
      <c r="L17" s="822"/>
      <c r="M17" s="822"/>
      <c r="N17" s="270"/>
      <c r="O17" s="270"/>
      <c r="P17" s="270"/>
      <c r="Q17" s="270"/>
    </row>
    <row r="18" spans="4:17" ht="31.5" x14ac:dyDescent="0.25">
      <c r="D18" s="816" t="s">
        <v>835</v>
      </c>
      <c r="E18" s="823">
        <v>259000</v>
      </c>
      <c r="F18" s="824" t="s">
        <v>2888</v>
      </c>
      <c r="G18" s="825">
        <v>259000</v>
      </c>
      <c r="H18" s="822"/>
      <c r="I18" s="822"/>
      <c r="J18" s="270"/>
      <c r="K18" s="270"/>
      <c r="L18" s="270"/>
      <c r="M18" s="270"/>
      <c r="N18" s="270"/>
      <c r="O18" s="270"/>
      <c r="P18" s="270"/>
      <c r="Q18" s="270"/>
    </row>
    <row r="19" spans="4:17" x14ac:dyDescent="0.25">
      <c r="D19" s="270" t="s">
        <v>2889</v>
      </c>
      <c r="E19" s="270"/>
      <c r="F19" s="270"/>
      <c r="G19" s="270"/>
      <c r="H19" s="270"/>
      <c r="I19" s="270"/>
      <c r="J19" s="270"/>
      <c r="K19" s="270"/>
      <c r="L19" s="270"/>
      <c r="M19" s="270"/>
      <c r="N19" s="270"/>
      <c r="O19" s="270"/>
      <c r="P19" s="270"/>
      <c r="Q19" s="270"/>
    </row>
    <row r="20" spans="4:17" x14ac:dyDescent="0.25">
      <c r="D20" s="270" t="s">
        <v>2890</v>
      </c>
      <c r="E20" s="270"/>
      <c r="F20" s="270"/>
      <c r="G20" s="270"/>
      <c r="H20" s="270"/>
      <c r="I20" s="270"/>
      <c r="J20" s="270"/>
      <c r="K20" s="270"/>
      <c r="L20" s="270"/>
      <c r="M20" s="270"/>
      <c r="N20" s="270"/>
      <c r="O20" s="270"/>
      <c r="P20" s="270"/>
      <c r="Q20" s="270"/>
    </row>
    <row r="21" spans="4:17" x14ac:dyDescent="0.25">
      <c r="D21" s="288" t="s">
        <v>2891</v>
      </c>
      <c r="E21" s="826">
        <v>63000</v>
      </c>
      <c r="F21" s="288" t="s">
        <v>2892</v>
      </c>
      <c r="G21" s="288"/>
      <c r="H21" s="288"/>
      <c r="I21" s="288"/>
      <c r="J21" s="288"/>
      <c r="K21" s="288"/>
      <c r="L21" s="288"/>
      <c r="M21" s="288"/>
      <c r="N21" s="288"/>
      <c r="O21" s="288"/>
      <c r="P21" s="288"/>
      <c r="Q21" s="288"/>
    </row>
    <row r="22" spans="4:17" ht="19.5" x14ac:dyDescent="0.3">
      <c r="D22" s="270"/>
      <c r="E22" s="270"/>
      <c r="F22" s="270"/>
      <c r="G22" s="270"/>
      <c r="H22" s="270"/>
      <c r="I22" s="270"/>
      <c r="J22" s="270"/>
      <c r="K22" s="277"/>
      <c r="L22" s="277"/>
      <c r="M22" s="270"/>
      <c r="N22" s="270"/>
      <c r="O22" s="270"/>
      <c r="P22" s="270"/>
      <c r="Q22" s="270"/>
    </row>
    <row r="23" spans="4:17" ht="19.5" x14ac:dyDescent="0.3">
      <c r="D23" s="270" t="s">
        <v>2893</v>
      </c>
      <c r="E23" s="270"/>
      <c r="F23" s="270"/>
      <c r="G23" s="270"/>
      <c r="H23" s="270"/>
      <c r="I23" s="270"/>
      <c r="J23" s="270"/>
      <c r="K23" s="277"/>
      <c r="L23" s="277"/>
      <c r="M23" s="270"/>
      <c r="N23" s="270"/>
      <c r="O23" s="270"/>
      <c r="P23" s="270"/>
      <c r="Q23" s="270"/>
    </row>
    <row r="24" spans="4:17" ht="19.5" x14ac:dyDescent="0.3">
      <c r="D24" s="816" t="s">
        <v>574</v>
      </c>
      <c r="E24" s="817"/>
      <c r="F24" s="818" t="s">
        <v>582</v>
      </c>
      <c r="G24" s="819"/>
      <c r="H24" s="270"/>
      <c r="I24" s="270"/>
      <c r="J24" s="270"/>
      <c r="K24" s="277"/>
      <c r="L24" s="277"/>
      <c r="M24" s="270"/>
      <c r="N24" s="270"/>
      <c r="O24" s="270"/>
      <c r="P24" s="270"/>
      <c r="Q24" s="270"/>
    </row>
    <row r="25" spans="4:17" ht="19.5" x14ac:dyDescent="0.3">
      <c r="D25" s="820" t="s">
        <v>637</v>
      </c>
      <c r="E25" s="827">
        <v>25000</v>
      </c>
      <c r="F25" s="820" t="s">
        <v>2870</v>
      </c>
      <c r="G25" s="821">
        <v>42000</v>
      </c>
      <c r="H25" s="270"/>
      <c r="I25" s="270"/>
      <c r="J25" s="270"/>
      <c r="K25" s="277"/>
      <c r="L25" s="277"/>
      <c r="M25" s="270"/>
      <c r="N25" s="270"/>
      <c r="O25" s="270"/>
      <c r="P25" s="270"/>
      <c r="Q25" s="270"/>
    </row>
    <row r="26" spans="4:17" ht="31.5" x14ac:dyDescent="0.3">
      <c r="D26" s="820" t="s">
        <v>638</v>
      </c>
      <c r="E26" s="827">
        <v>19000</v>
      </c>
      <c r="F26" s="820" t="s">
        <v>2872</v>
      </c>
      <c r="G26" s="821">
        <v>20000</v>
      </c>
      <c r="H26" s="270"/>
      <c r="I26" s="270"/>
      <c r="J26" s="270"/>
      <c r="K26" s="277"/>
      <c r="L26" s="277"/>
      <c r="M26" s="270"/>
      <c r="N26" s="270"/>
      <c r="O26" s="270"/>
      <c r="P26" s="270"/>
      <c r="Q26" s="270"/>
    </row>
    <row r="27" spans="4:17" ht="31.5" x14ac:dyDescent="0.3">
      <c r="D27" s="820" t="s">
        <v>2874</v>
      </c>
      <c r="E27" s="827">
        <v>25000</v>
      </c>
      <c r="F27" s="252" t="s">
        <v>2875</v>
      </c>
      <c r="G27" s="821">
        <v>34000</v>
      </c>
      <c r="H27" s="270"/>
      <c r="I27" s="270"/>
      <c r="J27" s="270"/>
      <c r="K27" s="277"/>
      <c r="L27" s="277"/>
      <c r="M27" s="270"/>
      <c r="N27" s="270"/>
      <c r="O27" s="270"/>
      <c r="P27" s="270"/>
      <c r="Q27" s="270"/>
    </row>
    <row r="28" spans="4:17" ht="19.5" x14ac:dyDescent="0.3">
      <c r="D28" s="820" t="s">
        <v>2877</v>
      </c>
      <c r="E28" s="827">
        <v>33000</v>
      </c>
      <c r="F28" s="820" t="s">
        <v>2878</v>
      </c>
      <c r="G28" s="821">
        <v>75000</v>
      </c>
      <c r="H28" s="270"/>
      <c r="I28" s="270"/>
      <c r="J28" s="270"/>
      <c r="K28" s="277"/>
      <c r="L28" s="277"/>
      <c r="M28" s="270"/>
      <c r="N28" s="270"/>
      <c r="O28" s="270"/>
      <c r="P28" s="270"/>
      <c r="Q28" s="270"/>
    </row>
    <row r="29" spans="4:17" ht="31.5" x14ac:dyDescent="0.3">
      <c r="D29" s="820" t="s">
        <v>2880</v>
      </c>
      <c r="E29" s="283"/>
      <c r="F29" s="820" t="s">
        <v>2881</v>
      </c>
      <c r="G29" s="821">
        <v>25000</v>
      </c>
      <c r="H29" s="270"/>
      <c r="I29" s="270"/>
      <c r="J29" s="270"/>
      <c r="K29" s="277"/>
      <c r="L29" s="277"/>
      <c r="M29" s="270"/>
      <c r="N29" s="270"/>
      <c r="O29" s="270"/>
      <c r="P29" s="270"/>
      <c r="Q29" s="270"/>
    </row>
    <row r="30" spans="4:17" ht="47.25" x14ac:dyDescent="0.3">
      <c r="D30" s="252" t="s">
        <v>2883</v>
      </c>
      <c r="E30" s="827">
        <v>100000</v>
      </c>
      <c r="F30" s="820" t="s">
        <v>2884</v>
      </c>
      <c r="G30" s="821">
        <v>50000</v>
      </c>
      <c r="H30" s="270"/>
      <c r="I30" s="270"/>
      <c r="J30" s="270"/>
      <c r="K30" s="277"/>
      <c r="L30" s="277"/>
      <c r="M30" s="270"/>
      <c r="N30" s="270"/>
      <c r="O30" s="270"/>
      <c r="P30" s="270"/>
      <c r="Q30" s="270"/>
    </row>
    <row r="31" spans="4:17" ht="31.5" x14ac:dyDescent="0.3">
      <c r="D31" s="820" t="s">
        <v>2886</v>
      </c>
      <c r="E31" s="283"/>
      <c r="F31" s="820" t="s">
        <v>911</v>
      </c>
      <c r="G31" s="821">
        <v>13000</v>
      </c>
      <c r="H31" s="270"/>
      <c r="I31" s="270"/>
      <c r="J31" s="270"/>
      <c r="K31" s="277"/>
      <c r="L31" s="277"/>
      <c r="M31" s="270"/>
      <c r="N31" s="270"/>
      <c r="O31" s="270"/>
      <c r="P31" s="270"/>
      <c r="Q31" s="270"/>
    </row>
    <row r="32" spans="4:17" ht="31.5" x14ac:dyDescent="0.3">
      <c r="D32" s="816" t="s">
        <v>835</v>
      </c>
      <c r="E32" s="823">
        <v>202000</v>
      </c>
      <c r="F32" s="824" t="s">
        <v>2888</v>
      </c>
      <c r="G32" s="825">
        <v>259000</v>
      </c>
      <c r="H32" s="270"/>
      <c r="I32" s="270"/>
      <c r="J32" s="270"/>
      <c r="K32" s="277"/>
      <c r="L32" s="277"/>
      <c r="M32" s="270"/>
      <c r="N32" s="270"/>
      <c r="O32" s="270"/>
      <c r="P32" s="270"/>
      <c r="Q32" s="270"/>
    </row>
    <row r="33" spans="4:17" ht="19.5" x14ac:dyDescent="0.3">
      <c r="D33" s="270"/>
      <c r="E33" s="270"/>
      <c r="F33" s="270"/>
      <c r="G33" s="270"/>
      <c r="H33" s="270"/>
      <c r="I33" s="270"/>
      <c r="J33" s="270"/>
      <c r="K33" s="277"/>
      <c r="L33" s="277"/>
      <c r="M33" s="270"/>
      <c r="N33" s="270"/>
      <c r="O33" s="270"/>
      <c r="P33" s="270"/>
      <c r="Q33" s="270"/>
    </row>
    <row r="34" spans="4:17" ht="19.5" x14ac:dyDescent="0.3">
      <c r="D34" s="288" t="s">
        <v>2894</v>
      </c>
      <c r="E34" s="288"/>
      <c r="F34" s="288"/>
      <c r="G34" s="828">
        <v>6000</v>
      </c>
      <c r="H34" s="270"/>
      <c r="I34" s="270"/>
      <c r="J34" s="270"/>
      <c r="K34" s="277"/>
      <c r="L34" s="277"/>
      <c r="M34" s="270"/>
      <c r="N34" s="270"/>
      <c r="O34" s="270"/>
      <c r="P34" s="270"/>
      <c r="Q34" s="270"/>
    </row>
    <row r="35" spans="4:17" ht="19.5" x14ac:dyDescent="0.3">
      <c r="D35" s="270"/>
      <c r="E35" s="270"/>
      <c r="F35" s="270"/>
      <c r="G35" s="270"/>
      <c r="H35" s="270"/>
      <c r="I35" s="270"/>
      <c r="J35" s="270"/>
      <c r="K35" s="277"/>
      <c r="L35" s="277"/>
      <c r="M35" s="270"/>
      <c r="N35" s="270"/>
      <c r="O35" s="270"/>
      <c r="P35" s="270"/>
      <c r="Q35" s="270"/>
    </row>
    <row r="36" spans="4:17" x14ac:dyDescent="0.25">
      <c r="D36" s="270" t="s">
        <v>2895</v>
      </c>
      <c r="E36" s="270"/>
      <c r="F36" s="270"/>
      <c r="G36" s="270"/>
      <c r="H36" s="270"/>
      <c r="I36" s="270"/>
      <c r="J36" s="270"/>
      <c r="K36" s="270"/>
      <c r="L36" s="270"/>
      <c r="M36" s="270"/>
      <c r="N36" s="270"/>
      <c r="O36" s="270"/>
      <c r="P36" s="270"/>
      <c r="Q36" s="270"/>
    </row>
    <row r="37" spans="4:17" ht="19.5" x14ac:dyDescent="0.3">
      <c r="D37" s="270" t="s">
        <v>2896</v>
      </c>
      <c r="E37" s="270"/>
      <c r="F37" s="270"/>
      <c r="G37" s="270"/>
      <c r="H37" s="270"/>
      <c r="I37" s="270"/>
      <c r="J37" s="270"/>
      <c r="K37" s="277"/>
      <c r="L37" s="277"/>
      <c r="M37" s="270"/>
      <c r="N37" s="270"/>
      <c r="O37" s="270"/>
      <c r="P37" s="270"/>
      <c r="Q37" s="270"/>
    </row>
    <row r="38" spans="4:17" ht="19.5" x14ac:dyDescent="0.3">
      <c r="D38" s="270"/>
      <c r="E38" s="288" t="s">
        <v>2897</v>
      </c>
      <c r="F38" s="288"/>
      <c r="G38" s="288"/>
      <c r="H38" s="288"/>
      <c r="I38" s="288"/>
      <c r="J38" s="288"/>
      <c r="K38" s="288"/>
      <c r="L38" s="277"/>
      <c r="M38" s="270"/>
      <c r="N38" s="270"/>
      <c r="O38" s="270"/>
      <c r="P38" s="270"/>
      <c r="Q38" s="270"/>
    </row>
    <row r="39" spans="4:17" ht="19.5" x14ac:dyDescent="0.3">
      <c r="D39" s="270"/>
      <c r="E39" s="270"/>
      <c r="F39" s="270"/>
      <c r="G39" s="270"/>
      <c r="H39" s="270"/>
      <c r="I39" s="270"/>
      <c r="J39" s="270"/>
      <c r="K39" s="277"/>
      <c r="L39" s="277"/>
      <c r="M39" s="270"/>
      <c r="N39" s="270"/>
      <c r="O39" s="270"/>
      <c r="P39" s="270"/>
      <c r="Q39" s="270"/>
    </row>
  </sheetData>
  <hyperlinks>
    <hyperlink ref="F3" location="Regnskaber!A1" display="Regnskaber!A1" xr:uid="{00000000-0004-0000-5800-000000000000}"/>
  </hyperlink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rgb="FFFF0000"/>
  </sheetPr>
  <dimension ref="A1:Z114"/>
  <sheetViews>
    <sheetView topLeftCell="A40" workbookViewId="0">
      <selection activeCell="O107" sqref="O107"/>
    </sheetView>
  </sheetViews>
  <sheetFormatPr defaultColWidth="10.875" defaultRowHeight="15.75" x14ac:dyDescent="0.25"/>
  <cols>
    <col min="1" max="2" width="10.875" style="1"/>
    <col min="3" max="3" width="29.125" style="1" customWidth="1"/>
    <col min="4" max="4" width="16.875" style="1" customWidth="1"/>
    <col min="5" max="5" width="26.375" style="1" bestFit="1" customWidth="1"/>
    <col min="6" max="16384" width="10.875" style="1"/>
  </cols>
  <sheetData>
    <row r="1" spans="1:11" x14ac:dyDescent="0.25">
      <c r="A1" s="278"/>
    </row>
    <row r="2" spans="1:11" x14ac:dyDescent="0.25">
      <c r="D2" s="101" t="s">
        <v>2188</v>
      </c>
    </row>
    <row r="5" spans="1:11" x14ac:dyDescent="0.25">
      <c r="C5" s="425" t="s">
        <v>2683</v>
      </c>
      <c r="D5" s="36"/>
      <c r="E5" s="172"/>
      <c r="F5" s="36"/>
      <c r="G5" s="36"/>
      <c r="H5" s="36"/>
      <c r="I5" s="36"/>
      <c r="J5" s="36"/>
      <c r="K5" s="36"/>
    </row>
    <row r="6" spans="1:11" x14ac:dyDescent="0.25">
      <c r="C6" s="981" t="s">
        <v>2682</v>
      </c>
      <c r="D6" s="981"/>
      <c r="E6" s="981"/>
      <c r="F6" s="981"/>
      <c r="G6" s="981"/>
      <c r="H6" s="981"/>
      <c r="I6" s="16"/>
      <c r="J6" s="16"/>
      <c r="K6" s="16"/>
    </row>
    <row r="7" spans="1:11" x14ac:dyDescent="0.25">
      <c r="C7" s="37"/>
      <c r="D7" s="36"/>
      <c r="E7" s="36"/>
      <c r="F7" s="16"/>
      <c r="G7" s="16"/>
      <c r="H7" s="16"/>
      <c r="I7" s="16"/>
      <c r="J7" s="16"/>
      <c r="K7" s="16"/>
    </row>
    <row r="8" spans="1:11" x14ac:dyDescent="0.25">
      <c r="C8" s="411"/>
      <c r="D8" s="61" t="s">
        <v>2681</v>
      </c>
      <c r="E8" s="61" t="s">
        <v>2680</v>
      </c>
      <c r="F8" s="983" t="s">
        <v>2679</v>
      </c>
      <c r="G8" s="978"/>
      <c r="H8" s="978" t="s">
        <v>2678</v>
      </c>
      <c r="I8" s="978"/>
      <c r="J8" s="978" t="s">
        <v>2659</v>
      </c>
      <c r="K8" s="978"/>
    </row>
    <row r="9" spans="1:11" x14ac:dyDescent="0.25">
      <c r="C9" s="411" t="s">
        <v>2677</v>
      </c>
      <c r="D9" s="421">
        <v>30</v>
      </c>
      <c r="E9" s="421">
        <v>25</v>
      </c>
      <c r="F9" s="16" t="s">
        <v>2676</v>
      </c>
      <c r="G9" s="16" t="s">
        <v>2675</v>
      </c>
      <c r="H9" s="16" t="s">
        <v>2676</v>
      </c>
      <c r="I9" s="16" t="s">
        <v>2675</v>
      </c>
      <c r="J9" s="16" t="s">
        <v>2676</v>
      </c>
      <c r="K9" s="16" t="s">
        <v>2675</v>
      </c>
    </row>
    <row r="10" spans="1:11" x14ac:dyDescent="0.25">
      <c r="C10" s="411" t="s">
        <v>2648</v>
      </c>
      <c r="D10" s="411">
        <v>500</v>
      </c>
      <c r="E10" s="411">
        <v>800</v>
      </c>
      <c r="F10" s="16">
        <f>SLOPE(D11:E11,D10:E10)</f>
        <v>6</v>
      </c>
      <c r="G10" s="16">
        <f>INTERCEPT(D11:E11,D10:E10)</f>
        <v>2000</v>
      </c>
      <c r="H10" s="16">
        <f>SLOPE(D10:E10,D9:E9)</f>
        <v>-60</v>
      </c>
      <c r="I10" s="16">
        <f>INTERCEPT(D10:E10,D9:E9)</f>
        <v>2300</v>
      </c>
      <c r="J10" s="16">
        <f>SLOPE(D9:E9,D10:E10)</f>
        <v>-1.6666666666666666E-2</v>
      </c>
      <c r="K10" s="16">
        <f>INTERCEPT(D9:E9,D10:E10)</f>
        <v>38.333333333333336</v>
      </c>
    </row>
    <row r="11" spans="1:11" x14ac:dyDescent="0.25">
      <c r="C11" s="411" t="s">
        <v>2674</v>
      </c>
      <c r="D11" s="411">
        <f>D10*10</f>
        <v>5000</v>
      </c>
      <c r="E11" s="411">
        <f>E10*8.5</f>
        <v>6800</v>
      </c>
      <c r="F11" s="16"/>
      <c r="G11" s="16"/>
      <c r="H11" s="16"/>
      <c r="I11" s="16"/>
      <c r="J11" s="16"/>
      <c r="K11" s="16"/>
    </row>
    <row r="12" spans="1:11" x14ac:dyDescent="0.25">
      <c r="C12" s="36"/>
      <c r="D12" s="36"/>
      <c r="E12" s="36"/>
      <c r="F12" s="19"/>
      <c r="G12" s="19"/>
      <c r="H12" s="19"/>
      <c r="I12" s="19"/>
      <c r="J12" s="19"/>
      <c r="K12" s="16"/>
    </row>
    <row r="13" spans="1:11" x14ac:dyDescent="0.25">
      <c r="C13" s="37" t="s">
        <v>2673</v>
      </c>
      <c r="D13" s="36" t="s">
        <v>2672</v>
      </c>
      <c r="E13" s="36"/>
      <c r="F13" s="19"/>
      <c r="G13" s="19"/>
      <c r="H13" s="19"/>
      <c r="I13" s="19"/>
      <c r="J13" s="19"/>
      <c r="K13" s="36"/>
    </row>
    <row r="14" spans="1:11" x14ac:dyDescent="0.25">
      <c r="C14" s="37"/>
      <c r="D14" s="36"/>
      <c r="E14" s="36"/>
      <c r="F14" s="19"/>
      <c r="G14" s="19"/>
      <c r="H14" s="19"/>
      <c r="I14" s="19"/>
      <c r="J14" s="19"/>
      <c r="K14" s="36"/>
    </row>
    <row r="15" spans="1:11" x14ac:dyDescent="0.25">
      <c r="C15" s="37" t="s">
        <v>2671</v>
      </c>
      <c r="D15" s="36">
        <f>(E11-D11)/(E10-D10)</f>
        <v>6</v>
      </c>
      <c r="E15" s="36"/>
      <c r="F15" s="19"/>
      <c r="G15" s="19"/>
      <c r="H15" s="19"/>
      <c r="I15" s="19"/>
      <c r="J15" s="19"/>
      <c r="K15" s="36"/>
    </row>
    <row r="16" spans="1:11" x14ac:dyDescent="0.25">
      <c r="C16" s="37"/>
      <c r="D16" s="36"/>
      <c r="E16" s="36"/>
      <c r="F16" s="19"/>
      <c r="G16" s="19"/>
      <c r="H16" s="19"/>
      <c r="I16" s="19"/>
      <c r="J16" s="19"/>
      <c r="K16" s="36"/>
    </row>
    <row r="17" spans="3:11" x14ac:dyDescent="0.25">
      <c r="C17" s="37" t="s">
        <v>2670</v>
      </c>
      <c r="D17" s="36">
        <f>D11-D15*D10</f>
        <v>2000</v>
      </c>
      <c r="E17" s="36"/>
      <c r="F17" s="19"/>
      <c r="G17" s="19"/>
      <c r="H17" s="19"/>
      <c r="I17" s="19"/>
      <c r="J17" s="19"/>
      <c r="K17" s="36"/>
    </row>
    <row r="18" spans="3:11" x14ac:dyDescent="0.25">
      <c r="C18" s="36"/>
      <c r="D18" s="36"/>
      <c r="E18" s="36"/>
      <c r="F18" s="19"/>
      <c r="G18" s="19"/>
      <c r="H18" s="19"/>
      <c r="I18" s="19"/>
      <c r="J18" s="19"/>
      <c r="K18" s="37"/>
    </row>
    <row r="19" spans="3:11" x14ac:dyDescent="0.25">
      <c r="C19" s="37" t="s">
        <v>2669</v>
      </c>
      <c r="D19" s="36"/>
      <c r="E19" s="36"/>
      <c r="F19" s="19"/>
      <c r="G19" s="19"/>
      <c r="H19" s="19"/>
      <c r="I19" s="19"/>
      <c r="J19" s="19"/>
      <c r="K19" s="16"/>
    </row>
    <row r="20" spans="3:11" x14ac:dyDescent="0.25">
      <c r="C20" s="37" t="s">
        <v>2668</v>
      </c>
      <c r="D20" s="36"/>
      <c r="E20" s="36"/>
      <c r="F20" s="19"/>
      <c r="G20" s="19"/>
      <c r="H20" s="19"/>
      <c r="I20" s="19"/>
      <c r="J20" s="19"/>
      <c r="K20" s="16"/>
    </row>
    <row r="21" spans="3:11" x14ac:dyDescent="0.25">
      <c r="C21" s="37" t="s">
        <v>2667</v>
      </c>
      <c r="D21" s="36"/>
      <c r="E21" s="36"/>
      <c r="F21" s="19"/>
      <c r="G21" s="19"/>
      <c r="H21" s="19"/>
      <c r="I21" s="19"/>
      <c r="J21" s="19"/>
      <c r="K21" s="16"/>
    </row>
    <row r="22" spans="3:11" x14ac:dyDescent="0.25">
      <c r="C22" s="37" t="s">
        <v>2666</v>
      </c>
      <c r="D22" s="36"/>
      <c r="E22" s="36"/>
      <c r="F22" s="19"/>
      <c r="G22" s="19"/>
      <c r="H22" s="19"/>
      <c r="I22" s="19"/>
      <c r="J22" s="19"/>
      <c r="K22" s="16"/>
    </row>
    <row r="23" spans="3:11" x14ac:dyDescent="0.25">
      <c r="C23" s="36"/>
      <c r="D23" s="36"/>
      <c r="E23" s="36"/>
      <c r="F23" s="19"/>
      <c r="G23" s="169"/>
      <c r="H23" s="16"/>
      <c r="I23" s="169"/>
      <c r="J23" s="501"/>
      <c r="K23" s="16"/>
    </row>
    <row r="24" spans="3:11" x14ac:dyDescent="0.25">
      <c r="C24" s="20" t="s">
        <v>2665</v>
      </c>
      <c r="D24" s="64" t="s">
        <v>2664</v>
      </c>
      <c r="E24" s="503"/>
      <c r="F24" s="169"/>
      <c r="G24" s="169"/>
      <c r="H24" s="169"/>
      <c r="I24" s="169"/>
      <c r="J24" s="501"/>
      <c r="K24" s="16"/>
    </row>
    <row r="25" spans="3:11" x14ac:dyDescent="0.25">
      <c r="C25" s="23"/>
      <c r="D25" s="16"/>
      <c r="E25" s="207"/>
      <c r="F25" s="169"/>
      <c r="G25" s="169"/>
      <c r="H25" s="169"/>
      <c r="I25" s="169"/>
      <c r="J25" s="501"/>
      <c r="K25" s="16"/>
    </row>
    <row r="26" spans="3:11" x14ac:dyDescent="0.25">
      <c r="C26" s="23" t="s">
        <v>2663</v>
      </c>
      <c r="D26" s="978" t="s">
        <v>2662</v>
      </c>
      <c r="E26" s="982"/>
      <c r="F26" s="169"/>
      <c r="G26" s="169"/>
      <c r="H26" s="169"/>
      <c r="I26" s="169"/>
      <c r="J26" s="501"/>
      <c r="K26" s="16"/>
    </row>
    <row r="27" spans="3:11" x14ac:dyDescent="0.25">
      <c r="C27" s="23" t="s">
        <v>2661</v>
      </c>
      <c r="D27" s="978" t="s">
        <v>2660</v>
      </c>
      <c r="E27" s="982"/>
      <c r="F27" s="169"/>
      <c r="G27" s="169"/>
      <c r="H27" s="169"/>
      <c r="I27" s="169"/>
      <c r="J27" s="501"/>
      <c r="K27" s="16"/>
    </row>
    <row r="28" spans="3:11" x14ac:dyDescent="0.25">
      <c r="C28" s="23" t="s">
        <v>2659</v>
      </c>
      <c r="D28" s="978" t="s">
        <v>2658</v>
      </c>
      <c r="E28" s="982"/>
      <c r="F28" s="169"/>
      <c r="G28" s="36"/>
      <c r="H28" s="36"/>
      <c r="I28" s="169"/>
      <c r="J28" s="501"/>
      <c r="K28" s="16"/>
    </row>
    <row r="29" spans="3:11" x14ac:dyDescent="0.25">
      <c r="C29" s="23" t="s">
        <v>2657</v>
      </c>
      <c r="D29" s="978" t="s">
        <v>2656</v>
      </c>
      <c r="E29" s="982"/>
      <c r="F29" s="169"/>
      <c r="G29" s="36"/>
      <c r="H29" s="36"/>
      <c r="I29" s="169"/>
      <c r="J29" s="501"/>
      <c r="K29" s="16"/>
    </row>
    <row r="30" spans="3:11" x14ac:dyDescent="0.25">
      <c r="C30" s="23" t="s">
        <v>2655</v>
      </c>
      <c r="D30" s="978" t="s">
        <v>2654</v>
      </c>
      <c r="E30" s="982"/>
      <c r="F30" s="169"/>
      <c r="G30" s="36"/>
      <c r="H30" s="36"/>
      <c r="I30" s="169"/>
      <c r="J30" s="501"/>
      <c r="K30" s="16"/>
    </row>
    <row r="31" spans="3:11" x14ac:dyDescent="0.25">
      <c r="C31" s="26" t="s">
        <v>2653</v>
      </c>
      <c r="D31" s="979" t="s">
        <v>2652</v>
      </c>
      <c r="E31" s="980"/>
      <c r="F31" s="169"/>
      <c r="G31" s="169"/>
      <c r="H31" s="169"/>
      <c r="I31" s="169"/>
      <c r="J31" s="501"/>
      <c r="K31" s="16"/>
    </row>
    <row r="32" spans="3:11" x14ac:dyDescent="0.25">
      <c r="C32" s="36"/>
      <c r="D32" s="36"/>
      <c r="E32" s="36"/>
      <c r="F32" s="169"/>
      <c r="G32" s="169"/>
      <c r="H32" s="169"/>
      <c r="I32" s="169"/>
      <c r="J32" s="501"/>
      <c r="K32" s="16"/>
    </row>
    <row r="33" spans="3:11" x14ac:dyDescent="0.25">
      <c r="C33" s="36"/>
      <c r="D33" s="36"/>
      <c r="E33" s="36"/>
      <c r="F33" s="169"/>
      <c r="G33" s="169"/>
      <c r="H33" s="169"/>
      <c r="I33" s="169"/>
      <c r="J33" s="501"/>
      <c r="K33" s="16"/>
    </row>
    <row r="34" spans="3:11" x14ac:dyDescent="0.25">
      <c r="C34" s="20" t="s">
        <v>2651</v>
      </c>
      <c r="D34" s="503"/>
      <c r="E34" s="756" t="s">
        <v>2650</v>
      </c>
      <c r="F34" s="169"/>
      <c r="G34" s="169"/>
      <c r="H34" s="169"/>
      <c r="I34" s="169"/>
      <c r="J34" s="501"/>
      <c r="K34" s="16"/>
    </row>
    <row r="35" spans="3:11" x14ac:dyDescent="0.25">
      <c r="C35" s="23"/>
      <c r="D35" s="207"/>
      <c r="E35" s="756" t="s">
        <v>2649</v>
      </c>
      <c r="F35" s="169"/>
      <c r="G35" s="16"/>
      <c r="H35" s="16"/>
      <c r="I35" s="16"/>
      <c r="J35" s="16"/>
      <c r="K35" s="16"/>
    </row>
    <row r="36" spans="3:11" x14ac:dyDescent="0.25">
      <c r="C36" s="23" t="s">
        <v>2648</v>
      </c>
      <c r="D36" s="762" t="s">
        <v>2647</v>
      </c>
      <c r="E36" s="169" t="s">
        <v>2646</v>
      </c>
      <c r="F36" s="169"/>
      <c r="G36" s="16"/>
      <c r="H36" s="16"/>
      <c r="I36" s="16"/>
      <c r="J36" s="16"/>
      <c r="K36" s="16"/>
    </row>
    <row r="37" spans="3:11" x14ac:dyDescent="0.25">
      <c r="C37" s="23" t="s">
        <v>2645</v>
      </c>
      <c r="D37" s="762">
        <f>E37</f>
        <v>22.133333009999998</v>
      </c>
      <c r="E37" s="500">
        <f>38.3-0.016666667*970</f>
        <v>22.133333009999998</v>
      </c>
      <c r="F37" s="16"/>
      <c r="G37" s="16"/>
      <c r="H37" s="16"/>
      <c r="I37" s="16"/>
      <c r="J37" s="16"/>
      <c r="K37" s="16"/>
    </row>
    <row r="38" spans="3:11" x14ac:dyDescent="0.25">
      <c r="C38" s="26" t="s">
        <v>2644</v>
      </c>
      <c r="D38" s="761">
        <f>E38</f>
        <v>13681.666666666672</v>
      </c>
      <c r="E38" s="36">
        <f>((K10*970)+(J10*970^2))-(G10+6*970)</f>
        <v>13681.666666666672</v>
      </c>
      <c r="F38" s="16"/>
      <c r="G38" s="16"/>
      <c r="H38" s="16"/>
      <c r="I38" s="16"/>
      <c r="J38" s="16"/>
      <c r="K38" s="16"/>
    </row>
    <row r="39" spans="3:11" x14ac:dyDescent="0.25">
      <c r="C39" s="16"/>
      <c r="D39" s="16"/>
      <c r="E39" s="16"/>
      <c r="F39" s="16"/>
      <c r="G39" s="16"/>
      <c r="H39" s="16"/>
      <c r="I39" s="16"/>
      <c r="J39" s="16"/>
      <c r="K39" s="16"/>
    </row>
    <row r="40" spans="3:11" x14ac:dyDescent="0.25">
      <c r="C40" s="16"/>
      <c r="D40" s="16"/>
      <c r="E40" s="16"/>
      <c r="F40" s="16"/>
      <c r="G40" s="16"/>
      <c r="H40" s="16"/>
      <c r="I40" s="16"/>
      <c r="J40" s="16"/>
      <c r="K40" s="16"/>
    </row>
    <row r="41" spans="3:11" x14ac:dyDescent="0.25">
      <c r="C41" s="36"/>
      <c r="D41" s="36"/>
      <c r="E41" s="36"/>
      <c r="F41" s="36"/>
      <c r="G41" s="36"/>
      <c r="H41" s="36"/>
      <c r="I41" s="36"/>
      <c r="J41" s="36"/>
      <c r="K41" s="36"/>
    </row>
    <row r="42" spans="3:11" x14ac:dyDescent="0.25">
      <c r="C42" s="36"/>
      <c r="D42" s="36">
        <v>0</v>
      </c>
      <c r="E42" s="760">
        <f t="shared" ref="E42:E66" si="0">(($K$10*D42)+($J$10*D42^2))-($G$10+6*D42)</f>
        <v>-2000</v>
      </c>
      <c r="F42" s="36"/>
      <c r="G42" s="36"/>
      <c r="H42" s="36"/>
      <c r="I42" s="36"/>
      <c r="J42" s="36"/>
      <c r="K42" s="36"/>
    </row>
    <row r="43" spans="3:11" x14ac:dyDescent="0.25">
      <c r="C43" s="36"/>
      <c r="D43" s="36">
        <v>100</v>
      </c>
      <c r="E43" s="760">
        <f t="shared" si="0"/>
        <v>1066.666666666667</v>
      </c>
      <c r="F43" s="36"/>
      <c r="G43" s="36"/>
      <c r="H43" s="36"/>
      <c r="I43" s="36"/>
      <c r="J43" s="36"/>
      <c r="K43" s="36"/>
    </row>
    <row r="44" spans="3:11" x14ac:dyDescent="0.25">
      <c r="C44" s="36"/>
      <c r="D44" s="36">
        <v>200</v>
      </c>
      <c r="E44" s="760">
        <f t="shared" si="0"/>
        <v>3800</v>
      </c>
      <c r="F44" s="36"/>
      <c r="G44" s="36"/>
      <c r="H44" s="36"/>
      <c r="I44" s="36"/>
      <c r="J44" s="36"/>
      <c r="K44" s="36"/>
    </row>
    <row r="45" spans="3:11" x14ac:dyDescent="0.25">
      <c r="C45" s="36"/>
      <c r="D45" s="36">
        <v>300</v>
      </c>
      <c r="E45" s="760">
        <f t="shared" si="0"/>
        <v>6200</v>
      </c>
      <c r="F45" s="36"/>
      <c r="G45" s="36"/>
      <c r="H45" s="36"/>
      <c r="I45" s="36"/>
      <c r="J45" s="36"/>
      <c r="K45" s="36"/>
    </row>
    <row r="46" spans="3:11" x14ac:dyDescent="0.25">
      <c r="C46" s="36"/>
      <c r="D46" s="36">
        <v>400</v>
      </c>
      <c r="E46" s="760">
        <f t="shared" si="0"/>
        <v>8266.6666666666679</v>
      </c>
      <c r="F46" s="36"/>
      <c r="G46" s="36"/>
      <c r="H46" s="36"/>
      <c r="I46" s="36"/>
      <c r="J46" s="36"/>
      <c r="K46" s="36"/>
    </row>
    <row r="47" spans="3:11" x14ac:dyDescent="0.25">
      <c r="C47" s="36"/>
      <c r="D47" s="36">
        <v>500</v>
      </c>
      <c r="E47" s="760">
        <f t="shared" si="0"/>
        <v>10000</v>
      </c>
      <c r="F47" s="36"/>
      <c r="G47" s="36"/>
      <c r="H47" s="36"/>
      <c r="I47" s="36"/>
      <c r="J47" s="36"/>
      <c r="K47" s="36"/>
    </row>
    <row r="48" spans="3:11" x14ac:dyDescent="0.25">
      <c r="C48" s="36"/>
      <c r="D48" s="36">
        <v>600</v>
      </c>
      <c r="E48" s="760">
        <f t="shared" si="0"/>
        <v>11400</v>
      </c>
      <c r="F48" s="36"/>
      <c r="G48" s="36"/>
      <c r="H48" s="36"/>
      <c r="I48" s="36"/>
      <c r="J48" s="36"/>
      <c r="K48" s="36"/>
    </row>
    <row r="49" spans="3:11" x14ac:dyDescent="0.25">
      <c r="C49" s="36"/>
      <c r="D49" s="36">
        <v>700</v>
      </c>
      <c r="E49" s="760">
        <f t="shared" si="0"/>
        <v>12466.666666666668</v>
      </c>
      <c r="F49" s="36"/>
      <c r="G49" s="36"/>
      <c r="H49" s="36"/>
      <c r="I49" s="36"/>
      <c r="J49" s="36"/>
      <c r="K49" s="36"/>
    </row>
    <row r="50" spans="3:11" x14ac:dyDescent="0.25">
      <c r="C50" s="36"/>
      <c r="D50" s="36">
        <v>800</v>
      </c>
      <c r="E50" s="760">
        <f t="shared" si="0"/>
        <v>13200</v>
      </c>
      <c r="F50" s="36"/>
      <c r="G50" s="36"/>
      <c r="H50" s="36"/>
      <c r="I50" s="36"/>
      <c r="J50" s="36"/>
      <c r="K50" s="36"/>
    </row>
    <row r="51" spans="3:11" x14ac:dyDescent="0.25">
      <c r="C51" s="36"/>
      <c r="D51" s="36">
        <v>900</v>
      </c>
      <c r="E51" s="760">
        <f t="shared" si="0"/>
        <v>13600</v>
      </c>
      <c r="F51" s="36"/>
      <c r="G51" s="36"/>
      <c r="H51" s="36"/>
      <c r="I51" s="36"/>
      <c r="J51" s="36"/>
      <c r="K51" s="36"/>
    </row>
    <row r="52" spans="3:11" x14ac:dyDescent="0.25">
      <c r="C52" s="36"/>
      <c r="D52" s="36">
        <v>1000</v>
      </c>
      <c r="E52" s="760">
        <f t="shared" si="0"/>
        <v>13666.666666666668</v>
      </c>
      <c r="F52" s="36"/>
      <c r="G52" s="36"/>
      <c r="H52" s="36"/>
      <c r="I52" s="36"/>
      <c r="J52" s="36"/>
      <c r="K52" s="36"/>
    </row>
    <row r="53" spans="3:11" x14ac:dyDescent="0.25">
      <c r="C53" s="36"/>
      <c r="D53" s="36">
        <v>1100</v>
      </c>
      <c r="E53" s="760">
        <f t="shared" si="0"/>
        <v>13400.000000000004</v>
      </c>
      <c r="F53" s="36"/>
      <c r="G53" s="36"/>
      <c r="H53" s="36"/>
      <c r="I53" s="36"/>
      <c r="J53" s="36"/>
      <c r="K53" s="36"/>
    </row>
    <row r="54" spans="3:11" x14ac:dyDescent="0.25">
      <c r="C54" s="36"/>
      <c r="D54" s="36">
        <v>1200</v>
      </c>
      <c r="E54" s="760">
        <f t="shared" si="0"/>
        <v>12800</v>
      </c>
      <c r="F54" s="36"/>
      <c r="G54" s="36"/>
      <c r="H54" s="36"/>
      <c r="I54" s="36"/>
      <c r="J54" s="36"/>
      <c r="K54" s="36"/>
    </row>
    <row r="55" spans="3:11" x14ac:dyDescent="0.25">
      <c r="C55" s="36"/>
      <c r="D55" s="36">
        <v>1300</v>
      </c>
      <c r="E55" s="760">
        <f t="shared" si="0"/>
        <v>11866.666666666668</v>
      </c>
      <c r="F55" s="36"/>
      <c r="G55" s="36"/>
      <c r="H55" s="36"/>
      <c r="I55" s="36"/>
      <c r="J55" s="36"/>
      <c r="K55" s="36"/>
    </row>
    <row r="56" spans="3:11" x14ac:dyDescent="0.25">
      <c r="C56" s="36"/>
      <c r="D56" s="36">
        <v>1400</v>
      </c>
      <c r="E56" s="760">
        <f t="shared" si="0"/>
        <v>10600.000000000004</v>
      </c>
      <c r="F56" s="36"/>
      <c r="G56" s="36"/>
      <c r="H56" s="36"/>
      <c r="I56" s="36"/>
      <c r="J56" s="36"/>
      <c r="K56" s="36"/>
    </row>
    <row r="57" spans="3:11" x14ac:dyDescent="0.25">
      <c r="C57" s="36"/>
      <c r="D57" s="36">
        <v>1500</v>
      </c>
      <c r="E57" s="760">
        <f t="shared" si="0"/>
        <v>9000</v>
      </c>
      <c r="F57" s="36"/>
      <c r="G57" s="36"/>
      <c r="H57" s="36"/>
      <c r="I57" s="36"/>
      <c r="J57" s="36"/>
      <c r="K57" s="36"/>
    </row>
    <row r="58" spans="3:11" x14ac:dyDescent="0.25">
      <c r="C58" s="36"/>
      <c r="D58" s="36">
        <v>1600</v>
      </c>
      <c r="E58" s="760">
        <f t="shared" si="0"/>
        <v>7066.6666666666715</v>
      </c>
      <c r="F58" s="36"/>
      <c r="G58" s="36"/>
      <c r="H58" s="36"/>
      <c r="I58" s="36"/>
      <c r="J58" s="36"/>
      <c r="K58" s="36"/>
    </row>
    <row r="59" spans="3:11" x14ac:dyDescent="0.25">
      <c r="C59" s="36"/>
      <c r="D59" s="36">
        <v>1700</v>
      </c>
      <c r="E59" s="760">
        <f t="shared" si="0"/>
        <v>4800.0000000000073</v>
      </c>
      <c r="F59" s="36"/>
      <c r="G59" s="36"/>
      <c r="H59" s="36"/>
      <c r="I59" s="36"/>
      <c r="J59" s="36"/>
      <c r="K59" s="36"/>
    </row>
    <row r="60" spans="3:11" x14ac:dyDescent="0.25">
      <c r="C60" s="36"/>
      <c r="D60" s="36">
        <v>1800</v>
      </c>
      <c r="E60" s="760">
        <f t="shared" si="0"/>
        <v>2200</v>
      </c>
      <c r="F60" s="36"/>
      <c r="G60" s="36"/>
      <c r="H60" s="36"/>
      <c r="I60" s="36"/>
      <c r="J60" s="36"/>
      <c r="K60" s="36"/>
    </row>
    <row r="61" spans="3:11" x14ac:dyDescent="0.25">
      <c r="C61" s="36"/>
      <c r="D61" s="36">
        <v>1900</v>
      </c>
      <c r="E61" s="760">
        <f t="shared" si="0"/>
        <v>-733.33333333332121</v>
      </c>
      <c r="F61" s="36"/>
      <c r="G61" s="36"/>
      <c r="H61" s="36"/>
      <c r="I61" s="36"/>
      <c r="J61" s="36"/>
      <c r="K61" s="36"/>
    </row>
    <row r="62" spans="3:11" x14ac:dyDescent="0.25">
      <c r="C62" s="36"/>
      <c r="D62" s="36">
        <v>2000</v>
      </c>
      <c r="E62" s="760">
        <f t="shared" si="0"/>
        <v>-4000</v>
      </c>
      <c r="F62" s="36"/>
      <c r="G62" s="36"/>
      <c r="H62" s="36"/>
      <c r="I62" s="36"/>
      <c r="J62" s="36"/>
      <c r="K62" s="36"/>
    </row>
    <row r="63" spans="3:11" x14ac:dyDescent="0.25">
      <c r="C63" s="36"/>
      <c r="D63" s="36">
        <v>2100</v>
      </c>
      <c r="E63" s="760">
        <f t="shared" si="0"/>
        <v>-7600</v>
      </c>
      <c r="F63" s="36"/>
      <c r="G63" s="36"/>
      <c r="H63" s="36"/>
      <c r="I63" s="36"/>
      <c r="J63" s="36"/>
      <c r="K63" s="36"/>
    </row>
    <row r="64" spans="3:11" x14ac:dyDescent="0.25">
      <c r="C64" s="36"/>
      <c r="D64" s="36">
        <v>2200</v>
      </c>
      <c r="E64" s="760">
        <f t="shared" si="0"/>
        <v>-11533.333333333328</v>
      </c>
      <c r="F64" s="36"/>
      <c r="G64" s="36"/>
      <c r="H64" s="36"/>
      <c r="I64" s="36"/>
      <c r="J64" s="36"/>
      <c r="K64" s="36"/>
    </row>
    <row r="65" spans="1:11" x14ac:dyDescent="0.25">
      <c r="C65" s="36"/>
      <c r="D65" s="36">
        <v>2300</v>
      </c>
      <c r="E65" s="760">
        <f t="shared" si="0"/>
        <v>-15800</v>
      </c>
      <c r="F65" s="36"/>
      <c r="G65" s="36"/>
      <c r="H65" s="36"/>
      <c r="I65" s="36"/>
      <c r="J65" s="36"/>
      <c r="K65" s="36"/>
    </row>
    <row r="66" spans="1:11" x14ac:dyDescent="0.25">
      <c r="C66" s="36"/>
      <c r="D66" s="36">
        <v>2400</v>
      </c>
      <c r="E66" s="760">
        <f t="shared" si="0"/>
        <v>-20400</v>
      </c>
      <c r="F66" s="36"/>
      <c r="G66" s="36"/>
      <c r="H66" s="36"/>
      <c r="I66" s="36"/>
      <c r="J66" s="36"/>
      <c r="K66" s="36"/>
    </row>
    <row r="67" spans="1:11" x14ac:dyDescent="0.25">
      <c r="C67" s="36"/>
      <c r="D67" s="36"/>
      <c r="E67" s="36"/>
      <c r="F67" s="36"/>
      <c r="G67" s="36"/>
      <c r="H67" s="36"/>
      <c r="I67" s="36"/>
      <c r="J67" s="36"/>
      <c r="K67" s="36"/>
    </row>
    <row r="68" spans="1:11" x14ac:dyDescent="0.25">
      <c r="A68" s="278"/>
      <c r="C68" s="36"/>
      <c r="D68" s="36"/>
      <c r="E68" s="36"/>
      <c r="F68" s="36"/>
      <c r="G68" s="36"/>
      <c r="H68" s="36"/>
      <c r="I68" s="36"/>
      <c r="J68" s="36"/>
      <c r="K68" s="36"/>
    </row>
    <row r="69" spans="1:11" x14ac:dyDescent="0.25">
      <c r="C69" s="36"/>
      <c r="D69" s="36"/>
      <c r="E69" s="36"/>
      <c r="F69" s="36"/>
      <c r="G69" s="36"/>
      <c r="H69" s="36"/>
      <c r="I69" s="36"/>
      <c r="J69" s="36"/>
      <c r="K69" s="36"/>
    </row>
    <row r="70" spans="1:11" x14ac:dyDescent="0.25">
      <c r="A70" s="1" t="s">
        <v>3178</v>
      </c>
    </row>
    <row r="71" spans="1:11" x14ac:dyDescent="0.25">
      <c r="A71" s="921" t="s">
        <v>3179</v>
      </c>
    </row>
    <row r="73" spans="1:11" x14ac:dyDescent="0.25">
      <c r="A73" s="1" t="s">
        <v>3180</v>
      </c>
    </row>
    <row r="74" spans="1:11" x14ac:dyDescent="0.25">
      <c r="A74"/>
    </row>
    <row r="75" spans="1:11" x14ac:dyDescent="0.25">
      <c r="A75" s="1" t="s">
        <v>3181</v>
      </c>
    </row>
    <row r="76" spans="1:11" x14ac:dyDescent="0.25">
      <c r="A76"/>
    </row>
    <row r="77" spans="1:11" x14ac:dyDescent="0.25">
      <c r="A77" s="1" t="s">
        <v>2458</v>
      </c>
      <c r="D77" s="1">
        <f>0.01*2</f>
        <v>0.02</v>
      </c>
    </row>
    <row r="78" spans="1:11" x14ac:dyDescent="0.25">
      <c r="A78" s="925" t="s">
        <v>2538</v>
      </c>
    </row>
    <row r="79" spans="1:11" x14ac:dyDescent="0.25">
      <c r="A79" s="1" t="s">
        <v>3182</v>
      </c>
    </row>
    <row r="80" spans="1:11" x14ac:dyDescent="0.25">
      <c r="A80" s="1" t="s">
        <v>3183</v>
      </c>
      <c r="D80" s="1" t="s">
        <v>3185</v>
      </c>
    </row>
    <row r="81" spans="1:26" x14ac:dyDescent="0.25">
      <c r="D81" s="1" t="s">
        <v>3186</v>
      </c>
    </row>
    <row r="83" spans="1:26" x14ac:dyDescent="0.25">
      <c r="A83" s="1" t="s">
        <v>3187</v>
      </c>
    </row>
    <row r="85" spans="1:26" x14ac:dyDescent="0.25">
      <c r="B85" s="1" t="s">
        <v>3188</v>
      </c>
      <c r="C85" s="1" t="s">
        <v>3186</v>
      </c>
    </row>
    <row r="86" spans="1:26" x14ac:dyDescent="0.25">
      <c r="B86" s="1" t="s">
        <v>3189</v>
      </c>
      <c r="F86" s="85"/>
      <c r="G86" s="85"/>
    </row>
    <row r="87" spans="1:26" x14ac:dyDescent="0.25">
      <c r="B87" s="1" t="s">
        <v>3190</v>
      </c>
    </row>
    <row r="88" spans="1:26" x14ac:dyDescent="0.25">
      <c r="B88" s="1">
        <f>(1000000/0.01)^(1/2)</f>
        <v>10000</v>
      </c>
      <c r="C88" s="1" t="s">
        <v>3191</v>
      </c>
    </row>
    <row r="90" spans="1:26" x14ac:dyDescent="0.25">
      <c r="B90" s="1" t="s">
        <v>3194</v>
      </c>
      <c r="C90" s="1">
        <v>1000</v>
      </c>
      <c r="D90" s="1">
        <v>2000</v>
      </c>
      <c r="E90" s="1">
        <v>4000</v>
      </c>
      <c r="F90" s="1">
        <v>6000</v>
      </c>
      <c r="G90" s="1">
        <v>8000</v>
      </c>
      <c r="H90" s="1">
        <v>10000</v>
      </c>
      <c r="I90" s="1">
        <v>12000</v>
      </c>
      <c r="J90" s="1">
        <v>14000</v>
      </c>
      <c r="K90" s="1">
        <v>16000</v>
      </c>
      <c r="L90" s="1">
        <v>18000</v>
      </c>
      <c r="M90" s="1">
        <v>20000</v>
      </c>
      <c r="N90" s="1">
        <v>22000</v>
      </c>
      <c r="O90" s="1">
        <v>24000</v>
      </c>
      <c r="P90" s="1">
        <v>26000</v>
      </c>
      <c r="Q90" s="1">
        <v>28000</v>
      </c>
      <c r="R90" s="1">
        <v>30000</v>
      </c>
      <c r="S90" s="1">
        <v>32000</v>
      </c>
      <c r="T90" s="1">
        <v>34000</v>
      </c>
      <c r="U90" s="1">
        <v>36000</v>
      </c>
      <c r="V90" s="1">
        <v>38000</v>
      </c>
      <c r="W90" s="1">
        <v>40000</v>
      </c>
      <c r="X90" s="1">
        <v>42000</v>
      </c>
      <c r="Y90" s="1">
        <v>44000</v>
      </c>
      <c r="Z90" s="1">
        <v>46000</v>
      </c>
    </row>
    <row r="91" spans="1:26" x14ac:dyDescent="0.25">
      <c r="B91" s="1" t="s">
        <v>3192</v>
      </c>
      <c r="C91" s="1">
        <f>1000000/C90+60+0.01*C90</f>
        <v>1070</v>
      </c>
      <c r="D91" s="1">
        <f t="shared" ref="D91:M91" si="1">1000000/D90+60+0.01*D90</f>
        <v>580</v>
      </c>
      <c r="E91" s="1">
        <f t="shared" si="1"/>
        <v>350</v>
      </c>
      <c r="F91" s="1">
        <f t="shared" si="1"/>
        <v>286.66666666666663</v>
      </c>
      <c r="G91" s="1">
        <f t="shared" si="1"/>
        <v>265</v>
      </c>
      <c r="H91" s="1">
        <f t="shared" si="1"/>
        <v>260</v>
      </c>
      <c r="I91" s="1">
        <f t="shared" si="1"/>
        <v>263.33333333333331</v>
      </c>
      <c r="J91" s="1">
        <f t="shared" si="1"/>
        <v>271.42857142857144</v>
      </c>
      <c r="K91" s="1">
        <f t="shared" si="1"/>
        <v>282.5</v>
      </c>
      <c r="L91" s="1">
        <f t="shared" si="1"/>
        <v>295.55555555555554</v>
      </c>
      <c r="M91" s="1">
        <f t="shared" si="1"/>
        <v>310</v>
      </c>
      <c r="N91" s="1">
        <f t="shared" ref="N91:Z91" si="2">1000000/N90+60+0.01*N90</f>
        <v>325.45454545454544</v>
      </c>
      <c r="O91" s="1">
        <f t="shared" si="2"/>
        <v>341.66666666666663</v>
      </c>
      <c r="P91" s="1">
        <f t="shared" si="2"/>
        <v>358.46153846153845</v>
      </c>
      <c r="Q91" s="1">
        <f t="shared" si="2"/>
        <v>375.71428571428572</v>
      </c>
      <c r="R91" s="1">
        <f t="shared" si="2"/>
        <v>393.33333333333337</v>
      </c>
      <c r="S91" s="1">
        <f t="shared" si="2"/>
        <v>411.25</v>
      </c>
      <c r="T91" s="1">
        <f t="shared" si="2"/>
        <v>429.41176470588232</v>
      </c>
      <c r="U91" s="1">
        <f t="shared" si="2"/>
        <v>447.77777777777777</v>
      </c>
      <c r="V91" s="1">
        <f t="shared" si="2"/>
        <v>466.31578947368422</v>
      </c>
      <c r="W91" s="1">
        <f t="shared" si="2"/>
        <v>485</v>
      </c>
      <c r="X91" s="1">
        <f t="shared" si="2"/>
        <v>503.8095238095238</v>
      </c>
      <c r="Y91" s="1">
        <f t="shared" si="2"/>
        <v>522.72727272727275</v>
      </c>
      <c r="Z91" s="1">
        <f t="shared" si="2"/>
        <v>541.73913043478262</v>
      </c>
    </row>
    <row r="92" spans="1:26" x14ac:dyDescent="0.25">
      <c r="B92" s="1" t="s">
        <v>3193</v>
      </c>
      <c r="C92" s="1">
        <f>60+0.02*C90</f>
        <v>80</v>
      </c>
      <c r="D92" s="1">
        <f t="shared" ref="D92:M92" si="3">60+0.02*D90</f>
        <v>100</v>
      </c>
      <c r="E92" s="1">
        <f t="shared" si="3"/>
        <v>140</v>
      </c>
      <c r="F92" s="1">
        <f t="shared" si="3"/>
        <v>180</v>
      </c>
      <c r="G92" s="1">
        <f t="shared" si="3"/>
        <v>220</v>
      </c>
      <c r="H92" s="1">
        <f t="shared" si="3"/>
        <v>260</v>
      </c>
      <c r="I92" s="1">
        <f t="shared" si="3"/>
        <v>300</v>
      </c>
      <c r="J92" s="1">
        <f t="shared" si="3"/>
        <v>340</v>
      </c>
      <c r="K92" s="1">
        <f t="shared" si="3"/>
        <v>380</v>
      </c>
      <c r="L92" s="1">
        <f t="shared" si="3"/>
        <v>420</v>
      </c>
      <c r="M92" s="1">
        <f t="shared" si="3"/>
        <v>460</v>
      </c>
      <c r="N92" s="1">
        <f t="shared" ref="N92:Z92" si="4">60+0.02*N90</f>
        <v>500</v>
      </c>
      <c r="O92" s="1">
        <f t="shared" si="4"/>
        <v>540</v>
      </c>
      <c r="P92" s="1">
        <f t="shared" si="4"/>
        <v>580</v>
      </c>
      <c r="Q92" s="1">
        <f t="shared" si="4"/>
        <v>620</v>
      </c>
      <c r="R92" s="1">
        <f t="shared" si="4"/>
        <v>660</v>
      </c>
      <c r="S92" s="1">
        <f t="shared" si="4"/>
        <v>700</v>
      </c>
      <c r="T92" s="1">
        <f t="shared" si="4"/>
        <v>740</v>
      </c>
      <c r="U92" s="1">
        <f t="shared" si="4"/>
        <v>780</v>
      </c>
      <c r="V92" s="1">
        <f t="shared" si="4"/>
        <v>820</v>
      </c>
      <c r="W92" s="1">
        <f t="shared" si="4"/>
        <v>860</v>
      </c>
      <c r="X92" s="1">
        <f t="shared" si="4"/>
        <v>900</v>
      </c>
      <c r="Y92" s="1">
        <f t="shared" si="4"/>
        <v>940</v>
      </c>
      <c r="Z92" s="1">
        <f t="shared" si="4"/>
        <v>980</v>
      </c>
    </row>
    <row r="94" spans="1:26" x14ac:dyDescent="0.25">
      <c r="A94" s="1" t="s">
        <v>3195</v>
      </c>
    </row>
    <row r="95" spans="1:26" x14ac:dyDescent="0.25">
      <c r="A95" s="921" t="s">
        <v>3196</v>
      </c>
    </row>
    <row r="96" spans="1:26" x14ac:dyDescent="0.25">
      <c r="A96" s="1" t="s">
        <v>3180</v>
      </c>
      <c r="D96" s="1" t="s">
        <v>3201</v>
      </c>
    </row>
    <row r="97" spans="1:19" x14ac:dyDescent="0.25">
      <c r="A97" s="1" t="s">
        <v>3198</v>
      </c>
    </row>
    <row r="98" spans="1:19" x14ac:dyDescent="0.25">
      <c r="A98" s="1" t="s">
        <v>2533</v>
      </c>
      <c r="D98" s="1" t="s">
        <v>3199</v>
      </c>
    </row>
    <row r="99" spans="1:19" x14ac:dyDescent="0.25">
      <c r="A99" s="1" t="s">
        <v>3197</v>
      </c>
      <c r="D99" s="1" t="s">
        <v>3200</v>
      </c>
    </row>
    <row r="100" spans="1:19" x14ac:dyDescent="0.25">
      <c r="A100" s="1" t="s">
        <v>2458</v>
      </c>
      <c r="E100" s="371"/>
    </row>
    <row r="101" spans="1:19" x14ac:dyDescent="0.25">
      <c r="A101" s="925" t="s">
        <v>2538</v>
      </c>
      <c r="D101" s="1" t="s">
        <v>3184</v>
      </c>
    </row>
    <row r="102" spans="1:19" x14ac:dyDescent="0.25">
      <c r="A102" s="926"/>
    </row>
    <row r="103" spans="1:19" x14ac:dyDescent="0.25">
      <c r="C103" s="1" t="s">
        <v>2721</v>
      </c>
      <c r="D103" s="1">
        <v>1000</v>
      </c>
      <c r="E103" s="1">
        <v>2000</v>
      </c>
      <c r="F103" s="1">
        <v>4000</v>
      </c>
      <c r="G103" s="1">
        <v>6000</v>
      </c>
      <c r="H103" s="1">
        <v>8000</v>
      </c>
      <c r="I103" s="1">
        <v>10000</v>
      </c>
      <c r="J103" s="1">
        <v>12000</v>
      </c>
      <c r="K103" s="1">
        <v>14000</v>
      </c>
      <c r="L103" s="1">
        <v>16000</v>
      </c>
      <c r="M103" s="1">
        <v>18000</v>
      </c>
      <c r="N103" s="1">
        <v>20000</v>
      </c>
      <c r="O103" s="1">
        <v>22000</v>
      </c>
      <c r="P103" s="1">
        <v>24000</v>
      </c>
      <c r="Q103" s="1">
        <v>26000</v>
      </c>
      <c r="R103" s="1">
        <v>28000</v>
      </c>
      <c r="S103" s="1">
        <v>30000</v>
      </c>
    </row>
    <row r="104" spans="1:19" x14ac:dyDescent="0.25">
      <c r="C104" s="1" t="s">
        <v>3202</v>
      </c>
      <c r="D104" s="1">
        <f>1000-0.01*D103</f>
        <v>990</v>
      </c>
      <c r="E104" s="1">
        <f t="shared" ref="E104:O104" si="5">1000-0.01*E103</f>
        <v>980</v>
      </c>
      <c r="F104" s="1">
        <f t="shared" si="5"/>
        <v>960</v>
      </c>
      <c r="G104" s="1">
        <f t="shared" si="5"/>
        <v>940</v>
      </c>
      <c r="H104" s="1">
        <f t="shared" si="5"/>
        <v>920</v>
      </c>
      <c r="I104" s="1">
        <f t="shared" si="5"/>
        <v>900</v>
      </c>
      <c r="J104" s="1">
        <f t="shared" si="5"/>
        <v>880</v>
      </c>
      <c r="K104" s="1">
        <f t="shared" si="5"/>
        <v>860</v>
      </c>
      <c r="L104" s="1">
        <f t="shared" si="5"/>
        <v>840</v>
      </c>
      <c r="M104" s="1">
        <f t="shared" si="5"/>
        <v>820</v>
      </c>
      <c r="N104" s="1">
        <f t="shared" si="5"/>
        <v>800</v>
      </c>
      <c r="O104" s="1">
        <f t="shared" si="5"/>
        <v>780</v>
      </c>
      <c r="P104" s="1">
        <f>1000-0.01*P103</f>
        <v>760</v>
      </c>
      <c r="Q104" s="1">
        <f>1000-0.01*Q103</f>
        <v>740</v>
      </c>
      <c r="R104" s="1">
        <f>1000-0.01*R103</f>
        <v>720</v>
      </c>
      <c r="S104" s="1">
        <f>1000-0.01*S103</f>
        <v>700</v>
      </c>
    </row>
    <row r="105" spans="1:19" x14ac:dyDescent="0.25">
      <c r="C105" s="1" t="s">
        <v>2533</v>
      </c>
      <c r="D105" s="1">
        <f>1000-0.02*D103</f>
        <v>980</v>
      </c>
      <c r="E105" s="1">
        <f t="shared" ref="E105:O105" si="6">1000-0.02*E103</f>
        <v>960</v>
      </c>
      <c r="F105" s="1">
        <f t="shared" si="6"/>
        <v>920</v>
      </c>
      <c r="G105" s="1">
        <f t="shared" si="6"/>
        <v>880</v>
      </c>
      <c r="H105" s="1">
        <f t="shared" si="6"/>
        <v>840</v>
      </c>
      <c r="I105" s="1">
        <f t="shared" si="6"/>
        <v>800</v>
      </c>
      <c r="J105" s="1">
        <f t="shared" si="6"/>
        <v>760</v>
      </c>
      <c r="K105" s="1">
        <f t="shared" si="6"/>
        <v>720</v>
      </c>
      <c r="L105" s="1">
        <f t="shared" si="6"/>
        <v>680</v>
      </c>
      <c r="M105" s="1">
        <f t="shared" si="6"/>
        <v>640</v>
      </c>
      <c r="N105" s="1">
        <f t="shared" si="6"/>
        <v>600</v>
      </c>
      <c r="O105" s="1">
        <f t="shared" si="6"/>
        <v>560</v>
      </c>
      <c r="P105" s="1">
        <f>1000-0.02*P103</f>
        <v>520</v>
      </c>
      <c r="Q105" s="1">
        <f>1000-0.02*Q103</f>
        <v>480</v>
      </c>
      <c r="R105" s="1">
        <f>1000-0.02*R103</f>
        <v>440</v>
      </c>
      <c r="S105" s="1">
        <f>1000-0.02*S103</f>
        <v>400</v>
      </c>
    </row>
    <row r="106" spans="1:19" x14ac:dyDescent="0.25">
      <c r="C106" s="1" t="s">
        <v>2458</v>
      </c>
      <c r="D106" s="1">
        <f>60+0.02*D103</f>
        <v>80</v>
      </c>
      <c r="E106" s="1">
        <f t="shared" ref="E106:O106" si="7">60+0.02*E103</f>
        <v>100</v>
      </c>
      <c r="F106" s="1">
        <f t="shared" si="7"/>
        <v>140</v>
      </c>
      <c r="G106" s="1">
        <f t="shared" si="7"/>
        <v>180</v>
      </c>
      <c r="H106" s="1">
        <f t="shared" si="7"/>
        <v>220</v>
      </c>
      <c r="I106" s="1">
        <f t="shared" si="7"/>
        <v>260</v>
      </c>
      <c r="J106" s="1">
        <f t="shared" si="7"/>
        <v>300</v>
      </c>
      <c r="K106" s="1">
        <f t="shared" si="7"/>
        <v>340</v>
      </c>
      <c r="L106" s="1">
        <f t="shared" si="7"/>
        <v>380</v>
      </c>
      <c r="M106" s="1">
        <f t="shared" si="7"/>
        <v>420</v>
      </c>
      <c r="N106" s="1">
        <f t="shared" si="7"/>
        <v>460</v>
      </c>
      <c r="O106" s="1">
        <f t="shared" si="7"/>
        <v>500</v>
      </c>
      <c r="P106" s="1">
        <f>60+0.02*P103</f>
        <v>540</v>
      </c>
      <c r="Q106" s="1">
        <f>60+0.02*Q103</f>
        <v>580</v>
      </c>
      <c r="R106" s="1">
        <f>60+0.02*R103</f>
        <v>620</v>
      </c>
      <c r="S106" s="1">
        <f>60+0.02*S103</f>
        <v>660</v>
      </c>
    </row>
    <row r="109" spans="1:19" x14ac:dyDescent="0.25">
      <c r="A109" s="1" t="s">
        <v>3203</v>
      </c>
    </row>
    <row r="111" spans="1:19" x14ac:dyDescent="0.25">
      <c r="C111" s="1" t="s">
        <v>3204</v>
      </c>
    </row>
    <row r="112" spans="1:19" x14ac:dyDescent="0.25">
      <c r="C112" s="1" t="s">
        <v>3205</v>
      </c>
    </row>
    <row r="113" spans="3:3" x14ac:dyDescent="0.25">
      <c r="C113" s="1" t="s">
        <v>3206</v>
      </c>
    </row>
    <row r="114" spans="3:3" x14ac:dyDescent="0.25">
      <c r="C114" s="1" t="s">
        <v>3207</v>
      </c>
    </row>
  </sheetData>
  <mergeCells count="10">
    <mergeCell ref="J8:K8"/>
    <mergeCell ref="D31:E31"/>
    <mergeCell ref="C6:H6"/>
    <mergeCell ref="D26:E26"/>
    <mergeCell ref="D27:E27"/>
    <mergeCell ref="D28:E28"/>
    <mergeCell ref="D29:E29"/>
    <mergeCell ref="D30:E30"/>
    <mergeCell ref="F8:G8"/>
    <mergeCell ref="H8:I8"/>
  </mergeCells>
  <hyperlinks>
    <hyperlink ref="D2" location="Strategi!A1" display="Strategi!A1" xr:uid="{00000000-0004-0000-5900-000000000000}"/>
  </hyperlinks>
  <pageMargins left="0.75" right="0.75" top="1" bottom="1" header="0.5" footer="0.5"/>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90</vt:i4>
      </vt:variant>
    </vt:vector>
  </HeadingPairs>
  <TitlesOfParts>
    <vt:vector size="90" baseType="lpstr">
      <vt:lpstr>Regnskaber</vt:lpstr>
      <vt:lpstr>Investeringsteori</vt:lpstr>
      <vt:lpstr>Finansieringsteori</vt:lpstr>
      <vt:lpstr>Strategi</vt:lpstr>
      <vt:lpstr>AG - Eksempel</vt:lpstr>
      <vt:lpstr>OG - Eksempel</vt:lpstr>
      <vt:lpstr>AOH - Eksempel</vt:lpstr>
      <vt:lpstr>EKF - Eksempel</vt:lpstr>
      <vt:lpstr>Aktiver = passiver</vt:lpstr>
      <vt:lpstr>Bogføring - debet - kredit</vt:lpstr>
      <vt:lpstr>Anlæg- og omsætningsaktiver</vt:lpstr>
      <vt:lpstr>Resultatopgørelse - eksempel</vt:lpstr>
      <vt:lpstr>Periodisering - eksempel</vt:lpstr>
      <vt:lpstr>Afskrivning - eksempel</vt:lpstr>
      <vt:lpstr>Virksomheds aktiviteter - eks</vt:lpstr>
      <vt:lpstr>Pengestrøm - eksempel</vt:lpstr>
      <vt:lpstr>Egenkapitalopgørelse - eks</vt:lpstr>
      <vt:lpstr>Værdiansættelse - eksempel</vt:lpstr>
      <vt:lpstr>Indtægter(matching) - eks</vt:lpstr>
      <vt:lpstr>Konsistens - eksempel</vt:lpstr>
      <vt:lpstr>Dupont dekomponering - eks</vt:lpstr>
      <vt:lpstr>Solvens og soliditetsgrad</vt:lpstr>
      <vt:lpstr>Aktieafkast - eksempel</vt:lpstr>
      <vt:lpstr>Fremtidsværdi - eksempel</vt:lpstr>
      <vt:lpstr>Nutidsværdi - eksempel</vt:lpstr>
      <vt:lpstr>Nettonutidsværdi - eks</vt:lpstr>
      <vt:lpstr>Annuitets - eks</vt:lpstr>
      <vt:lpstr>Annuitet med vækst - eks</vt:lpstr>
      <vt:lpstr>Opsparingsformlen - eks</vt:lpstr>
      <vt:lpstr>Gordons formel - eksempel</vt:lpstr>
      <vt:lpstr>Investeringskalkule - eks</vt:lpstr>
      <vt:lpstr>Kalkulationsrenten - eks</vt:lpstr>
      <vt:lpstr>Kapitalværdi - eks</vt:lpstr>
      <vt:lpstr>Intern rente - eks</vt:lpstr>
      <vt:lpstr>Modificeret intern rente - eks</vt:lpstr>
      <vt:lpstr>Simpel tilbagebetalingstid - ek</vt:lpstr>
      <vt:lpstr>Eksakt tilbagebetalingstid - ek</vt:lpstr>
      <vt:lpstr>Beslutningskriterier - eks</vt:lpstr>
      <vt:lpstr>Tilbagebetaling</vt:lpstr>
      <vt:lpstr>Investeringsalternativer - eks</vt:lpstr>
      <vt:lpstr>Optimal levetid - eksempel</vt:lpstr>
      <vt:lpstr>MIR - eksempel</vt:lpstr>
      <vt:lpstr>Følsomhedsanalyse - eks</vt:lpstr>
      <vt:lpstr>Skat i investeringer - eks</vt:lpstr>
      <vt:lpstr>Lån typer - eks</vt:lpstr>
      <vt:lpstr>Pålydende rente - eks</vt:lpstr>
      <vt:lpstr>Effektiv rente - eks</vt:lpstr>
      <vt:lpstr>Effektiv rente begrænsninger</vt:lpstr>
      <vt:lpstr>Stående lån - eks</vt:lpstr>
      <vt:lpstr>Serielån - eks</vt:lpstr>
      <vt:lpstr>Annuitetslån - eks</vt:lpstr>
      <vt:lpstr>Obligationer - eksempel</vt:lpstr>
      <vt:lpstr>Effektiv rente og kurstab</vt:lpstr>
      <vt:lpstr>Kurs og rente</vt:lpstr>
      <vt:lpstr>Risikoaversion - eks</vt:lpstr>
      <vt:lpstr>Relativt afkast - eks</vt:lpstr>
      <vt:lpstr>Nominelt og realt afkast - eks</vt:lpstr>
      <vt:lpstr>Kumulativt afkast - eks</vt:lpstr>
      <vt:lpstr>Gennemsnitligt afkast- eksempel</vt:lpstr>
      <vt:lpstr>Antagelser under portifølgeteor</vt:lpstr>
      <vt:lpstr>Diversifikationsprincippet - ek</vt:lpstr>
      <vt:lpstr>Realiseret værdi-stokastisk var</vt:lpstr>
      <vt:lpstr>Kovarians - eksempel</vt:lpstr>
      <vt:lpstr>Korrelationskoefficienten - eks</vt:lpstr>
      <vt:lpstr>Risikofrit aktiv - eksempel</vt:lpstr>
      <vt:lpstr>kapitalmarkedslinjen - eks</vt:lpstr>
      <vt:lpstr>Markedsportefølgen - eks</vt:lpstr>
      <vt:lpstr>CAPM - eksempel</vt:lpstr>
      <vt:lpstr>Estimering af BETA - eks</vt:lpstr>
      <vt:lpstr>DDM VS. FCFE</vt:lpstr>
      <vt:lpstr>Svag EMH</vt:lpstr>
      <vt:lpstr>Halvstærk EMH</vt:lpstr>
      <vt:lpstr>Stærk EMH</vt:lpstr>
      <vt:lpstr>Afkast beregning - eks</vt:lpstr>
      <vt:lpstr>Standardafvigelse - eks</vt:lpstr>
      <vt:lpstr>Aktie sammenligning</vt:lpstr>
      <vt:lpstr>Betaværdi - eks</vt:lpstr>
      <vt:lpstr>P-E-forhold - eks</vt:lpstr>
      <vt:lpstr>Værdiansættelse af aktier - eks</vt:lpstr>
      <vt:lpstr>Stordriftsfordele - eks</vt:lpstr>
      <vt:lpstr>Skalaulemper - eks</vt:lpstr>
      <vt:lpstr>Principal-agent-problemet -eks</vt:lpstr>
      <vt:lpstr>Incitament baseret afløning -ek</vt:lpstr>
      <vt:lpstr>Profitmaksimering -eks</vt:lpstr>
      <vt:lpstr>Virksomheds undersøgelse - eks</vt:lpstr>
      <vt:lpstr>Elastisitet - eksempel</vt:lpstr>
      <vt:lpstr>Make-or-Buy - eks</vt:lpstr>
      <vt:lpstr>Omsætning- og anlægsaktiver</vt:lpstr>
      <vt:lpstr>Bogført værdi - eks</vt:lpstr>
      <vt:lpstr>Optimal prissætning - eks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Mads-Emil Granzow</dc:creator>
  <cp:lastModifiedBy>Champen</cp:lastModifiedBy>
  <cp:lastPrinted>2015-05-23T11:29:18Z</cp:lastPrinted>
  <dcterms:created xsi:type="dcterms:W3CDTF">2015-04-27T19:26:53Z</dcterms:created>
  <dcterms:modified xsi:type="dcterms:W3CDTF">2021-05-11T11:29:19Z</dcterms:modified>
</cp:coreProperties>
</file>