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agnushovmand/Desktop/EØ_oplæsning/"/>
    </mc:Choice>
  </mc:AlternateContent>
  <xr:revisionPtr revIDLastSave="0" documentId="13_ncr:1_{0F18894F-BD8D-144A-AC46-2CD9E5CF79B4}" xr6:coauthVersionLast="43" xr6:coauthVersionMax="43" xr10:uidLastSave="{00000000-0000-0000-0000-000000000000}"/>
  <bookViews>
    <workbookView xWindow="0" yWindow="0" windowWidth="25600" windowHeight="16000" firstSheet="6" activeTab="7" xr2:uid="{00000000-000D-0000-FFFF-FFFF00000000}"/>
  </bookViews>
  <sheets>
    <sheet name="Ark1" sheetId="21" r:id="rId1"/>
    <sheet name="Anlæg A" sheetId="3" r:id="rId2"/>
    <sheet name="Anlæg A stigende energipriser " sheetId="6" r:id="rId3"/>
    <sheet name="Anlæg B" sheetId="9" r:id="rId4"/>
    <sheet name="Anlæg B stigende energipris" sheetId="10" r:id="rId5"/>
    <sheet name="Figur diskontering-nutidsværdi" sheetId="11" r:id="rId6"/>
    <sheet name="Kurs" sheetId="12" r:id="rId7"/>
    <sheet name="Aktier" sheetId="15" r:id="rId8"/>
    <sheet name="Regnskab" sheetId="16" r:id="rId9"/>
    <sheet name="Stående lån" sheetId="18" r:id="rId10"/>
    <sheet name="Serielån" sheetId="19" r:id="rId11"/>
    <sheet name="Annuitetslån samt kurs" sheetId="20" r:id="rId12"/>
    <sheet name="Rettevejledninger emner" sheetId="17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6" i="15" l="1"/>
  <c r="W36" i="15"/>
  <c r="AB6" i="15"/>
  <c r="W44" i="15"/>
  <c r="W43" i="15"/>
  <c r="X44" i="15"/>
  <c r="X43" i="15"/>
  <c r="V44" i="15"/>
  <c r="V43" i="15"/>
  <c r="X40" i="15"/>
  <c r="W40" i="15"/>
  <c r="V40" i="15"/>
  <c r="X39" i="15"/>
  <c r="W39" i="15"/>
  <c r="V39" i="15"/>
  <c r="X38" i="15"/>
  <c r="W38" i="15"/>
  <c r="V38" i="15"/>
  <c r="X37" i="15"/>
  <c r="W37" i="15"/>
  <c r="V37" i="15"/>
  <c r="X36" i="15"/>
  <c r="P21" i="15"/>
  <c r="Q21" i="15"/>
  <c r="R21" i="15"/>
  <c r="P22" i="15"/>
  <c r="Q22" i="15"/>
  <c r="R22" i="15"/>
  <c r="P23" i="15"/>
  <c r="Q23" i="15"/>
  <c r="R23" i="15"/>
  <c r="P24" i="15"/>
  <c r="Q24" i="15"/>
  <c r="R24" i="15"/>
  <c r="P25" i="15"/>
  <c r="Q25" i="15"/>
  <c r="R25" i="15"/>
  <c r="P26" i="15"/>
  <c r="Q26" i="15"/>
  <c r="R26" i="15"/>
  <c r="P27" i="15"/>
  <c r="Q27" i="15"/>
  <c r="R27" i="15"/>
  <c r="P28" i="15"/>
  <c r="Q28" i="15"/>
  <c r="R28" i="15"/>
  <c r="P29" i="15"/>
  <c r="Q29" i="15"/>
  <c r="R29" i="15"/>
  <c r="P30" i="15"/>
  <c r="Q30" i="15"/>
  <c r="R30" i="15"/>
  <c r="P31" i="15"/>
  <c r="Q31" i="15"/>
  <c r="R31" i="15"/>
  <c r="P32" i="15"/>
  <c r="Q32" i="15"/>
  <c r="R32" i="15"/>
  <c r="P33" i="15"/>
  <c r="Q33" i="15"/>
  <c r="R33" i="15"/>
  <c r="P34" i="15"/>
  <c r="Q34" i="15"/>
  <c r="R34" i="15"/>
  <c r="P35" i="15"/>
  <c r="Q35" i="15"/>
  <c r="R35" i="15"/>
  <c r="P36" i="15"/>
  <c r="Q36" i="15"/>
  <c r="R36" i="15"/>
  <c r="P37" i="15"/>
  <c r="Q37" i="15"/>
  <c r="R37" i="15"/>
  <c r="P38" i="15"/>
  <c r="Q38" i="15"/>
  <c r="R38" i="15"/>
  <c r="P39" i="15"/>
  <c r="Q39" i="15"/>
  <c r="R39" i="15"/>
  <c r="P40" i="15"/>
  <c r="Q40" i="15"/>
  <c r="R40" i="15"/>
  <c r="P41" i="15"/>
  <c r="Q41" i="15"/>
  <c r="R41" i="15"/>
  <c r="P42" i="15"/>
  <c r="Q42" i="15"/>
  <c r="R42" i="15"/>
  <c r="P43" i="15"/>
  <c r="Q43" i="15"/>
  <c r="R43" i="15"/>
  <c r="P44" i="15"/>
  <c r="Q44" i="15"/>
  <c r="R44" i="15"/>
  <c r="P45" i="15"/>
  <c r="Q45" i="15"/>
  <c r="R45" i="15"/>
  <c r="P46" i="15"/>
  <c r="Q46" i="15"/>
  <c r="R46" i="15"/>
  <c r="P47" i="15"/>
  <c r="Q47" i="15"/>
  <c r="R47" i="15"/>
  <c r="P48" i="15"/>
  <c r="Q48" i="15"/>
  <c r="R48" i="15"/>
  <c r="P49" i="15"/>
  <c r="Q49" i="15"/>
  <c r="R49" i="15"/>
  <c r="P50" i="15"/>
  <c r="Q50" i="15"/>
  <c r="R50" i="15"/>
  <c r="P51" i="15"/>
  <c r="Q51" i="15"/>
  <c r="R51" i="15"/>
  <c r="P52" i="15"/>
  <c r="Q52" i="15"/>
  <c r="R52" i="15"/>
  <c r="P53" i="15"/>
  <c r="Q53" i="15"/>
  <c r="R53" i="15"/>
  <c r="P54" i="15"/>
  <c r="Q54" i="15"/>
  <c r="R54" i="15"/>
  <c r="P55" i="15"/>
  <c r="Q55" i="15"/>
  <c r="R55" i="15"/>
  <c r="P56" i="15"/>
  <c r="Q56" i="15"/>
  <c r="R56" i="15"/>
  <c r="P57" i="15"/>
  <c r="Q57" i="15"/>
  <c r="R57" i="15"/>
  <c r="P58" i="15"/>
  <c r="Q58" i="15"/>
  <c r="R58" i="15"/>
  <c r="P59" i="15"/>
  <c r="Q59" i="15"/>
  <c r="R59" i="15"/>
  <c r="P60" i="15"/>
  <c r="Q60" i="15"/>
  <c r="R60" i="15"/>
  <c r="P61" i="15"/>
  <c r="Q61" i="15"/>
  <c r="R61" i="15"/>
  <c r="P62" i="15"/>
  <c r="Q62" i="15"/>
  <c r="R62" i="15"/>
  <c r="P63" i="15"/>
  <c r="Q63" i="15"/>
  <c r="R63" i="15"/>
  <c r="P64" i="15"/>
  <c r="Q64" i="15"/>
  <c r="R64" i="15"/>
  <c r="P65" i="15"/>
  <c r="Q65" i="15"/>
  <c r="R65" i="15"/>
  <c r="P66" i="15"/>
  <c r="Q66" i="15"/>
  <c r="R66" i="15"/>
  <c r="P67" i="15"/>
  <c r="Q67" i="15"/>
  <c r="R67" i="15"/>
  <c r="P68" i="15"/>
  <c r="Q68" i="15"/>
  <c r="R68" i="15"/>
  <c r="P69" i="15"/>
  <c r="Q69" i="15"/>
  <c r="R69" i="15"/>
  <c r="P70" i="15"/>
  <c r="Q70" i="15"/>
  <c r="R70" i="15"/>
  <c r="P71" i="15"/>
  <c r="Q71" i="15"/>
  <c r="R71" i="15"/>
  <c r="P72" i="15"/>
  <c r="Q72" i="15"/>
  <c r="R72" i="15"/>
  <c r="P73" i="15"/>
  <c r="Q73" i="15"/>
  <c r="R73" i="15"/>
  <c r="P74" i="15"/>
  <c r="Q74" i="15"/>
  <c r="R74" i="15"/>
  <c r="P75" i="15"/>
  <c r="Q75" i="15"/>
  <c r="R75" i="15"/>
  <c r="P76" i="15"/>
  <c r="Q76" i="15"/>
  <c r="R76" i="15"/>
  <c r="P77" i="15"/>
  <c r="Q77" i="15"/>
  <c r="R77" i="15"/>
  <c r="P78" i="15"/>
  <c r="Q78" i="15"/>
  <c r="R78" i="15"/>
  <c r="P79" i="15"/>
  <c r="Q79" i="15"/>
  <c r="R79" i="15"/>
  <c r="P80" i="15"/>
  <c r="Q80" i="15"/>
  <c r="R80" i="15"/>
  <c r="P81" i="15"/>
  <c r="Q81" i="15"/>
  <c r="R81" i="15"/>
  <c r="P82" i="15"/>
  <c r="Q82" i="15"/>
  <c r="R82" i="15"/>
  <c r="P83" i="15"/>
  <c r="Q83" i="15"/>
  <c r="R83" i="15"/>
  <c r="P84" i="15"/>
  <c r="Q84" i="15"/>
  <c r="R84" i="15"/>
  <c r="P85" i="15"/>
  <c r="Q85" i="15"/>
  <c r="R85" i="15"/>
  <c r="P86" i="15"/>
  <c r="Q86" i="15"/>
  <c r="R86" i="15"/>
  <c r="P87" i="15"/>
  <c r="Q87" i="15"/>
  <c r="R87" i="15"/>
  <c r="P88" i="15"/>
  <c r="Q88" i="15"/>
  <c r="R88" i="15"/>
  <c r="P89" i="15"/>
  <c r="Q89" i="15"/>
  <c r="R89" i="15"/>
  <c r="P90" i="15"/>
  <c r="Q90" i="15"/>
  <c r="R90" i="15"/>
  <c r="P91" i="15"/>
  <c r="Q91" i="15"/>
  <c r="R91" i="15"/>
  <c r="P92" i="15"/>
  <c r="Q92" i="15"/>
  <c r="R92" i="15"/>
  <c r="P93" i="15"/>
  <c r="Q93" i="15"/>
  <c r="R93" i="15"/>
  <c r="P94" i="15"/>
  <c r="Q94" i="15"/>
  <c r="R94" i="15"/>
  <c r="P95" i="15"/>
  <c r="Q95" i="15"/>
  <c r="R95" i="15"/>
  <c r="P96" i="15"/>
  <c r="Q96" i="15"/>
  <c r="R96" i="15"/>
  <c r="P97" i="15"/>
  <c r="Q97" i="15"/>
  <c r="R97" i="15"/>
  <c r="P98" i="15"/>
  <c r="Q98" i="15"/>
  <c r="R98" i="15"/>
  <c r="P99" i="15"/>
  <c r="Q99" i="15"/>
  <c r="R99" i="15"/>
  <c r="P100" i="15"/>
  <c r="Q100" i="15"/>
  <c r="R100" i="15"/>
  <c r="P101" i="15"/>
  <c r="Q101" i="15"/>
  <c r="R101" i="15"/>
  <c r="P102" i="15"/>
  <c r="Q102" i="15"/>
  <c r="R102" i="15"/>
  <c r="P103" i="15"/>
  <c r="Q103" i="15"/>
  <c r="R103" i="15"/>
  <c r="P104" i="15"/>
  <c r="Q104" i="15"/>
  <c r="R104" i="15"/>
  <c r="P105" i="15"/>
  <c r="Q105" i="15"/>
  <c r="R105" i="15"/>
  <c r="P106" i="15"/>
  <c r="Q106" i="15"/>
  <c r="R106" i="15"/>
  <c r="P107" i="15"/>
  <c r="Q107" i="15"/>
  <c r="R107" i="15"/>
  <c r="P108" i="15"/>
  <c r="Q108" i="15"/>
  <c r="R108" i="15"/>
  <c r="P109" i="15"/>
  <c r="Q109" i="15"/>
  <c r="R109" i="15"/>
  <c r="P110" i="15"/>
  <c r="Q110" i="15"/>
  <c r="R110" i="15"/>
  <c r="P111" i="15"/>
  <c r="Q111" i="15"/>
  <c r="R111" i="15"/>
  <c r="P112" i="15"/>
  <c r="Q112" i="15"/>
  <c r="R112" i="15"/>
  <c r="P113" i="15"/>
  <c r="Q113" i="15"/>
  <c r="R113" i="15"/>
  <c r="P114" i="15"/>
  <c r="Q114" i="15"/>
  <c r="R114" i="15"/>
  <c r="P115" i="15"/>
  <c r="Q115" i="15"/>
  <c r="R115" i="15"/>
  <c r="P116" i="15"/>
  <c r="Q116" i="15"/>
  <c r="R116" i="15"/>
  <c r="P117" i="15"/>
  <c r="Q117" i="15"/>
  <c r="R117" i="15"/>
  <c r="P118" i="15"/>
  <c r="Q118" i="15"/>
  <c r="R118" i="15"/>
  <c r="P119" i="15"/>
  <c r="Q119" i="15"/>
  <c r="R119" i="15"/>
  <c r="P120" i="15"/>
  <c r="Q120" i="15"/>
  <c r="R120" i="15"/>
  <c r="P121" i="15"/>
  <c r="Q121" i="15"/>
  <c r="R121" i="15"/>
  <c r="P122" i="15"/>
  <c r="Q122" i="15"/>
  <c r="R122" i="15"/>
  <c r="P123" i="15"/>
  <c r="Q123" i="15"/>
  <c r="R123" i="15"/>
  <c r="P124" i="15"/>
  <c r="Q124" i="15"/>
  <c r="R124" i="15"/>
  <c r="P125" i="15"/>
  <c r="Q125" i="15"/>
  <c r="R125" i="15"/>
  <c r="P126" i="15"/>
  <c r="Q126" i="15"/>
  <c r="R126" i="15"/>
  <c r="P127" i="15"/>
  <c r="Q127" i="15"/>
  <c r="R127" i="15"/>
  <c r="P128" i="15"/>
  <c r="Q128" i="15"/>
  <c r="R128" i="15"/>
  <c r="P129" i="15"/>
  <c r="Q129" i="15"/>
  <c r="R129" i="15"/>
  <c r="P130" i="15"/>
  <c r="Q130" i="15"/>
  <c r="R130" i="15"/>
  <c r="P131" i="15"/>
  <c r="Q131" i="15"/>
  <c r="R131" i="15"/>
  <c r="P132" i="15"/>
  <c r="Q132" i="15"/>
  <c r="R132" i="15"/>
  <c r="P133" i="15"/>
  <c r="Q133" i="15"/>
  <c r="R133" i="15"/>
  <c r="P134" i="15"/>
  <c r="Q134" i="15"/>
  <c r="R134" i="15"/>
  <c r="P135" i="15"/>
  <c r="Q135" i="15"/>
  <c r="R135" i="15"/>
  <c r="P136" i="15"/>
  <c r="Q136" i="15"/>
  <c r="R136" i="15"/>
  <c r="P137" i="15"/>
  <c r="Q137" i="15"/>
  <c r="R137" i="15"/>
  <c r="P138" i="15"/>
  <c r="Q138" i="15"/>
  <c r="R138" i="15"/>
  <c r="P139" i="15"/>
  <c r="Q139" i="15"/>
  <c r="R139" i="15"/>
  <c r="P140" i="15"/>
  <c r="Q140" i="15"/>
  <c r="R140" i="15"/>
  <c r="P141" i="15"/>
  <c r="Q141" i="15"/>
  <c r="R141" i="15"/>
  <c r="P142" i="15"/>
  <c r="Q142" i="15"/>
  <c r="R142" i="15"/>
  <c r="P143" i="15"/>
  <c r="Q143" i="15"/>
  <c r="R143" i="15"/>
  <c r="P144" i="15"/>
  <c r="Q144" i="15"/>
  <c r="R144" i="15"/>
  <c r="P145" i="15"/>
  <c r="Q145" i="15"/>
  <c r="R145" i="15"/>
  <c r="P146" i="15"/>
  <c r="Q146" i="15"/>
  <c r="R146" i="15"/>
  <c r="P147" i="15"/>
  <c r="Q147" i="15"/>
  <c r="R147" i="15"/>
  <c r="P148" i="15"/>
  <c r="Q148" i="15"/>
  <c r="R148" i="15"/>
  <c r="P149" i="15"/>
  <c r="Q149" i="15"/>
  <c r="R149" i="15"/>
  <c r="P150" i="15"/>
  <c r="Q150" i="15"/>
  <c r="R150" i="15"/>
  <c r="P151" i="15"/>
  <c r="Q151" i="15"/>
  <c r="R151" i="15"/>
  <c r="P152" i="15"/>
  <c r="Q152" i="15"/>
  <c r="R152" i="15"/>
  <c r="P153" i="15"/>
  <c r="Q153" i="15"/>
  <c r="R153" i="15"/>
  <c r="P154" i="15"/>
  <c r="Q154" i="15"/>
  <c r="R154" i="15"/>
  <c r="P155" i="15"/>
  <c r="Q155" i="15"/>
  <c r="R155" i="15"/>
  <c r="P156" i="15"/>
  <c r="Q156" i="15"/>
  <c r="R156" i="15"/>
  <c r="P157" i="15"/>
  <c r="Q157" i="15"/>
  <c r="R157" i="15"/>
  <c r="P158" i="15"/>
  <c r="Q158" i="15"/>
  <c r="R158" i="15"/>
  <c r="P159" i="15"/>
  <c r="Q159" i="15"/>
  <c r="R159" i="15"/>
  <c r="P160" i="15"/>
  <c r="Q160" i="15"/>
  <c r="R160" i="15"/>
  <c r="P161" i="15"/>
  <c r="Q161" i="15"/>
  <c r="R161" i="15"/>
  <c r="P162" i="15"/>
  <c r="Q162" i="15"/>
  <c r="R162" i="15"/>
  <c r="P7" i="15"/>
  <c r="AC19" i="16"/>
  <c r="AC12" i="16"/>
  <c r="Z19" i="16"/>
  <c r="Z12" i="16"/>
  <c r="B26" i="16"/>
  <c r="B19" i="16"/>
  <c r="B18" i="16"/>
  <c r="B17" i="16"/>
  <c r="D32" i="3"/>
  <c r="D33" i="3"/>
  <c r="C10" i="3"/>
  <c r="C13" i="3"/>
  <c r="J26" i="3"/>
  <c r="C15" i="3"/>
  <c r="C14" i="3"/>
  <c r="E3" i="3"/>
  <c r="F9" i="21"/>
  <c r="L12" i="21"/>
  <c r="L11" i="21"/>
  <c r="K11" i="21"/>
  <c r="J11" i="21"/>
  <c r="I11" i="21"/>
  <c r="H11" i="21"/>
  <c r="B13" i="21"/>
  <c r="B14" i="21"/>
  <c r="B15" i="21"/>
  <c r="B12" i="21"/>
  <c r="B11" i="10"/>
  <c r="B2" i="6"/>
  <c r="B11" i="6"/>
  <c r="E27" i="3"/>
  <c r="I25" i="3"/>
  <c r="H25" i="3"/>
  <c r="B4" i="3" l="1"/>
  <c r="E4" i="3" s="1"/>
  <c r="E24" i="3" s="1"/>
  <c r="E39" i="16"/>
  <c r="A17" i="16"/>
  <c r="A18" i="16"/>
  <c r="A20" i="16"/>
  <c r="A21" i="16"/>
  <c r="A23" i="16"/>
  <c r="A25" i="16"/>
  <c r="D32" i="16"/>
  <c r="D31" i="16"/>
  <c r="D30" i="16"/>
  <c r="D29" i="16"/>
  <c r="H28" i="16"/>
  <c r="G25" i="16"/>
  <c r="B25" i="16"/>
  <c r="D22" i="16"/>
  <c r="G19" i="16"/>
  <c r="N16" i="16"/>
  <c r="N15" i="16"/>
  <c r="M14" i="16"/>
  <c r="B14" i="16"/>
  <c r="K6" i="16" s="1"/>
  <c r="N13" i="16"/>
  <c r="G13" i="16"/>
  <c r="P10" i="16" s="1"/>
  <c r="D13" i="16"/>
  <c r="J13" i="16" s="1"/>
  <c r="F30" i="16" s="1"/>
  <c r="N11" i="16"/>
  <c r="M10" i="16"/>
  <c r="F32" i="16" s="1"/>
  <c r="Q9" i="16"/>
  <c r="H25" i="16" s="1"/>
  <c r="H33" i="16" s="1"/>
  <c r="M9" i="16"/>
  <c r="J9" i="16"/>
  <c r="G9" i="16"/>
  <c r="B23" i="16" s="1"/>
  <c r="N6" i="16"/>
  <c r="Q5" i="16"/>
  <c r="H19" i="16" s="1"/>
  <c r="M5" i="16"/>
  <c r="F31" i="16" s="1"/>
  <c r="J5" i="16"/>
  <c r="F22" i="16" s="1"/>
  <c r="F26" i="16" s="1"/>
  <c r="G5" i="16"/>
  <c r="B21" i="16" s="1"/>
  <c r="E5" i="16"/>
  <c r="B44" i="16" l="1"/>
  <c r="E40" i="16"/>
  <c r="B20" i="16"/>
  <c r="D9" i="16"/>
  <c r="B22" i="16" l="1"/>
  <c r="B24" i="16" s="1"/>
  <c r="K10" i="16"/>
  <c r="F29" i="16" s="1"/>
  <c r="F33" i="16" s="1"/>
  <c r="F35" i="16" l="1"/>
  <c r="B41" i="16"/>
  <c r="B48" i="16" l="1"/>
  <c r="H20" i="16"/>
  <c r="H21" i="16" s="1"/>
  <c r="B42" i="16"/>
  <c r="B49" i="16"/>
  <c r="B40" i="16"/>
  <c r="H35" i="16" l="1"/>
  <c r="H39" i="16"/>
  <c r="B43" i="16"/>
  <c r="B50" i="16" s="1"/>
  <c r="B47" i="16"/>
  <c r="B51" i="16" s="1"/>
  <c r="B39" i="16"/>
  <c r="C12" i="12" l="1"/>
  <c r="B11" i="20" l="1"/>
  <c r="B18" i="20" s="1"/>
  <c r="D22" i="3"/>
  <c r="E18" i="20" l="1"/>
  <c r="C13" i="20"/>
  <c r="B30" i="18"/>
  <c r="C31" i="18" s="1"/>
  <c r="E31" i="18" s="1"/>
  <c r="D15" i="19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C25" i="18"/>
  <c r="C9" i="19"/>
  <c r="B14" i="19"/>
  <c r="C15" i="19" s="1"/>
  <c r="E19" i="20" l="1"/>
  <c r="C19" i="20"/>
  <c r="E15" i="19"/>
  <c r="B15" i="19"/>
  <c r="C16" i="19" s="1"/>
  <c r="E16" i="19" s="1"/>
  <c r="B31" i="18"/>
  <c r="C32" i="18" s="1"/>
  <c r="AA14" i="15"/>
  <c r="AD11" i="15" s="1"/>
  <c r="V29" i="15"/>
  <c r="V22" i="15" s="1"/>
  <c r="V28" i="15"/>
  <c r="R20" i="15"/>
  <c r="Q20" i="15"/>
  <c r="P20" i="15"/>
  <c r="Q19" i="15"/>
  <c r="P19" i="15"/>
  <c r="R18" i="15"/>
  <c r="Q18" i="15"/>
  <c r="P18" i="15"/>
  <c r="V17" i="15"/>
  <c r="R17" i="15"/>
  <c r="Q17" i="15"/>
  <c r="P17" i="15"/>
  <c r="R16" i="15"/>
  <c r="Q16" i="15"/>
  <c r="P16" i="15"/>
  <c r="R15" i="15"/>
  <c r="Q15" i="15"/>
  <c r="P15" i="15"/>
  <c r="R14" i="15"/>
  <c r="Q14" i="15"/>
  <c r="P14" i="15"/>
  <c r="X13" i="15"/>
  <c r="W13" i="15"/>
  <c r="V13" i="15"/>
  <c r="R13" i="15"/>
  <c r="Q13" i="15"/>
  <c r="P13" i="15"/>
  <c r="R12" i="15"/>
  <c r="Q12" i="15"/>
  <c r="P12" i="15"/>
  <c r="AC11" i="15"/>
  <c r="AB11" i="15"/>
  <c r="R11" i="15"/>
  <c r="Q11" i="15"/>
  <c r="P11" i="15"/>
  <c r="R10" i="15"/>
  <c r="Q10" i="15"/>
  <c r="P10" i="15"/>
  <c r="R9" i="15"/>
  <c r="Q9" i="15"/>
  <c r="P9" i="15"/>
  <c r="AA8" i="15"/>
  <c r="AD5" i="15" s="1"/>
  <c r="R8" i="15"/>
  <c r="Q8" i="15"/>
  <c r="P8" i="15"/>
  <c r="AA7" i="15"/>
  <c r="AC5" i="15" s="1"/>
  <c r="R7" i="15"/>
  <c r="AA6" i="15"/>
  <c r="AB5" i="15" s="1"/>
  <c r="D19" i="20" l="1"/>
  <c r="E20" i="20"/>
  <c r="B16" i="19"/>
  <c r="C17" i="19" s="1"/>
  <c r="E17" i="19" s="1"/>
  <c r="E32" i="18"/>
  <c r="B32" i="18"/>
  <c r="C33" i="18" s="1"/>
  <c r="V21" i="15"/>
  <c r="W6" i="15"/>
  <c r="Q7" i="15"/>
  <c r="R19" i="15"/>
  <c r="AB7" i="15"/>
  <c r="AC6" i="15" s="1"/>
  <c r="AD6" i="15"/>
  <c r="AB8" i="15" s="1"/>
  <c r="AD7" i="15"/>
  <c r="AC8" i="15" s="1"/>
  <c r="AB12" i="15" l="1"/>
  <c r="E21" i="20"/>
  <c r="E22" i="20" s="1"/>
  <c r="B17" i="19"/>
  <c r="C18" i="19" s="1"/>
  <c r="E18" i="19" s="1"/>
  <c r="E33" i="18"/>
  <c r="B33" i="18"/>
  <c r="C34" i="18" s="1"/>
  <c r="AC14" i="15"/>
  <c r="AD13" i="15"/>
  <c r="AC7" i="15"/>
  <c r="AD8" i="15"/>
  <c r="AB13" i="15"/>
  <c r="AC12" i="15"/>
  <c r="AB14" i="15"/>
  <c r="AD12" i="15"/>
  <c r="V8" i="15"/>
  <c r="V7" i="15"/>
  <c r="V6" i="15"/>
  <c r="E23" i="20" l="1"/>
  <c r="B18" i="19"/>
  <c r="C19" i="19" s="1"/>
  <c r="B34" i="18"/>
  <c r="C35" i="18" s="1"/>
  <c r="E34" i="18"/>
  <c r="AD14" i="15"/>
  <c r="W8" i="15"/>
  <c r="AC13" i="15"/>
  <c r="W7" i="15"/>
  <c r="E24" i="20" l="1"/>
  <c r="B19" i="19"/>
  <c r="C20" i="19" s="1"/>
  <c r="E35" i="18"/>
  <c r="B35" i="18"/>
  <c r="C36" i="18" s="1"/>
  <c r="AB17" i="15"/>
  <c r="AB18" i="15" s="1"/>
  <c r="E25" i="20" l="1"/>
  <c r="B20" i="19"/>
  <c r="C21" i="19" s="1"/>
  <c r="E36" i="18"/>
  <c r="B36" i="18"/>
  <c r="C37" i="18" s="1"/>
  <c r="E4" i="9"/>
  <c r="E3" i="9"/>
  <c r="B17" i="6"/>
  <c r="E23" i="3"/>
  <c r="E29" i="3" s="1"/>
  <c r="B18" i="10"/>
  <c r="B17" i="10"/>
  <c r="B18" i="6"/>
  <c r="E26" i="20" l="1"/>
  <c r="B21" i="19"/>
  <c r="C22" i="19" s="1"/>
  <c r="E37" i="18"/>
  <c r="B37" i="18"/>
  <c r="C38" i="18" s="1"/>
  <c r="B16" i="10"/>
  <c r="E27" i="20" l="1"/>
  <c r="B22" i="19"/>
  <c r="C23" i="19" s="1"/>
  <c r="E38" i="18"/>
  <c r="B38" i="18"/>
  <c r="C39" i="18" s="1"/>
  <c r="C10" i="12"/>
  <c r="D5" i="12"/>
  <c r="D10" i="12" s="1"/>
  <c r="D3" i="11"/>
  <c r="E3" i="11"/>
  <c r="F3" i="11"/>
  <c r="G3" i="11"/>
  <c r="C3" i="11"/>
  <c r="B14" i="10"/>
  <c r="B3" i="10"/>
  <c r="B4" i="10"/>
  <c r="B5" i="10"/>
  <c r="B6" i="10"/>
  <c r="E3" i="10" s="1"/>
  <c r="B7" i="10"/>
  <c r="B8" i="10"/>
  <c r="I27" i="10" s="1"/>
  <c r="B9" i="10"/>
  <c r="E24" i="10" s="1"/>
  <c r="B10" i="10"/>
  <c r="B12" i="10"/>
  <c r="B13" i="10"/>
  <c r="B2" i="10"/>
  <c r="D23" i="10" s="1"/>
  <c r="D30" i="10" s="1"/>
  <c r="I48" i="10"/>
  <c r="O30" i="10"/>
  <c r="N30" i="10"/>
  <c r="M30" i="10"/>
  <c r="L30" i="10"/>
  <c r="G22" i="10"/>
  <c r="H22" i="10" s="1"/>
  <c r="I22" i="10" s="1"/>
  <c r="J22" i="10" s="1"/>
  <c r="K22" i="10" s="1"/>
  <c r="L22" i="10" s="1"/>
  <c r="M22" i="10" s="1"/>
  <c r="N22" i="10" s="1"/>
  <c r="O22" i="10" s="1"/>
  <c r="I46" i="9"/>
  <c r="P29" i="9"/>
  <c r="O28" i="9"/>
  <c r="N28" i="9"/>
  <c r="M28" i="9"/>
  <c r="L28" i="9"/>
  <c r="I25" i="9"/>
  <c r="D22" i="9"/>
  <c r="D28" i="9" s="1"/>
  <c r="G21" i="9"/>
  <c r="H21" i="9" s="1"/>
  <c r="I21" i="9" s="1"/>
  <c r="J21" i="9" s="1"/>
  <c r="K21" i="9" s="1"/>
  <c r="L21" i="9" s="1"/>
  <c r="M21" i="9" s="1"/>
  <c r="N21" i="9" s="1"/>
  <c r="O21" i="9" s="1"/>
  <c r="B15" i="9"/>
  <c r="I26" i="9" s="1"/>
  <c r="I24" i="9"/>
  <c r="H23" i="9"/>
  <c r="B3" i="6"/>
  <c r="B4" i="6"/>
  <c r="B5" i="6"/>
  <c r="B6" i="6"/>
  <c r="B7" i="6"/>
  <c r="B8" i="6"/>
  <c r="K27" i="6" s="1"/>
  <c r="B9" i="6"/>
  <c r="B10" i="6"/>
  <c r="B12" i="6"/>
  <c r="B13" i="6"/>
  <c r="B14" i="6"/>
  <c r="D23" i="6"/>
  <c r="D30" i="6" s="1"/>
  <c r="I48" i="6"/>
  <c r="O30" i="6"/>
  <c r="N30" i="6"/>
  <c r="M30" i="6"/>
  <c r="L30" i="6"/>
  <c r="G22" i="6"/>
  <c r="H22" i="6" s="1"/>
  <c r="I22" i="6" s="1"/>
  <c r="J22" i="6" s="1"/>
  <c r="K22" i="6" s="1"/>
  <c r="L22" i="6" s="1"/>
  <c r="M22" i="6" s="1"/>
  <c r="N22" i="6" s="1"/>
  <c r="O22" i="6" s="1"/>
  <c r="I47" i="3"/>
  <c r="J47" i="3" s="1"/>
  <c r="P30" i="3"/>
  <c r="O29" i="3"/>
  <c r="N29" i="3"/>
  <c r="M29" i="3"/>
  <c r="L29" i="3"/>
  <c r="D29" i="3"/>
  <c r="G21" i="3"/>
  <c r="H27" i="3"/>
  <c r="H24" i="3"/>
  <c r="K23" i="3"/>
  <c r="H21" i="3" l="1"/>
  <c r="J25" i="3"/>
  <c r="B15" i="6"/>
  <c r="E28" i="6" s="1"/>
  <c r="E3" i="6"/>
  <c r="K25" i="6" s="1"/>
  <c r="E24" i="6"/>
  <c r="F24" i="6" s="1"/>
  <c r="E4" i="10"/>
  <c r="I26" i="10" s="1"/>
  <c r="E28" i="20"/>
  <c r="B23" i="19"/>
  <c r="C24" i="19" s="1"/>
  <c r="E39" i="18"/>
  <c r="B39" i="18"/>
  <c r="C40" i="18" s="1"/>
  <c r="E4" i="6"/>
  <c r="H26" i="6" s="1"/>
  <c r="B15" i="10"/>
  <c r="G28" i="10" s="1"/>
  <c r="K47" i="3"/>
  <c r="I3" i="11"/>
  <c r="E5" i="12"/>
  <c r="F27" i="3"/>
  <c r="N29" i="9"/>
  <c r="H3" i="11"/>
  <c r="O29" i="9"/>
  <c r="C11" i="12"/>
  <c r="I27" i="3"/>
  <c r="J27" i="3"/>
  <c r="C6" i="12"/>
  <c r="I24" i="3"/>
  <c r="E23" i="9"/>
  <c r="F23" i="9"/>
  <c r="G23" i="9"/>
  <c r="F11" i="12" s="1"/>
  <c r="I23" i="9"/>
  <c r="F26" i="9"/>
  <c r="H25" i="10"/>
  <c r="G24" i="10"/>
  <c r="F24" i="10"/>
  <c r="H24" i="10"/>
  <c r="I24" i="10"/>
  <c r="M31" i="10"/>
  <c r="N31" i="10"/>
  <c r="I28" i="10"/>
  <c r="E28" i="10"/>
  <c r="H28" i="10"/>
  <c r="F28" i="10"/>
  <c r="D31" i="10"/>
  <c r="O31" i="10"/>
  <c r="G26" i="10"/>
  <c r="L31" i="10"/>
  <c r="P31" i="10"/>
  <c r="J48" i="10"/>
  <c r="L29" i="9"/>
  <c r="M29" i="9"/>
  <c r="G24" i="9"/>
  <c r="G26" i="9"/>
  <c r="J46" i="9"/>
  <c r="F24" i="9"/>
  <c r="H24" i="9"/>
  <c r="G11" i="12" s="1"/>
  <c r="H26" i="9"/>
  <c r="D29" i="9"/>
  <c r="E24" i="9"/>
  <c r="E26" i="9"/>
  <c r="P31" i="6"/>
  <c r="D31" i="6"/>
  <c r="L31" i="6"/>
  <c r="N31" i="6"/>
  <c r="O31" i="6"/>
  <c r="M31" i="6"/>
  <c r="J48" i="6"/>
  <c r="D30" i="3"/>
  <c r="H23" i="3"/>
  <c r="I23" i="3"/>
  <c r="F24" i="3"/>
  <c r="J24" i="3"/>
  <c r="F23" i="3"/>
  <c r="J23" i="3"/>
  <c r="G24" i="3"/>
  <c r="K24" i="3"/>
  <c r="G27" i="3"/>
  <c r="K27" i="3"/>
  <c r="G23" i="3"/>
  <c r="D35" i="3" l="1"/>
  <c r="D36" i="3"/>
  <c r="J28" i="6"/>
  <c r="I21" i="3"/>
  <c r="J21" i="3" s="1"/>
  <c r="K21" i="3" s="1"/>
  <c r="L21" i="3" s="1"/>
  <c r="K25" i="3"/>
  <c r="F25" i="6"/>
  <c r="G28" i="6"/>
  <c r="H28" i="6"/>
  <c r="I28" i="6"/>
  <c r="K28" i="6"/>
  <c r="F28" i="6"/>
  <c r="H24" i="6"/>
  <c r="F29" i="3"/>
  <c r="G24" i="6"/>
  <c r="J24" i="6"/>
  <c r="J26" i="6"/>
  <c r="K26" i="6"/>
  <c r="F26" i="6"/>
  <c r="G26" i="6"/>
  <c r="E26" i="6"/>
  <c r="I26" i="6"/>
  <c r="H26" i="10"/>
  <c r="I24" i="6"/>
  <c r="E26" i="10"/>
  <c r="K24" i="6"/>
  <c r="F26" i="10"/>
  <c r="D40" i="20"/>
  <c r="D41" i="20"/>
  <c r="B24" i="19"/>
  <c r="C25" i="19" s="1"/>
  <c r="E40" i="18"/>
  <c r="B40" i="18"/>
  <c r="C41" i="18" s="1"/>
  <c r="I6" i="12"/>
  <c r="E6" i="12"/>
  <c r="I25" i="6"/>
  <c r="F5" i="12"/>
  <c r="E10" i="12"/>
  <c r="L47" i="3"/>
  <c r="J3" i="11"/>
  <c r="I28" i="9"/>
  <c r="I41" i="9" s="1"/>
  <c r="H11" i="12"/>
  <c r="E11" i="12"/>
  <c r="D11" i="12"/>
  <c r="I29" i="3"/>
  <c r="H6" i="12"/>
  <c r="K29" i="3"/>
  <c r="J6" i="12"/>
  <c r="H29" i="3"/>
  <c r="G6" i="12"/>
  <c r="D6" i="12"/>
  <c r="G29" i="3"/>
  <c r="F6" i="12"/>
  <c r="F28" i="9"/>
  <c r="F29" i="9" s="1"/>
  <c r="I25" i="10"/>
  <c r="I30" i="10" s="1"/>
  <c r="J30" i="10"/>
  <c r="J28" i="9"/>
  <c r="J29" i="9" s="1"/>
  <c r="H28" i="9"/>
  <c r="H29" i="9" s="1"/>
  <c r="G28" i="9"/>
  <c r="G29" i="9" s="1"/>
  <c r="E28" i="9"/>
  <c r="K30" i="10"/>
  <c r="F25" i="10"/>
  <c r="F30" i="10" s="1"/>
  <c r="G25" i="10"/>
  <c r="E25" i="10"/>
  <c r="E30" i="10"/>
  <c r="K48" i="10"/>
  <c r="G30" i="10"/>
  <c r="H30" i="10"/>
  <c r="K28" i="9"/>
  <c r="K46" i="9"/>
  <c r="E25" i="6"/>
  <c r="H25" i="6"/>
  <c r="G25" i="6"/>
  <c r="J25" i="6"/>
  <c r="K48" i="6"/>
  <c r="J29" i="3"/>
  <c r="D44" i="3" l="1"/>
  <c r="E30" i="6"/>
  <c r="E43" i="6" s="1"/>
  <c r="F42" i="3"/>
  <c r="M21" i="3"/>
  <c r="L30" i="3"/>
  <c r="F30" i="6"/>
  <c r="F31" i="6" s="1"/>
  <c r="H30" i="6"/>
  <c r="H43" i="6" s="1"/>
  <c r="E48" i="3"/>
  <c r="D4" i="11" s="1"/>
  <c r="D48" i="3"/>
  <c r="C4" i="11" s="1"/>
  <c r="I30" i="6"/>
  <c r="I43" i="6" s="1"/>
  <c r="J30" i="6"/>
  <c r="J31" i="6" s="1"/>
  <c r="F48" i="3"/>
  <c r="E4" i="11" s="1"/>
  <c r="K48" i="3"/>
  <c r="J4" i="11" s="1"/>
  <c r="K30" i="6"/>
  <c r="K43" i="6" s="1"/>
  <c r="G30" i="6"/>
  <c r="G31" i="6" s="1"/>
  <c r="B25" i="19"/>
  <c r="C26" i="19" s="1"/>
  <c r="B41" i="18"/>
  <c r="C42" i="18" s="1"/>
  <c r="E41" i="18"/>
  <c r="I29" i="9"/>
  <c r="K3" i="11"/>
  <c r="M47" i="3"/>
  <c r="F41" i="9"/>
  <c r="G5" i="12"/>
  <c r="F10" i="12"/>
  <c r="E31" i="10"/>
  <c r="E41" i="9"/>
  <c r="E30" i="3"/>
  <c r="I48" i="3"/>
  <c r="H4" i="11" s="1"/>
  <c r="M48" i="3"/>
  <c r="L4" i="11" s="1"/>
  <c r="E42" i="3"/>
  <c r="H48" i="3"/>
  <c r="G4" i="11" s="1"/>
  <c r="J48" i="3"/>
  <c r="I4" i="11" s="1"/>
  <c r="G48" i="3"/>
  <c r="F4" i="11" s="1"/>
  <c r="L48" i="3"/>
  <c r="K4" i="11" s="1"/>
  <c r="G30" i="3"/>
  <c r="G42" i="3"/>
  <c r="H30" i="3"/>
  <c r="H42" i="3"/>
  <c r="K30" i="3"/>
  <c r="K42" i="3"/>
  <c r="J30" i="3"/>
  <c r="J42" i="3"/>
  <c r="C7" i="12"/>
  <c r="I30" i="3"/>
  <c r="I42" i="3"/>
  <c r="J41" i="9"/>
  <c r="H41" i="9"/>
  <c r="J47" i="9"/>
  <c r="I5" i="11" s="1"/>
  <c r="D34" i="9"/>
  <c r="E29" i="9"/>
  <c r="G41" i="9"/>
  <c r="D49" i="10"/>
  <c r="E43" i="10"/>
  <c r="F47" i="9"/>
  <c r="E5" i="11" s="1"/>
  <c r="H47" i="9"/>
  <c r="G5" i="11" s="1"/>
  <c r="G47" i="9"/>
  <c r="F5" i="11" s="1"/>
  <c r="E47" i="9"/>
  <c r="D5" i="11" s="1"/>
  <c r="D35" i="9"/>
  <c r="F43" i="10"/>
  <c r="F31" i="10"/>
  <c r="G43" i="10"/>
  <c r="G31" i="10"/>
  <c r="I31" i="10"/>
  <c r="I43" i="10"/>
  <c r="E49" i="10"/>
  <c r="J43" i="10"/>
  <c r="J31" i="10"/>
  <c r="D34" i="10"/>
  <c r="D45" i="10" s="1"/>
  <c r="D37" i="10"/>
  <c r="D36" i="10"/>
  <c r="K43" i="10"/>
  <c r="K31" i="10"/>
  <c r="J49" i="10"/>
  <c r="I49" i="10"/>
  <c r="H49" i="10"/>
  <c r="H31" i="10"/>
  <c r="H43" i="10"/>
  <c r="L48" i="10"/>
  <c r="K49" i="10"/>
  <c r="G49" i="10"/>
  <c r="F49" i="10"/>
  <c r="L46" i="9"/>
  <c r="K47" i="9"/>
  <c r="J5" i="11" s="1"/>
  <c r="K41" i="9"/>
  <c r="K29" i="9"/>
  <c r="I47" i="9"/>
  <c r="H5" i="11" s="1"/>
  <c r="D47" i="9"/>
  <c r="C5" i="11" s="1"/>
  <c r="D32" i="9"/>
  <c r="D43" i="9" s="1"/>
  <c r="F43" i="6"/>
  <c r="E31" i="6"/>
  <c r="L48" i="6"/>
  <c r="F30" i="3"/>
  <c r="H31" i="6" l="1"/>
  <c r="N21" i="3"/>
  <c r="M30" i="3"/>
  <c r="J43" i="6"/>
  <c r="I31" i="6"/>
  <c r="D36" i="6"/>
  <c r="D34" i="6"/>
  <c r="D45" i="6" s="1"/>
  <c r="I49" i="6"/>
  <c r="G49" i="6"/>
  <c r="E49" i="6"/>
  <c r="D37" i="6"/>
  <c r="G43" i="6"/>
  <c r="D39" i="6" s="1"/>
  <c r="D41" i="6" s="1"/>
  <c r="K49" i="6"/>
  <c r="H49" i="6"/>
  <c r="F49" i="6"/>
  <c r="J49" i="6"/>
  <c r="D49" i="6"/>
  <c r="K31" i="6"/>
  <c r="D38" i="3"/>
  <c r="D40" i="3" s="1"/>
  <c r="B26" i="19"/>
  <c r="C27" i="19" s="1"/>
  <c r="B42" i="18"/>
  <c r="C43" i="18" s="1"/>
  <c r="E42" i="18"/>
  <c r="H5" i="12"/>
  <c r="G10" i="12"/>
  <c r="N47" i="3"/>
  <c r="N48" i="3" s="1"/>
  <c r="L3" i="11"/>
  <c r="D31" i="9"/>
  <c r="D37" i="9"/>
  <c r="D39" i="9" s="1"/>
  <c r="D39" i="10"/>
  <c r="D41" i="10" s="1"/>
  <c r="D33" i="10"/>
  <c r="L49" i="10"/>
  <c r="M48" i="10"/>
  <c r="L47" i="9"/>
  <c r="K5" i="11" s="1"/>
  <c r="M46" i="9"/>
  <c r="L49" i="6"/>
  <c r="M48" i="6"/>
  <c r="D33" i="6" l="1"/>
  <c r="O21" i="3"/>
  <c r="O30" i="3" s="1"/>
  <c r="N30" i="3"/>
  <c r="B27" i="19"/>
  <c r="C28" i="19" s="1"/>
  <c r="E43" i="18"/>
  <c r="B43" i="18"/>
  <c r="C44" i="18" s="1"/>
  <c r="O47" i="3"/>
  <c r="O48" i="3" s="1"/>
  <c r="M3" i="11"/>
  <c r="M4" i="11"/>
  <c r="I5" i="12"/>
  <c r="J5" i="12" s="1"/>
  <c r="H10" i="12"/>
  <c r="M49" i="10"/>
  <c r="N48" i="10"/>
  <c r="M47" i="9"/>
  <c r="L5" i="11" s="1"/>
  <c r="N46" i="9"/>
  <c r="M49" i="6"/>
  <c r="N48" i="6"/>
  <c r="E28" i="19" l="1"/>
  <c r="B28" i="19"/>
  <c r="C29" i="19" s="1"/>
  <c r="E44" i="18"/>
  <c r="B44" i="18"/>
  <c r="C45" i="18" s="1"/>
  <c r="P47" i="3"/>
  <c r="N3" i="11"/>
  <c r="N4" i="11"/>
  <c r="O48" i="10"/>
  <c r="N49" i="10"/>
  <c r="O46" i="9"/>
  <c r="N47" i="9"/>
  <c r="M5" i="11" s="1"/>
  <c r="O48" i="6"/>
  <c r="N49" i="6"/>
  <c r="E29" i="19" l="1"/>
  <c r="B29" i="19"/>
  <c r="C30" i="19" s="1"/>
  <c r="E26" i="19"/>
  <c r="E22" i="19"/>
  <c r="E24" i="19"/>
  <c r="E19" i="19"/>
  <c r="E23" i="19"/>
  <c r="E27" i="19"/>
  <c r="E25" i="19"/>
  <c r="E20" i="19"/>
  <c r="E21" i="19"/>
  <c r="E45" i="18"/>
  <c r="B45" i="18"/>
  <c r="C46" i="18" s="1"/>
  <c r="O3" i="11"/>
  <c r="Q47" i="3"/>
  <c r="P48" i="3"/>
  <c r="O4" i="11" s="1"/>
  <c r="O49" i="10"/>
  <c r="P48" i="10"/>
  <c r="P46" i="9"/>
  <c r="O47" i="9"/>
  <c r="N5" i="11" s="1"/>
  <c r="P48" i="6"/>
  <c r="O49" i="6"/>
  <c r="E30" i="19" l="1"/>
  <c r="B30" i="19"/>
  <c r="C31" i="19" s="1"/>
  <c r="E46" i="18"/>
  <c r="B46" i="18"/>
  <c r="C47" i="18" s="1"/>
  <c r="P3" i="11"/>
  <c r="R47" i="3"/>
  <c r="Q48" i="3"/>
  <c r="P4" i="11" s="1"/>
  <c r="P49" i="10"/>
  <c r="Q48" i="10"/>
  <c r="P47" i="9"/>
  <c r="O5" i="11" s="1"/>
  <c r="Q46" i="9"/>
  <c r="P49" i="6"/>
  <c r="Q48" i="6"/>
  <c r="E31" i="19" l="1"/>
  <c r="B31" i="19"/>
  <c r="C32" i="19" s="1"/>
  <c r="E47" i="18"/>
  <c r="B47" i="18"/>
  <c r="C48" i="18" s="1"/>
  <c r="Q47" i="9"/>
  <c r="P5" i="11" s="1"/>
  <c r="R46" i="9"/>
  <c r="Q3" i="11"/>
  <c r="S47" i="3"/>
  <c r="R48" i="3"/>
  <c r="Q4" i="11" s="1"/>
  <c r="Q49" i="6"/>
  <c r="R48" i="6"/>
  <c r="Q49" i="10"/>
  <c r="R48" i="10"/>
  <c r="E32" i="19" l="1"/>
  <c r="B32" i="19"/>
  <c r="C33" i="19" s="1"/>
  <c r="E48" i="18"/>
  <c r="B48" i="18"/>
  <c r="C49" i="18" s="1"/>
  <c r="T47" i="3"/>
  <c r="R3" i="11"/>
  <c r="S48" i="3"/>
  <c r="R4" i="11" s="1"/>
  <c r="S48" i="6"/>
  <c r="R49" i="6"/>
  <c r="S46" i="9"/>
  <c r="R47" i="9"/>
  <c r="Q5" i="11" s="1"/>
  <c r="S48" i="10"/>
  <c r="R49" i="10"/>
  <c r="E33" i="19" l="1"/>
  <c r="B33" i="19"/>
  <c r="C34" i="19" s="1"/>
  <c r="B49" i="18"/>
  <c r="E49" i="18"/>
  <c r="T48" i="10"/>
  <c r="S49" i="10"/>
  <c r="T48" i="6"/>
  <c r="S49" i="6"/>
  <c r="T46" i="9"/>
  <c r="S47" i="9"/>
  <c r="R5" i="11" s="1"/>
  <c r="U47" i="3"/>
  <c r="S3" i="11"/>
  <c r="T48" i="3"/>
  <c r="S4" i="11" s="1"/>
  <c r="D50" i="18" l="1"/>
  <c r="C50" i="18"/>
  <c r="E34" i="19"/>
  <c r="B34" i="19"/>
  <c r="V47" i="3"/>
  <c r="T3" i="11"/>
  <c r="U48" i="3"/>
  <c r="T4" i="11" s="1"/>
  <c r="U48" i="6"/>
  <c r="T49" i="6"/>
  <c r="U46" i="9"/>
  <c r="T47" i="9"/>
  <c r="S5" i="11" s="1"/>
  <c r="U48" i="10"/>
  <c r="T49" i="10"/>
  <c r="E50" i="18" l="1"/>
  <c r="V48" i="10"/>
  <c r="U49" i="10"/>
  <c r="V48" i="6"/>
  <c r="U49" i="6"/>
  <c r="V46" i="9"/>
  <c r="U47" i="9"/>
  <c r="T5" i="11" s="1"/>
  <c r="W47" i="3"/>
  <c r="U3" i="11"/>
  <c r="V48" i="3"/>
  <c r="U4" i="11" s="1"/>
  <c r="X47" i="3" l="1"/>
  <c r="V3" i="11"/>
  <c r="W48" i="3"/>
  <c r="V4" i="11" s="1"/>
  <c r="W48" i="6"/>
  <c r="V49" i="6"/>
  <c r="W46" i="9"/>
  <c r="V47" i="9"/>
  <c r="U5" i="11" s="1"/>
  <c r="W48" i="10"/>
  <c r="V49" i="10"/>
  <c r="X48" i="10" l="1"/>
  <c r="W49" i="10"/>
  <c r="X48" i="6"/>
  <c r="W49" i="6"/>
  <c r="X46" i="9"/>
  <c r="W47" i="9"/>
  <c r="V5" i="11" s="1"/>
  <c r="Y47" i="3"/>
  <c r="W3" i="11"/>
  <c r="X48" i="3"/>
  <c r="W4" i="11" s="1"/>
  <c r="Z47" i="3" l="1"/>
  <c r="X3" i="11"/>
  <c r="Y48" i="3"/>
  <c r="X4" i="11" s="1"/>
  <c r="Y48" i="6"/>
  <c r="X49" i="6"/>
  <c r="Y46" i="9"/>
  <c r="X47" i="9"/>
  <c r="W5" i="11" s="1"/>
  <c r="Y48" i="10"/>
  <c r="X49" i="10"/>
  <c r="Z48" i="10" l="1"/>
  <c r="Y49" i="10"/>
  <c r="Z48" i="6"/>
  <c r="Y49" i="6"/>
  <c r="Z46" i="9"/>
  <c r="Y47" i="9"/>
  <c r="X5" i="11" s="1"/>
  <c r="Y3" i="11"/>
  <c r="AA47" i="3"/>
  <c r="Z48" i="3"/>
  <c r="Y4" i="11" s="1"/>
  <c r="AB47" i="3" l="1"/>
  <c r="Z3" i="11"/>
  <c r="AA48" i="3"/>
  <c r="Z4" i="11" s="1"/>
  <c r="AA48" i="6"/>
  <c r="Z49" i="6"/>
  <c r="AA46" i="9"/>
  <c r="Z47" i="9"/>
  <c r="Y5" i="11" s="1"/>
  <c r="AA48" i="10"/>
  <c r="Z49" i="10"/>
  <c r="AB48" i="10" l="1"/>
  <c r="AA49" i="10"/>
  <c r="AB48" i="6"/>
  <c r="AA49" i="6"/>
  <c r="AB46" i="9"/>
  <c r="AA47" i="9"/>
  <c r="Z5" i="11" s="1"/>
  <c r="AC47" i="3"/>
  <c r="AA3" i="11"/>
  <c r="AB48" i="3"/>
  <c r="AA4" i="11" s="1"/>
  <c r="AB3" i="11" l="1"/>
  <c r="AC48" i="3"/>
  <c r="AB4" i="11" s="1"/>
  <c r="AC48" i="6"/>
  <c r="AC49" i="6" s="1"/>
  <c r="AB49" i="6"/>
  <c r="AC46" i="9"/>
  <c r="AC47" i="9" s="1"/>
  <c r="AB5" i="11" s="1"/>
  <c r="AB47" i="9"/>
  <c r="AA5" i="11" s="1"/>
  <c r="AC48" i="10"/>
  <c r="AC49" i="10" s="1"/>
  <c r="AB49" i="10"/>
  <c r="B19" i="20" l="1"/>
  <c r="C20" i="20" s="1"/>
  <c r="D20" i="20" s="1"/>
  <c r="B20" i="20" l="1"/>
  <c r="C21" i="20" l="1"/>
  <c r="D21" i="20" s="1"/>
  <c r="B21" i="20" s="1"/>
  <c r="C22" i="20" s="1"/>
  <c r="D22" i="20" l="1"/>
  <c r="B22" i="20" s="1"/>
  <c r="C23" i="20" s="1"/>
  <c r="D23" i="20" s="1"/>
  <c r="B23" i="20" l="1"/>
  <c r="C24" i="20" s="1"/>
  <c r="D24" i="20" l="1"/>
  <c r="B24" i="20" s="1"/>
  <c r="C25" i="20" s="1"/>
  <c r="D25" i="20" l="1"/>
  <c r="B25" i="20" s="1"/>
  <c r="C26" i="20" s="1"/>
  <c r="D26" i="20" l="1"/>
  <c r="B26" i="20" s="1"/>
  <c r="C27" i="20" s="1"/>
  <c r="D27" i="20" l="1"/>
  <c r="B27" i="20" s="1"/>
  <c r="C28" i="20" s="1"/>
  <c r="D28" i="20" l="1"/>
  <c r="B28" i="20" s="1"/>
</calcChain>
</file>

<file path=xl/sharedStrings.xml><?xml version="1.0" encoding="utf-8"?>
<sst xmlns="http://schemas.openxmlformats.org/spreadsheetml/2006/main" count="637" uniqueCount="453">
  <si>
    <t>Investering:</t>
  </si>
  <si>
    <t>Materialeforbrug pr. enhed</t>
  </si>
  <si>
    <t>Energiforbrug pr. år</t>
  </si>
  <si>
    <t xml:space="preserve">Kapacitet pr. år </t>
  </si>
  <si>
    <t>Mandetimer pr. år</t>
  </si>
  <si>
    <t>Scrabværdi</t>
  </si>
  <si>
    <t>Forventet levetid</t>
  </si>
  <si>
    <t>Energipris pr. mwh</t>
  </si>
  <si>
    <t>Lønudgift pr. mandetime pr. år</t>
  </si>
  <si>
    <t>Rente/kapitalomkostninger</t>
  </si>
  <si>
    <t>Pris pr. enhed (anden valuta)</t>
  </si>
  <si>
    <t xml:space="preserve">Valutakurs </t>
  </si>
  <si>
    <t>Pris pr. enhed (anvendt valuta)</t>
  </si>
  <si>
    <t xml:space="preserve">År </t>
  </si>
  <si>
    <t>Investering</t>
  </si>
  <si>
    <t>Faste omkostninger</t>
  </si>
  <si>
    <t>Variable omkostnigner</t>
  </si>
  <si>
    <t>Alternativomkostnigner pr. år</t>
  </si>
  <si>
    <t>Faste omkostninger pr. år</t>
  </si>
  <si>
    <t>Variable omkostninger pr. år</t>
  </si>
  <si>
    <t>Indtjening</t>
  </si>
  <si>
    <t>Nutidsværdi</t>
  </si>
  <si>
    <t>Juster for år og indsæt selv scrab!</t>
  </si>
  <si>
    <t>Intern rente</t>
  </si>
  <si>
    <t>Nettobetalingsstrøm</t>
  </si>
  <si>
    <t>Nutidsværdi af nettobetalingsstrøm</t>
  </si>
  <si>
    <t>Nutidsværdi i alt</t>
  </si>
  <si>
    <t>Nutidsværdi i alt excel Excel</t>
  </si>
  <si>
    <t>Modificeret intern rente</t>
  </si>
  <si>
    <t>Juster for år!</t>
  </si>
  <si>
    <t>Terminalværdi af positive cashflows</t>
  </si>
  <si>
    <t>Hjælpecelle</t>
  </si>
  <si>
    <t xml:space="preserve">Terminalværdi af positive betalingsstrømme i alt </t>
  </si>
  <si>
    <t>Figur (diskonteringsrente og nettonutisværdi)</t>
  </si>
  <si>
    <t>Diskonteringsrente</t>
  </si>
  <si>
    <t>Faste omkostninger pr. år (uden energi)</t>
  </si>
  <si>
    <t>Energiomkostninger</t>
  </si>
  <si>
    <t>Stigning i energipris pr. år</t>
  </si>
  <si>
    <t>Annuitetsværdi</t>
  </si>
  <si>
    <t>Juster for år og indsæt selv scrab! (Stigning i energipris starter i år 2)</t>
  </si>
  <si>
    <t>Anlæg A</t>
  </si>
  <si>
    <t>Anlæg B</t>
  </si>
  <si>
    <t>år</t>
  </si>
  <si>
    <t>Nettobetalingsstrømme</t>
  </si>
  <si>
    <t>Nettonutidsværdi i alt</t>
  </si>
  <si>
    <t>Indsæt kurs eller målsøg</t>
  </si>
  <si>
    <t>Kurs</t>
  </si>
  <si>
    <t>Modificeret intern rente (målsøger)</t>
  </si>
  <si>
    <t>Andre variable omkostninger pr. år</t>
  </si>
  <si>
    <t>Andre faste omkostninger pr. år</t>
  </si>
  <si>
    <t>Porteføljevægte</t>
  </si>
  <si>
    <t>Aktiedata for Østbank A/S, Vestbank A/S og Landsbanken A/S</t>
  </si>
  <si>
    <t>Østbank A/S</t>
  </si>
  <si>
    <t>Vestbank A/S</t>
  </si>
  <si>
    <t>Landsbanken A/S</t>
  </si>
  <si>
    <t>Østbank</t>
  </si>
  <si>
    <t>Vestbank</t>
  </si>
  <si>
    <t>Landsbank</t>
  </si>
  <si>
    <t>Kurs, ultimo</t>
  </si>
  <si>
    <t>Udbytte pr. aktie</t>
  </si>
  <si>
    <t>TOTAL RETURN</t>
  </si>
  <si>
    <t>Relativ return</t>
  </si>
  <si>
    <t>Forventet afkast</t>
  </si>
  <si>
    <t>Standardafvigelse</t>
  </si>
  <si>
    <t>Kovariansmatrix</t>
  </si>
  <si>
    <t>-</t>
  </si>
  <si>
    <t xml:space="preserve"> </t>
  </si>
  <si>
    <t>Portefølje af 100% Østbank</t>
  </si>
  <si>
    <t>Portefølje af 50% Øst og 50% Vest</t>
  </si>
  <si>
    <t>Portefølje af 50% Øst og 50% Lands</t>
  </si>
  <si>
    <t>Portefølje 1</t>
  </si>
  <si>
    <t>Portefølje 2</t>
  </si>
  <si>
    <t>Portefølje 3</t>
  </si>
  <si>
    <t>Hjælpematrix</t>
  </si>
  <si>
    <t>Fundamental værdi (DDM)</t>
  </si>
  <si>
    <t>Vestbank (kr. pr. aktie)</t>
  </si>
  <si>
    <t>Porteføljens varians:</t>
  </si>
  <si>
    <t xml:space="preserve"> - Krav til forventet afkast</t>
  </si>
  <si>
    <t>Porteføljens standardafvigelse:</t>
  </si>
  <si>
    <t xml:space="preserve"> - Vækst i dividender</t>
  </si>
  <si>
    <t xml:space="preserve"> - Dividende</t>
  </si>
  <si>
    <t>Landsbank (kr. pr. aktie)</t>
  </si>
  <si>
    <t>Note: Alle beløb i kr.</t>
  </si>
  <si>
    <t>Kummulerede afkast</t>
  </si>
  <si>
    <t>(mellemregning: V2017)</t>
  </si>
  <si>
    <t>Geometrisk gns.</t>
  </si>
  <si>
    <t>Aritmetisk gns.</t>
  </si>
  <si>
    <t xml:space="preserve"> - Vækst i dividender (2015-2018)</t>
  </si>
  <si>
    <t>Empirisk Std. Afv.</t>
  </si>
  <si>
    <t xml:space="preserve"> - Vækst i dividender (2018 - )</t>
  </si>
  <si>
    <t>Empirisk varians</t>
  </si>
  <si>
    <t xml:space="preserve"> - D2016</t>
  </si>
  <si>
    <t>Øst+Vest</t>
  </si>
  <si>
    <t>Øst+Lands</t>
  </si>
  <si>
    <t>Vest+Lands</t>
  </si>
  <si>
    <t xml:space="preserve"> - D2017</t>
  </si>
  <si>
    <t>Kovarians</t>
  </si>
  <si>
    <t xml:space="preserve"> - D2018</t>
  </si>
  <si>
    <t>Korrelationskoef</t>
  </si>
  <si>
    <t>Som mål for det samlede afkast, man har opnået ved at eje aktien i hele den betragtede periode, kan man anvende det kumulative afkast.</t>
  </si>
  <si>
    <t>Man kan også foretage sammenligningen på basis af det geometriske gennemsnit, som oversætter det kumulative afkast til et gennemsnitligt afkast pr. år.</t>
  </si>
  <si>
    <t>Lån og obligationer</t>
  </si>
  <si>
    <t>2015 Vinter, spm. 1.1 (S/F)</t>
  </si>
  <si>
    <t>2016 Sommer, spm. 1.6 (S/F)</t>
  </si>
  <si>
    <t>2015 Sommer, prøve 2, spm. 4.1-4.3</t>
  </si>
  <si>
    <t>2015 Vinter, prøve 2, spm. 2.5-2.6</t>
  </si>
  <si>
    <t>2015 Sommer, spm. 5.1-5.4</t>
  </si>
  <si>
    <t>2016 Sommer, prøve 2, opgave 4</t>
  </si>
  <si>
    <t>Måling af afkast og risiko</t>
  </si>
  <si>
    <t>2015 Sommer, prøve 2, spm. 1.5 (S/F)</t>
  </si>
  <si>
    <t>2016 Sommer, spm. 4.1-4.2</t>
  </si>
  <si>
    <t>Porteføljeteori</t>
  </si>
  <si>
    <t>2015 Sommer, prøve 2, spm. 1.6 (S/F)</t>
  </si>
  <si>
    <t>2015 Vinter, spm. 1.2 (S/F)</t>
  </si>
  <si>
    <t>2015 Vinter, opgave 4</t>
  </si>
  <si>
    <t>2015 Vinter, prøve 2, spm. 4.1-4.6</t>
  </si>
  <si>
    <t>2015 Sommer, spm. 5.5-5.8</t>
  </si>
  <si>
    <t>2016 Sommer, spm. 4.3-4.5</t>
  </si>
  <si>
    <t>2017 Sommer, 4.1-4.4</t>
  </si>
  <si>
    <t>2017 Sommer, prøve 2, spm. 4.1-4.3</t>
  </si>
  <si>
    <t>Kapitalmarkedsteori</t>
  </si>
  <si>
    <t>2015 Sommer, prøve 2, spm. 1.4 (S/F)</t>
  </si>
  <si>
    <t>2015 Vinter, prøve 2, spm. 4.7-4.9</t>
  </si>
  <si>
    <t>2017 Sommer, 4.5-4.6</t>
  </si>
  <si>
    <t>Fundamental værdi og efficiente markeder</t>
  </si>
  <si>
    <t>2015 Vinter, spm. 1.5 (S/F)</t>
  </si>
  <si>
    <t>2015 Vinter, prøve 2, spm. 1.2 (S/F)</t>
  </si>
  <si>
    <t>2015 Sommer, prøve 2, spm. 4.4-4.6</t>
  </si>
  <si>
    <t>2016 Sommer, spm. 4.6-4.10</t>
  </si>
  <si>
    <t>2017 Sommer, prøve 2, spm. 4.4-4.6</t>
  </si>
  <si>
    <t>Mikroøkonomiske principper</t>
  </si>
  <si>
    <t>2016 Vinter, spm. 1.5 (S/F)</t>
  </si>
  <si>
    <t>2016 Vinter, prøve 2, spm. 1.3</t>
  </si>
  <si>
    <t>2015 Sommer, spm. 4.1-4.4</t>
  </si>
  <si>
    <t>Horisontal afgrænsning</t>
  </si>
  <si>
    <t>2015 Vinter, prøve 2, spm. 1.3 (S/F)</t>
  </si>
  <si>
    <t>2016 Sommer, spm. 1.5 (S/F)</t>
  </si>
  <si>
    <t>2016 Sommer, spm. 1.4 (S/F)</t>
  </si>
  <si>
    <t>2015 Vinter, opgave 5</t>
  </si>
  <si>
    <t>2017 Sommer, prøve 2, opgave 5</t>
  </si>
  <si>
    <t>Vertikal afgrænsning</t>
  </si>
  <si>
    <t>2016 Sommer, prøve 2, spm. 1.4 (S/F)</t>
  </si>
  <si>
    <t>2016 Vinter, prøve 2, spm. 1.4 (S/F)</t>
  </si>
  <si>
    <t>2015 Vinter, opgave 3 (første halvdel af opgaven går ud på at opstille en investeringskalkule, derefter handler det om hold-up-problemet)</t>
  </si>
  <si>
    <t>2015 Vinter, prøve 2, spm. 3.8-3.9</t>
  </si>
  <si>
    <t>2015 Sommer, spm. 4.5-4.8</t>
  </si>
  <si>
    <t>2016 Sommer, opgave 5</t>
  </si>
  <si>
    <t>2017 Sommer, opgave 5</t>
  </si>
  <si>
    <t>Incitamenter</t>
  </si>
  <si>
    <t>2015 Sommer, prøve 2, opgave 5</t>
  </si>
  <si>
    <t>2016 Sommer, prøve 2, opgave 5</t>
  </si>
  <si>
    <t>2016 Vinter, opgave 5</t>
  </si>
  <si>
    <t>Illustration</t>
  </si>
  <si>
    <t>Renter</t>
  </si>
  <si>
    <t>Afdrag</t>
  </si>
  <si>
    <t>Låntype</t>
  </si>
  <si>
    <t>Stående lån</t>
  </si>
  <si>
    <t>Hovedstol</t>
  </si>
  <si>
    <t>(restgæld i termin 0)</t>
  </si>
  <si>
    <t>Pålydende rente per år</t>
  </si>
  <si>
    <t xml:space="preserve">Løbetid i år </t>
  </si>
  <si>
    <t>Antal terminer per år</t>
  </si>
  <si>
    <t>STÅENDE LÅN (START MED RENTER, DEREFTER AFDRAG,  OG TIL SIDST YDELSE FOR HVER TERMIN)</t>
  </si>
  <si>
    <t>TERMINER</t>
  </si>
  <si>
    <t>RESTGÆLD</t>
  </si>
  <si>
    <t>RENTER</t>
  </si>
  <si>
    <t>AFDRAG</t>
  </si>
  <si>
    <t>YDELSE</t>
  </si>
  <si>
    <t>Serielån</t>
  </si>
  <si>
    <t>SERIE LÅN (START MED RENTER, DEREFTER AFDRAG,  OG TIL SIDST YDELSE FOR HVER TERMIN)</t>
  </si>
  <si>
    <t>Annuitetslån</t>
  </si>
  <si>
    <t>ANNUITETSLÅN (START MED YDELSEN, DEREFTER RENTER OG TIL SIDST AFDRAG FOR HVER TERMIN)</t>
  </si>
  <si>
    <t>Terminsrente</t>
  </si>
  <si>
    <t>Årlige effektive rente</t>
  </si>
  <si>
    <t>p.a.</t>
  </si>
  <si>
    <t>&lt;---- HER SKAL KUN STÅ PROVENU, IKKE HOVEDSTOL</t>
  </si>
  <si>
    <t>(restgæld i termin 0) (Provenu+omkostninger)</t>
  </si>
  <si>
    <t>Provenu</t>
  </si>
  <si>
    <t>Omkostning</t>
  </si>
  <si>
    <t>BOGFØRING OG REGNSKAB</t>
  </si>
  <si>
    <t>Transaktioner</t>
  </si>
  <si>
    <t>Beløb</t>
  </si>
  <si>
    <t>Egenkapital kontant</t>
  </si>
  <si>
    <t>Omsætning</t>
  </si>
  <si>
    <t>Personaleomk.</t>
  </si>
  <si>
    <t>Produktionsanlæg</t>
  </si>
  <si>
    <t>Tilgodehavender</t>
  </si>
  <si>
    <t>Primo egenkapital</t>
  </si>
  <si>
    <t>Banklån til 10% kontant</t>
  </si>
  <si>
    <t>Produktionsanlæg kontant</t>
  </si>
  <si>
    <t>Varekøb på kontant</t>
  </si>
  <si>
    <t>Omsætning på kredit</t>
  </si>
  <si>
    <t>Vareforbrug</t>
  </si>
  <si>
    <t>Afskrivninger</t>
  </si>
  <si>
    <t>Varelager</t>
  </si>
  <si>
    <t>Likvider</t>
  </si>
  <si>
    <t>Banklån</t>
  </si>
  <si>
    <t>Personaleomk. kontant</t>
  </si>
  <si>
    <t>Modtager delvis betaling fra kunder</t>
  </si>
  <si>
    <t>Betaler husleje 2014 og 1 kvt 2015 kontant</t>
  </si>
  <si>
    <t>Opgør varelager til 100.000</t>
  </si>
  <si>
    <t>Andre eksterne omk.</t>
  </si>
  <si>
    <t>Finansielle poster</t>
  </si>
  <si>
    <t>Periodeafgrænsningsposter</t>
  </si>
  <si>
    <t>Leverandørgæld</t>
  </si>
  <si>
    <t>Betaler renter og afdrag på lån kontant</t>
  </si>
  <si>
    <t>Afskriver 25% på produktionsanlæg</t>
  </si>
  <si>
    <t>RESULTATOPGØRELSE</t>
  </si>
  <si>
    <t>BALANCE</t>
  </si>
  <si>
    <t>AKTIVER</t>
    <phoneticPr fontId="0" type="noConversion"/>
  </si>
  <si>
    <t>PASSIVER</t>
    <phoneticPr fontId="0" type="noConversion"/>
  </si>
  <si>
    <t>IMMATERIELLE ANLÆGSAKTIVER</t>
  </si>
  <si>
    <t>EGENKAPITAL</t>
    <phoneticPr fontId="0" type="noConversion"/>
  </si>
  <si>
    <t>DÆKNINGSBIDRAG</t>
  </si>
  <si>
    <t>Ingen immaterielle anlægsaktiver</t>
  </si>
  <si>
    <t>Henlagt overskud</t>
  </si>
  <si>
    <t>MATERIELLE ANLÆGSAKTIVER</t>
  </si>
  <si>
    <t>EGENKAPITAL I ALT</t>
  </si>
  <si>
    <t>INDTJENINGSBIDRAG</t>
  </si>
  <si>
    <t>RESULTAT FØR FINANSIELLE POSTER</t>
  </si>
  <si>
    <t>FINANSIELLE ANLÆGSAKTIVER</t>
  </si>
  <si>
    <t>LANGFRISTET GÆLD</t>
  </si>
  <si>
    <t>Ingen finansielle anlægsaktiver</t>
  </si>
  <si>
    <t>ÅRETS RESULTAT</t>
  </si>
  <si>
    <t>ANLÆGSAKTIVER I ALT</t>
  </si>
  <si>
    <t>KORTFRISTET GÆLD</t>
  </si>
  <si>
    <t>OMSÆTNINGSAKTIVER</t>
    <phoneticPr fontId="0" type="noConversion"/>
  </si>
  <si>
    <t>leverandørgæld</t>
  </si>
  <si>
    <t>Beregner nøgle tal skal være</t>
  </si>
  <si>
    <t>et gns af ultimo og primo</t>
  </si>
  <si>
    <t>OMSÆTNINGSAKTIVER I ALT</t>
  </si>
  <si>
    <t>GÆLD I ALT</t>
  </si>
  <si>
    <t>AKTIVER I ALT</t>
  </si>
  <si>
    <t>PASSIVER I ALT</t>
  </si>
  <si>
    <t>NØGLETAL</t>
  </si>
  <si>
    <t>Rentabilitet</t>
  </si>
  <si>
    <t>Likviditet/Solvens</t>
  </si>
  <si>
    <t>Soliditet</t>
  </si>
  <si>
    <t xml:space="preserve">Egenkapitalens forrentning (EKF) </t>
  </si>
  <si>
    <t>Likviditetsgrad 1 (LG1)</t>
  </si>
  <si>
    <t>Soliditetsgrad</t>
  </si>
  <si>
    <t>Afkastningsgrad (AG)</t>
  </si>
  <si>
    <t>Likviditetsgrad 2 (LG2)</t>
  </si>
  <si>
    <t>Overskudsgrad (OG)</t>
  </si>
  <si>
    <t>Aktivernes omsætningshastighed (AOH)</t>
  </si>
  <si>
    <t>Finansiel gearing (G)</t>
  </si>
  <si>
    <t>Renter af gæld (RG)</t>
  </si>
  <si>
    <t>Supplerende</t>
  </si>
  <si>
    <t>Gearing i kapitalstruktur (GKS)</t>
  </si>
  <si>
    <t>Gearing i indkomststruktur (GIS)</t>
  </si>
  <si>
    <t>Kontrol: AG = OG * AOH</t>
  </si>
  <si>
    <t>Kontrol: EKF = AG + (AG+RG) * G</t>
  </si>
  <si>
    <t>&lt;--- Hvis RG er negativ, så + mellem AG og RG, ellers - (hvis RG er positiv)</t>
  </si>
  <si>
    <t>Kontrol: EKF = AG * GKS * GIS</t>
  </si>
  <si>
    <t>Vedligeholdelsesomkostninger</t>
  </si>
  <si>
    <t>levetid</t>
  </si>
  <si>
    <t>Materiale forbrug til ølproduktion</t>
  </si>
  <si>
    <t>[0,100.000]</t>
  </si>
  <si>
    <t>[100.001,200.000]</t>
  </si>
  <si>
    <t>[200.001, 220.000]</t>
  </si>
  <si>
    <t>omkostninger pr flaske</t>
  </si>
  <si>
    <t>Ved ligeholdelsesomkostninger</t>
  </si>
  <si>
    <t>år 0-2</t>
  </si>
  <si>
    <t>Energiforbrug</t>
  </si>
  <si>
    <t>mande timer pr år</t>
  </si>
  <si>
    <t>forventet skrotværdi</t>
  </si>
  <si>
    <t xml:space="preserve">energipris </t>
  </si>
  <si>
    <t>lønudgifter pr mande time</t>
  </si>
  <si>
    <t>kapitalomkostning</t>
  </si>
  <si>
    <t>Årlige kapacitet</t>
  </si>
  <si>
    <t>Variable omkostninger</t>
  </si>
  <si>
    <t>faste omkostninger</t>
  </si>
  <si>
    <t>Scrap værdi</t>
  </si>
  <si>
    <t>Vedligeholdelse</t>
  </si>
  <si>
    <t>Scrapværdi</t>
  </si>
  <si>
    <t>Levetid</t>
  </si>
  <si>
    <t>Kapital værdi</t>
  </si>
  <si>
    <t>Balance</t>
  </si>
  <si>
    <t xml:space="preserve">Maskiner </t>
  </si>
  <si>
    <t>Bygninger</t>
  </si>
  <si>
    <t>Goodwill</t>
  </si>
  <si>
    <t>Finansiele anlægsaktiver</t>
  </si>
  <si>
    <t>Immatrielle anlægsaktiver</t>
  </si>
  <si>
    <t>varelager</t>
  </si>
  <si>
    <t>tilgodehavende</t>
  </si>
  <si>
    <t>kontanter</t>
  </si>
  <si>
    <t>Aktiver</t>
  </si>
  <si>
    <t>Egenkapital</t>
  </si>
  <si>
    <t>Langfristet gæld</t>
  </si>
  <si>
    <t>Forudbetalinger fra kunder</t>
  </si>
  <si>
    <t>Anden kortfristet gæld</t>
  </si>
  <si>
    <t>Passiver</t>
  </si>
  <si>
    <t>2018 primo</t>
  </si>
  <si>
    <t>2018 ultimo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</si>
  <si>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</si>
  <si>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</si>
  <si>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</si>
  <si>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</si>
  <si>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</si>
  <si>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</si>
  <si>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</si>
  <si>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</si>
  <si>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</si>
  <si>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</si>
  <si>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</si>
  <si>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</si>
  <si>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</si>
  <si>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</si>
  <si>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</si>
  <si>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</si>
  <si>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</si>
  <si>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</si>
  <si>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</si>
  <si>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</si>
  <si>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</si>
  <si>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</si>
  <si>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</si>
  <si>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</si>
  <si>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</si>
  <si>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</si>
  <si>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</si>
  <si>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</si>
  <si>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</si>
  <si>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</si>
  <si>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</si>
  <si>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</si>
  <si>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</si>
  <si>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</si>
  <si>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</si>
  <si>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</si>
  <si>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</si>
  <si>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</si>
  <si>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</si>
  <si>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</si>
  <si>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</si>
  <si>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</si>
  <si>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</si>
  <si>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</si>
  <si>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</si>
  <si>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</si>
  <si>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</si>
  <si>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</si>
  <si>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</si>
  <si>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</si>
  <si>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</si>
  <si>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</si>
  <si>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</si>
  <si>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</si>
  <si>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</si>
  <si>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</si>
  <si>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</si>
  <si>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</si>
  <si>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</si>
  <si>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</si>
  <si>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</si>
  <si>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</si>
  <si>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</si>
  <si>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</si>
  <si>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</si>
  <si>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</si>
  <si>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</si>
  <si>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</si>
  <si>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</si>
  <si>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</si>
  <si>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</si>
  <si>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</si>
  <si>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</si>
  <si>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</si>
  <si>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</si>
  <si>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</si>
  <si>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</si>
  <si>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</si>
  <si>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</si>
  <si>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</si>
  <si>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</si>
  <si>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</si>
  <si>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</si>
  <si>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</si>
  <si>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</si>
  <si>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</si>
  <si>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</si>
  <si>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</si>
  <si>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</si>
  <si>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</si>
  <si>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</si>
  <si>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</si>
  <si>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</si>
  <si>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</si>
  <si>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</si>
  <si>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</si>
  <si>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</si>
  <si>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</si>
  <si>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</si>
  <si>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</si>
  <si>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</si>
  <si>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</si>
  <si>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</si>
  <si>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</si>
  <si>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</si>
  <si>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</si>
  <si>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</si>
  <si>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</si>
  <si>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</si>
  <si>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</si>
  <si>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</si>
  <si>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</si>
  <si>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</si>
  <si>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</si>
  <si>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</si>
  <si>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</si>
  <si>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</si>
  <si>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</si>
  <si>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</si>
  <si>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</si>
  <si>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</si>
  <si>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</si>
  <si>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</si>
  <si>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</si>
  <si>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</si>
  <si>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</si>
  <si>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</si>
  <si>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</si>
  <si>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</si>
  <si>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</si>
  <si>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</si>
  <si>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</si>
  <si>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</si>
  <si>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</si>
  <si>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</si>
  <si>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</si>
  <si>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</si>
  <si>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</si>
  <si>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</si>
  <si>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</si>
  <si>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</si>
  <si>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</si>
  <si>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</si>
  <si>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</si>
  <si>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</si>
  <si>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</si>
  <si>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</si>
  <si>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</si>
  <si>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</si>
  <si>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</si>
  <si>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</si>
  <si>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</si>
  <si>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</si>
  <si>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</si>
  <si>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</si>
  <si>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</si>
  <si>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KULPÅ</t>
  </si>
  <si>
    <t>GLOBAL HEATING</t>
  </si>
  <si>
    <t>BIG FAMA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</si>
</sst>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#,##0\ &quot;kr.&quot;;[Red]\-#,##0\ &quot;kr.&quot;"/>
    <numFmt numFmtId="8" formatCode="#,##0.00\ &quot;kr.&quot;;[Red]\-#,##0.00\ &quot;kr.&quot;"/>
    <numFmt numFmtId="164" formatCode="&quot;kr.&quot;\ #,##0.00;[Red]&quot;kr.&quot;\ \-#,##0.00"/>
    <numFmt numFmtId="165" formatCode="_ * #,##0.00_ ;_ * \-#,##0.00_ ;_ * &quot;-&quot;??_ ;_ @_ "/>
    <numFmt numFmtId="166" formatCode="#,##0_ ;[Red]\-#,##0\ "/>
    <numFmt numFmtId="167" formatCode="0.000"/>
    <numFmt numFmtId="168" formatCode="0.0000"/>
    <numFmt numFmtId="169" formatCode="#,##0.00\ &quot;kr&quot;;[Red]\-#,##0.00\ &quot;kr&quot;"/>
    <numFmt numFmtId="170" formatCode="_ * #,##0_ ;_ * \-#,##0_ ;_ * &quot;-&quot;??_ ;_ @_ "/>
    <numFmt numFmtId="171" formatCode="0.0%"/>
    <numFmt numFmtId="172" formatCode="0.0"/>
  </numFmts>
  <fonts count="29">
    <font>
      <sz val="12"/>
      <color theme="1"/>
      <name val="Times"/>
      <family val="2"/>
    </font>
    <font>
      <sz val="11"/>
      <color theme="1"/>
      <name val="Calibri"/>
      <family val="2"/>
      <scheme val="minor"/>
    </font>
    <font>
      <sz val="12"/>
      <color rgb="FFFF0000"/>
      <name val="Times"/>
      <family val="2"/>
    </font>
    <font>
      <b/>
      <sz val="12"/>
      <color rgb="FFFF0000"/>
      <name val="Times"/>
      <family val="1"/>
    </font>
    <font>
      <b/>
      <sz val="14"/>
      <color rgb="FFFF0000"/>
      <name val="Times"/>
      <family val="1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Times"/>
      <family val="2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name val="Helvetica"/>
      <family val="2"/>
    </font>
    <font>
      <sz val="12"/>
      <name val="Calibri"/>
      <family val="2"/>
    </font>
    <font>
      <b/>
      <sz val="12"/>
      <name val="Calibri"/>
      <family val="2"/>
    </font>
    <font>
      <b/>
      <u/>
      <sz val="12"/>
      <color theme="1"/>
      <name val="Calibri"/>
      <family val="2"/>
    </font>
    <font>
      <u/>
      <sz val="12"/>
      <color indexed="12"/>
      <name val="Calibri"/>
      <family val="2"/>
    </font>
    <font>
      <b/>
      <u/>
      <sz val="12"/>
      <name val="Calibri"/>
      <family val="2"/>
    </font>
    <font>
      <i/>
      <sz val="12"/>
      <name val="Calibri"/>
      <family val="2"/>
    </font>
    <font>
      <b/>
      <i/>
      <sz val="12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Times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7" fillId="4" borderId="0" applyNumberFormat="0" applyBorder="0" applyAlignment="0" applyProtection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9" fillId="0" borderId="0"/>
  </cellStyleXfs>
  <cellXfs count="196">
    <xf numFmtId="0" fontId="0" fillId="0" borderId="0" xfId="0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8" fontId="0" fillId="0" borderId="0" xfId="0" applyNumberFormat="1"/>
    <xf numFmtId="16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6" fontId="0" fillId="0" borderId="0" xfId="0" applyNumberFormat="1"/>
    <xf numFmtId="0" fontId="6" fillId="0" borderId="0" xfId="0" applyFont="1"/>
    <xf numFmtId="0" fontId="0" fillId="0" borderId="1" xfId="0" applyBorder="1"/>
    <xf numFmtId="0" fontId="7" fillId="5" borderId="0" xfId="4" applyFill="1" applyBorder="1"/>
    <xf numFmtId="0" fontId="7" fillId="4" borderId="2" xfId="4" applyBorder="1"/>
    <xf numFmtId="0" fontId="0" fillId="0" borderId="4" xfId="0" applyBorder="1"/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7" fillId="5" borderId="0" xfId="4" applyFill="1" applyBorder="1" applyAlignment="1">
      <alignment horizontal="center" wrapText="1"/>
    </xf>
    <xf numFmtId="0" fontId="6" fillId="4" borderId="7" xfId="4" applyFont="1" applyBorder="1"/>
    <xf numFmtId="0" fontId="7" fillId="4" borderId="9" xfId="4" applyBorder="1"/>
    <xf numFmtId="0" fontId="6" fillId="4" borderId="10" xfId="4" applyFont="1" applyBorder="1"/>
    <xf numFmtId="0" fontId="6" fillId="4" borderId="11" xfId="4" applyFont="1" applyBorder="1"/>
    <xf numFmtId="0" fontId="7" fillId="4" borderId="12" xfId="4" applyBorder="1" applyAlignment="1">
      <alignment horizontal="center" vertical="center"/>
    </xf>
    <xf numFmtId="0" fontId="7" fillId="4" borderId="10" xfId="4" applyBorder="1" applyAlignment="1">
      <alignment horizontal="center" vertical="center"/>
    </xf>
    <xf numFmtId="0" fontId="7" fillId="4" borderId="11" xfId="4" applyBorder="1" applyAlignment="1">
      <alignment horizontal="center" vertical="center"/>
    </xf>
    <xf numFmtId="0" fontId="0" fillId="0" borderId="1" xfId="0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9" fontId="1" fillId="3" borderId="13" xfId="3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3" borderId="13" xfId="3" applyBorder="1"/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3" borderId="12" xfId="3" applyBorder="1" applyAlignment="1"/>
    <xf numFmtId="167" fontId="0" fillId="0" borderId="12" xfId="0" applyNumberFormat="1" applyBorder="1"/>
    <xf numFmtId="0" fontId="1" fillId="3" borderId="14" xfId="3" applyBorder="1" applyAlignment="1">
      <alignment horizontal="center"/>
    </xf>
    <xf numFmtId="168" fontId="8" fillId="5" borderId="0" xfId="0" applyNumberFormat="1" applyFont="1" applyFill="1" applyBorder="1" applyAlignment="1">
      <alignment horizontal="center"/>
    </xf>
    <xf numFmtId="168" fontId="8" fillId="5" borderId="5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67" fontId="0" fillId="0" borderId="0" xfId="0" applyNumberFormat="1"/>
    <xf numFmtId="0" fontId="1" fillId="3" borderId="14" xfId="3" applyBorder="1"/>
    <xf numFmtId="167" fontId="0" fillId="0" borderId="5" xfId="0" applyNumberFormat="1" applyBorder="1"/>
    <xf numFmtId="0" fontId="1" fillId="3" borderId="12" xfId="3" applyBorder="1"/>
    <xf numFmtId="0" fontId="1" fillId="3" borderId="15" xfId="3" applyBorder="1" applyAlignment="1">
      <alignment horizontal="center"/>
    </xf>
    <xf numFmtId="168" fontId="8" fillId="5" borderId="7" xfId="0" applyNumberFormat="1" applyFont="1" applyFill="1" applyBorder="1" applyAlignment="1">
      <alignment horizontal="center"/>
    </xf>
    <xf numFmtId="168" fontId="8" fillId="5" borderId="8" xfId="0" applyNumberFormat="1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6" fillId="4" borderId="9" xfId="4" applyFont="1" applyBorder="1"/>
    <xf numFmtId="0" fontId="0" fillId="4" borderId="12" xfId="4" applyFont="1" applyBorder="1" applyAlignment="1">
      <alignment horizontal="center"/>
    </xf>
    <xf numFmtId="0" fontId="1" fillId="3" borderId="15" xfId="3" applyBorder="1"/>
    <xf numFmtId="0" fontId="0" fillId="0" borderId="12" xfId="0" applyBorder="1" applyAlignment="1">
      <alignment horizontal="center"/>
    </xf>
    <xf numFmtId="0" fontId="7" fillId="4" borderId="12" xfId="4" applyBorder="1" applyAlignment="1">
      <alignment horizontal="center"/>
    </xf>
    <xf numFmtId="0" fontId="7" fillId="4" borderId="10" xfId="4" applyBorder="1" applyAlignment="1">
      <alignment horizontal="center"/>
    </xf>
    <xf numFmtId="0" fontId="7" fillId="4" borderId="11" xfId="4" applyBorder="1" applyAlignment="1">
      <alignment horizontal="center"/>
    </xf>
    <xf numFmtId="0" fontId="10" fillId="4" borderId="9" xfId="4" applyFont="1" applyBorder="1" applyAlignment="1">
      <alignment horizontal="left"/>
    </xf>
    <xf numFmtId="0" fontId="1" fillId="4" borderId="12" xfId="4" applyFont="1" applyBorder="1"/>
    <xf numFmtId="0" fontId="5" fillId="3" borderId="1" xfId="1" applyFill="1" applyBorder="1"/>
    <xf numFmtId="2" fontId="10" fillId="3" borderId="13" xfId="3" applyNumberFormat="1" applyFont="1" applyBorder="1"/>
    <xf numFmtId="0" fontId="7" fillId="4" borderId="1" xfId="4" applyBorder="1" applyAlignment="1">
      <alignment horizontal="left"/>
    </xf>
    <xf numFmtId="0" fontId="1" fillId="2" borderId="4" xfId="2" applyBorder="1"/>
    <xf numFmtId="9" fontId="1" fillId="2" borderId="14" xfId="2" applyNumberFormat="1" applyBorder="1"/>
    <xf numFmtId="0" fontId="7" fillId="4" borderId="6" xfId="4" applyBorder="1" applyAlignment="1">
      <alignment horizontal="left"/>
    </xf>
    <xf numFmtId="0" fontId="0" fillId="0" borderId="6" xfId="0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1" fillId="2" borderId="6" xfId="2" applyBorder="1"/>
    <xf numFmtId="2" fontId="1" fillId="2" borderId="15" xfId="2" applyNumberFormat="1" applyBorder="1"/>
    <xf numFmtId="0" fontId="5" fillId="3" borderId="4" xfId="1" applyFill="1" applyBorder="1"/>
    <xf numFmtId="2" fontId="10" fillId="3" borderId="14" xfId="3" applyNumberFormat="1" applyFont="1" applyBorder="1"/>
    <xf numFmtId="0" fontId="10" fillId="0" borderId="0" xfId="0" applyFont="1"/>
    <xf numFmtId="167" fontId="12" fillId="0" borderId="0" xfId="0" applyNumberFormat="1" applyFont="1" applyFill="1" applyBorder="1"/>
    <xf numFmtId="0" fontId="13" fillId="2" borderId="4" xfId="2" applyFont="1" applyBorder="1"/>
    <xf numFmtId="2" fontId="13" fillId="2" borderId="14" xfId="2" applyNumberFormat="1" applyFont="1" applyBorder="1"/>
    <xf numFmtId="167" fontId="12" fillId="0" borderId="0" xfId="0" applyNumberFormat="1" applyFont="1"/>
    <xf numFmtId="0" fontId="1" fillId="2" borderId="14" xfId="2" applyBorder="1"/>
    <xf numFmtId="0" fontId="12" fillId="0" borderId="0" xfId="0" applyFont="1"/>
    <xf numFmtId="0" fontId="13" fillId="2" borderId="4" xfId="2" applyFont="1" applyBorder="1" applyAlignment="1">
      <alignment horizontal="center"/>
    </xf>
    <xf numFmtId="2" fontId="1" fillId="2" borderId="14" xfId="2" applyNumberFormat="1" applyBorder="1"/>
    <xf numFmtId="167" fontId="14" fillId="0" borderId="0" xfId="0" applyNumberFormat="1" applyFont="1"/>
    <xf numFmtId="168" fontId="12" fillId="0" borderId="0" xfId="0" applyNumberFormat="1" applyFont="1"/>
    <xf numFmtId="0" fontId="13" fillId="2" borderId="6" xfId="2" applyFont="1" applyBorder="1" applyAlignment="1">
      <alignment horizontal="center"/>
    </xf>
    <xf numFmtId="0" fontId="15" fillId="0" borderId="0" xfId="0" applyFont="1" applyAlignment="1"/>
    <xf numFmtId="0" fontId="0" fillId="5" borderId="0" xfId="0" applyFill="1"/>
    <xf numFmtId="0" fontId="17" fillId="5" borderId="0" xfId="7" applyFill="1"/>
    <xf numFmtId="0" fontId="10" fillId="5" borderId="0" xfId="0" applyFont="1" applyFill="1"/>
    <xf numFmtId="0" fontId="18" fillId="6" borderId="0" xfId="0" applyFont="1" applyFill="1"/>
    <xf numFmtId="0" fontId="0" fillId="7" borderId="0" xfId="0" applyFill="1"/>
    <xf numFmtId="0" fontId="20" fillId="8" borderId="9" xfId="8" applyFont="1" applyFill="1" applyBorder="1"/>
    <xf numFmtId="0" fontId="20" fillId="8" borderId="12" xfId="8" applyFont="1" applyFill="1" applyBorder="1" applyAlignment="1">
      <alignment horizontal="right"/>
    </xf>
    <xf numFmtId="3" fontId="20" fillId="8" borderId="0" xfId="7" applyNumberFormat="1" applyFont="1" applyFill="1" applyBorder="1" applyAlignment="1" applyProtection="1"/>
    <xf numFmtId="0" fontId="20" fillId="8" borderId="0" xfId="8" applyFont="1" applyFill="1" applyBorder="1"/>
    <xf numFmtId="0" fontId="0" fillId="5" borderId="0" xfId="0" applyFill="1" applyBorder="1"/>
    <xf numFmtId="3" fontId="20" fillId="8" borderId="12" xfId="8" applyNumberFormat="1" applyFont="1" applyFill="1" applyBorder="1"/>
    <xf numFmtId="0" fontId="20" fillId="8" borderId="0" xfId="8" applyFont="1" applyFill="1"/>
    <xf numFmtId="9" fontId="20" fillId="8" borderId="12" xfId="6" applyFont="1" applyFill="1" applyBorder="1"/>
    <xf numFmtId="0" fontId="20" fillId="8" borderId="12" xfId="8" applyFont="1" applyFill="1" applyBorder="1"/>
    <xf numFmtId="0" fontId="21" fillId="8" borderId="12" xfId="8" applyFont="1" applyFill="1" applyBorder="1" applyAlignment="1">
      <alignment horizontal="center"/>
    </xf>
    <xf numFmtId="0" fontId="20" fillId="8" borderId="0" xfId="8" applyFont="1" applyFill="1" applyBorder="1" applyAlignment="1">
      <alignment horizontal="right"/>
    </xf>
    <xf numFmtId="0" fontId="20" fillId="8" borderId="12" xfId="8" applyFont="1" applyFill="1" applyBorder="1" applyAlignment="1">
      <alignment horizontal="center"/>
    </xf>
    <xf numFmtId="3" fontId="11" fillId="8" borderId="12" xfId="8" applyNumberFormat="1" applyFont="1" applyFill="1" applyBorder="1" applyAlignment="1">
      <alignment horizontal="center"/>
    </xf>
    <xf numFmtId="0" fontId="20" fillId="9" borderId="12" xfId="8" applyFont="1" applyFill="1" applyBorder="1" applyAlignment="1">
      <alignment horizontal="center"/>
    </xf>
    <xf numFmtId="0" fontId="11" fillId="9" borderId="12" xfId="8" applyFont="1" applyFill="1" applyBorder="1" applyAlignment="1">
      <alignment horizontal="center"/>
    </xf>
    <xf numFmtId="10" fontId="20" fillId="8" borderId="0" xfId="6" applyNumberFormat="1" applyFont="1" applyFill="1" applyBorder="1"/>
    <xf numFmtId="2" fontId="20" fillId="8" borderId="0" xfId="8" applyNumberFormat="1" applyFont="1" applyFill="1" applyBorder="1"/>
    <xf numFmtId="0" fontId="10" fillId="5" borderId="0" xfId="0" applyFont="1" applyFill="1" applyBorder="1"/>
    <xf numFmtId="3" fontId="11" fillId="9" borderId="12" xfId="8" applyNumberFormat="1" applyFont="1" applyFill="1" applyBorder="1" applyAlignment="1">
      <alignment horizontal="center"/>
    </xf>
    <xf numFmtId="169" fontId="20" fillId="8" borderId="0" xfId="8" applyNumberFormat="1" applyFont="1" applyFill="1" applyBorder="1"/>
    <xf numFmtId="165" fontId="20" fillId="8" borderId="0" xfId="5" applyFont="1" applyFill="1" applyBorder="1"/>
    <xf numFmtId="169" fontId="20" fillId="8" borderId="0" xfId="5" applyNumberFormat="1" applyFont="1" applyFill="1" applyBorder="1"/>
    <xf numFmtId="10" fontId="20" fillId="8" borderId="0" xfId="6" applyNumberFormat="1" applyFont="1" applyFill="1"/>
    <xf numFmtId="10" fontId="10" fillId="5" borderId="0" xfId="0" applyNumberFormat="1" applyFont="1" applyFill="1"/>
    <xf numFmtId="10" fontId="20" fillId="8" borderId="12" xfId="6" applyNumberFormat="1" applyFont="1" applyFill="1" applyBorder="1"/>
    <xf numFmtId="164" fontId="0" fillId="5" borderId="0" xfId="0" applyNumberFormat="1" applyFill="1"/>
    <xf numFmtId="10" fontId="0" fillId="5" borderId="0" xfId="0" applyNumberFormat="1" applyFill="1"/>
    <xf numFmtId="164" fontId="10" fillId="5" borderId="0" xfId="0" applyNumberFormat="1" applyFont="1" applyFill="1"/>
    <xf numFmtId="170" fontId="0" fillId="5" borderId="0" xfId="5" applyNumberFormat="1" applyFont="1" applyFill="1" applyBorder="1"/>
    <xf numFmtId="0" fontId="22" fillId="0" borderId="0" xfId="0" applyFont="1" applyAlignment="1">
      <alignment horizontal="left"/>
    </xf>
    <xf numFmtId="0" fontId="23" fillId="0" borderId="0" xfId="7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2" fillId="0" borderId="0" xfId="8" applyFont="1" applyAlignment="1">
      <alignment vertical="center"/>
    </xf>
    <xf numFmtId="0" fontId="22" fillId="0" borderId="0" xfId="8" applyFont="1" applyAlignment="1">
      <alignment horizontal="center" vertical="center"/>
    </xf>
    <xf numFmtId="0" fontId="8" fillId="0" borderId="0" xfId="8" applyFont="1" applyAlignment="1">
      <alignment horizontal="center" vertical="center"/>
    </xf>
    <xf numFmtId="0" fontId="8" fillId="0" borderId="0" xfId="8" applyFont="1" applyAlignment="1">
      <alignment vertical="center"/>
    </xf>
    <xf numFmtId="0" fontId="8" fillId="0" borderId="0" xfId="8" applyFont="1" applyAlignment="1">
      <alignment horizontal="justify" vertical="center"/>
    </xf>
    <xf numFmtId="3" fontId="8" fillId="0" borderId="0" xfId="8" applyNumberFormat="1" applyFont="1" applyAlignment="1">
      <alignment horizontal="right" vertical="center"/>
    </xf>
    <xf numFmtId="3" fontId="8" fillId="0" borderId="3" xfId="8" applyNumberFormat="1" applyFont="1" applyBorder="1" applyAlignment="1">
      <alignment vertical="center"/>
    </xf>
    <xf numFmtId="0" fontId="8" fillId="0" borderId="2" xfId="8" applyFont="1" applyBorder="1" applyAlignment="1">
      <alignment vertical="center"/>
    </xf>
    <xf numFmtId="3" fontId="8" fillId="0" borderId="2" xfId="8" applyNumberFormat="1" applyFont="1" applyBorder="1" applyAlignment="1">
      <alignment vertical="center"/>
    </xf>
    <xf numFmtId="0" fontId="8" fillId="0" borderId="3" xfId="8" applyFont="1" applyBorder="1" applyAlignment="1">
      <alignment vertical="center"/>
    </xf>
    <xf numFmtId="0" fontId="8" fillId="0" borderId="5" xfId="8" applyFont="1" applyBorder="1" applyAlignment="1">
      <alignment vertical="center"/>
    </xf>
    <xf numFmtId="3" fontId="8" fillId="0" borderId="0" xfId="8" applyNumberFormat="1" applyFont="1" applyAlignment="1">
      <alignment vertical="center"/>
    </xf>
    <xf numFmtId="3" fontId="8" fillId="0" borderId="5" xfId="8" applyNumberFormat="1" applyFont="1" applyBorder="1" applyAlignment="1">
      <alignment vertical="center"/>
    </xf>
    <xf numFmtId="3" fontId="8" fillId="0" borderId="4" xfId="8" applyNumberFormat="1" applyFont="1" applyBorder="1" applyAlignment="1">
      <alignment vertical="center"/>
    </xf>
    <xf numFmtId="3" fontId="24" fillId="0" borderId="0" xfId="8" applyNumberFormat="1" applyFont="1"/>
    <xf numFmtId="3" fontId="20" fillId="0" borderId="0" xfId="8" applyNumberFormat="1" applyFont="1"/>
    <xf numFmtId="3" fontId="20" fillId="0" borderId="17" xfId="8" applyNumberFormat="1" applyFont="1" applyBorder="1"/>
    <xf numFmtId="3" fontId="21" fillId="0" borderId="16" xfId="8" applyNumberFormat="1" applyFont="1" applyBorder="1"/>
    <xf numFmtId="0" fontId="8" fillId="0" borderId="18" xfId="0" applyFont="1" applyBorder="1" applyAlignment="1">
      <alignment horizontal="left"/>
    </xf>
    <xf numFmtId="3" fontId="21" fillId="0" borderId="18" xfId="8" applyNumberFormat="1" applyFont="1" applyBorder="1"/>
    <xf numFmtId="0" fontId="9" fillId="0" borderId="17" xfId="0" applyFont="1" applyBorder="1" applyAlignment="1">
      <alignment horizontal="left"/>
    </xf>
    <xf numFmtId="3" fontId="20" fillId="0" borderId="0" xfId="8" applyNumberFormat="1" applyFont="1" applyAlignment="1">
      <alignment horizontal="center"/>
    </xf>
    <xf numFmtId="3" fontId="20" fillId="0" borderId="19" xfId="8" applyNumberFormat="1" applyFont="1" applyBorder="1"/>
    <xf numFmtId="3" fontId="20" fillId="0" borderId="20" xfId="8" applyNumberFormat="1" applyFont="1" applyBorder="1"/>
    <xf numFmtId="3" fontId="25" fillId="0" borderId="21" xfId="8" applyNumberFormat="1" applyFont="1" applyBorder="1"/>
    <xf numFmtId="3" fontId="25" fillId="0" borderId="0" xfId="8" applyNumberFormat="1" applyFont="1"/>
    <xf numFmtId="0" fontId="9" fillId="0" borderId="22" xfId="0" applyFont="1" applyBorder="1" applyAlignment="1">
      <alignment horizontal="left"/>
    </xf>
    <xf numFmtId="3" fontId="21" fillId="0" borderId="22" xfId="8" applyNumberFormat="1" applyFont="1" applyBorder="1"/>
    <xf numFmtId="3" fontId="20" fillId="0" borderId="21" xfId="8" applyNumberFormat="1" applyFont="1" applyBorder="1"/>
    <xf numFmtId="3" fontId="20" fillId="0" borderId="22" xfId="8" applyNumberFormat="1" applyFont="1" applyBorder="1"/>
    <xf numFmtId="3" fontId="20" fillId="0" borderId="7" xfId="8" applyNumberFormat="1" applyFont="1" applyBorder="1"/>
    <xf numFmtId="3" fontId="20" fillId="9" borderId="20" xfId="8" applyNumberFormat="1" applyFont="1" applyFill="1" applyBorder="1"/>
    <xf numFmtId="3" fontId="26" fillId="0" borderId="0" xfId="8" applyNumberFormat="1" applyFont="1"/>
    <xf numFmtId="3" fontId="8" fillId="0" borderId="0" xfId="0" applyNumberFormat="1" applyFont="1" applyAlignment="1">
      <alignment horizontal="right"/>
    </xf>
    <xf numFmtId="3" fontId="21" fillId="0" borderId="0" xfId="8" applyNumberFormat="1" applyFont="1"/>
    <xf numFmtId="3" fontId="20" fillId="0" borderId="23" xfId="8" applyNumberFormat="1" applyFont="1" applyBorder="1"/>
    <xf numFmtId="3" fontId="20" fillId="0" borderId="24" xfId="8" applyNumberFormat="1" applyFont="1" applyBorder="1"/>
    <xf numFmtId="0" fontId="8" fillId="0" borderId="7" xfId="0" applyFont="1" applyBorder="1" applyAlignment="1">
      <alignment horizontal="left"/>
    </xf>
    <xf numFmtId="3" fontId="8" fillId="9" borderId="0" xfId="0" applyNumberFormat="1" applyFont="1" applyFill="1" applyAlignment="1">
      <alignment horizontal="right"/>
    </xf>
    <xf numFmtId="3" fontId="26" fillId="0" borderId="21" xfId="8" applyNumberFormat="1" applyFont="1" applyBorder="1"/>
    <xf numFmtId="3" fontId="9" fillId="0" borderId="0" xfId="0" applyNumberFormat="1" applyFont="1" applyAlignment="1">
      <alignment horizontal="right"/>
    </xf>
    <xf numFmtId="3" fontId="20" fillId="0" borderId="25" xfId="8" applyNumberFormat="1" applyFont="1" applyBorder="1"/>
    <xf numFmtId="3" fontId="26" fillId="0" borderId="24" xfId="8" applyNumberFormat="1" applyFont="1" applyBorder="1"/>
    <xf numFmtId="0" fontId="27" fillId="0" borderId="0" xfId="0" applyFont="1" applyAlignment="1">
      <alignment horizontal="left"/>
    </xf>
    <xf numFmtId="0" fontId="8" fillId="0" borderId="12" xfId="0" applyFont="1" applyBorder="1" applyAlignment="1">
      <alignment horizontal="left"/>
    </xf>
    <xf numFmtId="171" fontId="8" fillId="0" borderId="12" xfId="6" applyNumberFormat="1" applyFont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171" fontId="8" fillId="0" borderId="0" xfId="6" applyNumberFormat="1" applyFont="1" applyAlignment="1">
      <alignment horizontal="center"/>
    </xf>
    <xf numFmtId="172" fontId="8" fillId="0" borderId="12" xfId="0" applyNumberFormat="1" applyFont="1" applyBorder="1" applyAlignment="1">
      <alignment horizontal="center"/>
    </xf>
    <xf numFmtId="171" fontId="8" fillId="0" borderId="12" xfId="0" applyNumberFormat="1" applyFont="1" applyBorder="1" applyAlignment="1">
      <alignment horizontal="center"/>
    </xf>
    <xf numFmtId="3" fontId="24" fillId="0" borderId="0" xfId="8" applyNumberFormat="1" applyFont="1" applyAlignment="1"/>
    <xf numFmtId="3" fontId="20" fillId="0" borderId="16" xfId="8" applyNumberFormat="1" applyFont="1" applyBorder="1" applyAlignment="1"/>
    <xf numFmtId="3" fontId="20" fillId="0" borderId="19" xfId="8" applyNumberFormat="1" applyFont="1" applyBorder="1" applyAlignment="1"/>
    <xf numFmtId="3" fontId="21" fillId="0" borderId="21" xfId="8" applyNumberFormat="1" applyFont="1" applyBorder="1" applyAlignment="1"/>
    <xf numFmtId="3" fontId="20" fillId="0" borderId="21" xfId="8" applyNumberFormat="1" applyFont="1" applyBorder="1" applyAlignment="1"/>
    <xf numFmtId="3" fontId="20" fillId="0" borderId="23" xfId="8" applyNumberFormat="1" applyFont="1" applyBorder="1" applyAlignment="1"/>
    <xf numFmtId="3" fontId="21" fillId="0" borderId="0" xfId="8" applyNumberFormat="1" applyFont="1" applyAlignment="1"/>
    <xf numFmtId="0" fontId="0" fillId="0" borderId="0" xfId="0" applyAlignment="1"/>
    <xf numFmtId="168" fontId="11" fillId="5" borderId="6" xfId="0" applyNumberFormat="1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4" borderId="6" xfId="4" applyFont="1" applyBorder="1" applyAlignment="1">
      <alignment horizontal="center" vertical="center" wrapText="1"/>
    </xf>
    <xf numFmtId="0" fontId="6" fillId="4" borderId="7" xfId="4" applyFont="1" applyBorder="1" applyAlignment="1">
      <alignment horizontal="center" vertical="center" wrapText="1"/>
    </xf>
    <xf numFmtId="0" fontId="6" fillId="4" borderId="8" xfId="4" applyFont="1" applyBorder="1" applyAlignment="1">
      <alignment horizontal="center" vertical="center" wrapText="1"/>
    </xf>
    <xf numFmtId="168" fontId="11" fillId="5" borderId="1" xfId="0" applyNumberFormat="1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9" fillId="0" borderId="7" xfId="8" applyFont="1" applyBorder="1" applyAlignment="1">
      <alignment horizontal="center" vertical="center"/>
    </xf>
    <xf numFmtId="9" fontId="0" fillId="0" borderId="0" xfId="0" applyNumberFormat="1"/>
    <xf numFmtId="0" fontId="28" fillId="0" borderId="0" xfId="0" applyFont="1"/>
  </cellXfs>
  <cellStyles count="9">
    <cellStyle name="20 % - Farve1" xfId="2" builtinId="30"/>
    <cellStyle name="40 % - Farve1" xfId="3" builtinId="31"/>
    <cellStyle name="60 % - Farve1" xfId="4" builtinId="32"/>
    <cellStyle name="Komma" xfId="5" builtinId="3"/>
    <cellStyle name="Link" xfId="7" builtinId="8"/>
    <cellStyle name="Normal" xfId="0" builtinId="0"/>
    <cellStyle name="Normal 2" xfId="8" xr:uid="{00000000-0005-0000-0000-000006000000}"/>
    <cellStyle name="Overskrift 4" xfId="1" builtinId="19"/>
    <cellStyle name="Pro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Diskonterings</a:t>
            </a:r>
            <a:r>
              <a:rPr lang="da-DK" baseline="0"/>
              <a:t> rente og kapitalværdi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1294956767916275"/>
          <c:y val="0.12314933375600291"/>
          <c:w val="0.85197021377520565"/>
          <c:h val="0.73490754241149048"/>
        </c:manualLayout>
      </c:layout>
      <c:lineChart>
        <c:grouping val="standard"/>
        <c:varyColors val="0"/>
        <c:ser>
          <c:idx val="1"/>
          <c:order val="0"/>
          <c:tx>
            <c:v>Kapitalværdi (h. akse)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'Anlæg A'!$D$47:$AC$47</c:f>
              <c:numCache>
                <c:formatCode>0.00%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</c:numCache>
            </c:numRef>
          </c:cat>
          <c:val>
            <c:numRef>
              <c:f>'Anlæg A'!$D$48:$AC$48</c:f>
              <c:numCache>
                <c:formatCode>General</c:formatCode>
                <c:ptCount val="26"/>
                <c:pt idx="0">
                  <c:v>193384</c:v>
                </c:pt>
                <c:pt idx="1">
                  <c:v>57719.787101446651</c:v>
                </c:pt>
                <c:pt idx="2">
                  <c:v>-72037.360386888497</c:v>
                </c:pt>
                <c:pt idx="3">
                  <c:v>-196222.21968891378</c:v>
                </c:pt>
                <c:pt idx="4">
                  <c:v>-315146.97514586803</c:v>
                </c:pt>
                <c:pt idx="5">
                  <c:v>-429102.95343562495</c:v>
                </c:pt>
                <c:pt idx="6">
                  <c:v>-538362.21124193165</c:v>
                </c:pt>
                <c:pt idx="7">
                  <c:v>-643178.98899990134</c:v>
                </c:pt>
                <c:pt idx="8">
                  <c:v>-743791.04299790133</c:v>
                </c:pt>
                <c:pt idx="9">
                  <c:v>-840420.86691024899</c:v>
                </c:pt>
                <c:pt idx="10">
                  <c:v>-933276.8127544024</c:v>
                </c:pt>
                <c:pt idx="11">
                  <c:v>-1022554.1202972867</c:v>
                </c:pt>
                <c:pt idx="12">
                  <c:v>-1108435.8630657932</c:v>
                </c:pt>
                <c:pt idx="13">
                  <c:v>-1191093.8183358256</c:v>
                </c:pt>
                <c:pt idx="14">
                  <c:v>-1270689.2677728459</c:v>
                </c:pt>
                <c:pt idx="15">
                  <c:v>-1347373.7347664502</c:v>
                </c:pt>
                <c:pt idx="16">
                  <c:v>-1421289.6639342615</c:v>
                </c:pt>
                <c:pt idx="17">
                  <c:v>-1492571.0477600181</c:v>
                </c:pt>
                <c:pt idx="18">
                  <c:v>-1561344.0048709163</c:v>
                </c:pt>
                <c:pt idx="19">
                  <c:v>-1627727.3140448667</c:v>
                </c:pt>
                <c:pt idx="20">
                  <c:v>-1691832.9076646087</c:v>
                </c:pt>
                <c:pt idx="21">
                  <c:v>-1753766.3279983154</c:v>
                </c:pt>
                <c:pt idx="22">
                  <c:v>-1813627.149381774</c:v>
                </c:pt>
                <c:pt idx="23">
                  <c:v>-1871509.369101956</c:v>
                </c:pt>
                <c:pt idx="24">
                  <c:v>-1927501.7695328947</c:v>
                </c:pt>
                <c:pt idx="25">
                  <c:v>-1981688.2538496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1-3349-A735-E79FA3AE9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327423"/>
        <c:axId val="2015935199"/>
      </c:lineChart>
      <c:catAx>
        <c:axId val="206532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Diskonteirngsrente</a:t>
                </a:r>
              </a:p>
            </c:rich>
          </c:tx>
          <c:layout>
            <c:manualLayout>
              <c:xMode val="edge"/>
              <c:yMode val="edge"/>
              <c:x val="0.84680806663646802"/>
              <c:y val="0.9520339175744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5935199"/>
        <c:crosses val="autoZero"/>
        <c:auto val="1"/>
        <c:lblAlgn val="ctr"/>
        <c:lblOffset val="100"/>
        <c:noMultiLvlLbl val="0"/>
      </c:catAx>
      <c:valAx>
        <c:axId val="20159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Kapitalværdi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6532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89284435705589"/>
          <c:y val="0.79461826546692671"/>
          <c:w val="0.2074928810535486"/>
          <c:h val="4.45150841857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Sammenhæng</a:t>
            </a:r>
            <a:r>
              <a:rPr lang="da-DK" baseline="0"/>
              <a:t> mellem pris på nehed og kapital værdi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'Anlæg A'!$C$53:$K$53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'Anlæg A'!$C$54:$K$54</c:f>
              <c:numCache>
                <c:formatCode>General</c:formatCode>
                <c:ptCount val="9"/>
                <c:pt idx="0">
                  <c:v>-11689982</c:v>
                </c:pt>
                <c:pt idx="1">
                  <c:v>-9547878</c:v>
                </c:pt>
                <c:pt idx="2">
                  <c:v>-7405774</c:v>
                </c:pt>
                <c:pt idx="3">
                  <c:v>-5263670</c:v>
                </c:pt>
                <c:pt idx="4">
                  <c:v>-3121565</c:v>
                </c:pt>
                <c:pt idx="5">
                  <c:v>-979461</c:v>
                </c:pt>
                <c:pt idx="6">
                  <c:v>1162643</c:v>
                </c:pt>
                <c:pt idx="7">
                  <c:v>3304748</c:v>
                </c:pt>
                <c:pt idx="8">
                  <c:v>5446852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0-2542-B700-F41E5DFBA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28975"/>
        <c:axId val="2091783679"/>
      </c:lineChart>
      <c:catAx>
        <c:axId val="20947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91783679"/>
        <c:crosses val="autoZero"/>
        <c:auto val="1"/>
        <c:lblAlgn val="ctr"/>
        <c:lblOffset val="100"/>
        <c:noMultiLvlLbl val="0"/>
      </c:catAx>
      <c:valAx>
        <c:axId val="209178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947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 diskontering-nutidsværdi'!$B$4</c:f>
              <c:strCache>
                <c:ptCount val="1"/>
                <c:pt idx="0">
                  <c:v>Anlæg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 diskontering-nutidsværdi'!$C$3:$AB$3</c:f>
              <c:numCache>
                <c:formatCode>0.00%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</c:numCache>
            </c:numRef>
          </c:xVal>
          <c:yVal>
            <c:numRef>
              <c:f>'Figur diskontering-nutidsværdi'!$C$4:$AB$4</c:f>
              <c:numCache>
                <c:formatCode>#,##0</c:formatCode>
                <c:ptCount val="26"/>
                <c:pt idx="0">
                  <c:v>193384</c:v>
                </c:pt>
                <c:pt idx="1">
                  <c:v>57719.787101446651</c:v>
                </c:pt>
                <c:pt idx="2">
                  <c:v>-72037.360386888497</c:v>
                </c:pt>
                <c:pt idx="3">
                  <c:v>-196222.21968891378</c:v>
                </c:pt>
                <c:pt idx="4">
                  <c:v>-315146.97514586803</c:v>
                </c:pt>
                <c:pt idx="5">
                  <c:v>-429102.95343562495</c:v>
                </c:pt>
                <c:pt idx="6">
                  <c:v>-538362.21124193165</c:v>
                </c:pt>
                <c:pt idx="7">
                  <c:v>-643178.98899990134</c:v>
                </c:pt>
                <c:pt idx="8">
                  <c:v>-743791.04299790133</c:v>
                </c:pt>
                <c:pt idx="9">
                  <c:v>-840420.86691024899</c:v>
                </c:pt>
                <c:pt idx="10">
                  <c:v>-933276.8127544024</c:v>
                </c:pt>
                <c:pt idx="11">
                  <c:v>-1022554.1202972867</c:v>
                </c:pt>
                <c:pt idx="12">
                  <c:v>-1108435.8630657932</c:v>
                </c:pt>
                <c:pt idx="13">
                  <c:v>-1191093.8183358256</c:v>
                </c:pt>
                <c:pt idx="14">
                  <c:v>-1270689.2677728459</c:v>
                </c:pt>
                <c:pt idx="15">
                  <c:v>-1347373.7347664502</c:v>
                </c:pt>
                <c:pt idx="16">
                  <c:v>-1421289.6639342615</c:v>
                </c:pt>
                <c:pt idx="17">
                  <c:v>-1492571.0477600181</c:v>
                </c:pt>
                <c:pt idx="18">
                  <c:v>-1561344.0048709163</c:v>
                </c:pt>
                <c:pt idx="19">
                  <c:v>-1627727.3140448667</c:v>
                </c:pt>
                <c:pt idx="20">
                  <c:v>-1691832.9076646087</c:v>
                </c:pt>
                <c:pt idx="21">
                  <c:v>-1753766.3279983154</c:v>
                </c:pt>
                <c:pt idx="22">
                  <c:v>-1813627.149381774</c:v>
                </c:pt>
                <c:pt idx="23">
                  <c:v>-1871509.369101956</c:v>
                </c:pt>
                <c:pt idx="24">
                  <c:v>-1927501.7695328947</c:v>
                </c:pt>
                <c:pt idx="25">
                  <c:v>-1981688.2538496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9-DB4D-AA48-2D0562FD2CC7}"/>
            </c:ext>
          </c:extLst>
        </c:ser>
        <c:ser>
          <c:idx val="1"/>
          <c:order val="1"/>
          <c:tx>
            <c:strRef>
              <c:f>'Figur diskontering-nutidsværdi'!$B$5</c:f>
              <c:strCache>
                <c:ptCount val="1"/>
                <c:pt idx="0">
                  <c:v>Anlæg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 diskontering-nutidsværdi'!$C$3:$AB$3</c:f>
              <c:numCache>
                <c:formatCode>0.00%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</c:numCache>
            </c:numRef>
          </c:xVal>
          <c:yVal>
            <c:numRef>
              <c:f>'Figur diskontering-nutidsværdi'!$C$5:$AB$5</c:f>
              <c:numCache>
                <c:formatCode>#,##0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9-DB4D-AA48-2D0562FD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01360"/>
        <c:axId val="477906456"/>
      </c:scatterChart>
      <c:valAx>
        <c:axId val="477901360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Diskonteringsrente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7906456"/>
        <c:crosses val="autoZero"/>
        <c:crossBetween val="midCat"/>
      </c:valAx>
      <c:valAx>
        <c:axId val="47790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Nettonutidsværdi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790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Stående lån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'[1]Stående lån'!$C$29</c:f>
              <c:strCache>
                <c:ptCount val="1"/>
                <c:pt idx="0">
                  <c:v>RENTER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'[1]Stående lån'!$C$30:$C$50</c:f>
              <c:numCache>
                <c:formatCode>General</c:formatCode>
                <c:ptCount val="21"/>
                <c:pt idx="1">
                  <c:v>43750.000000000007</c:v>
                </c:pt>
                <c:pt idx="2">
                  <c:v>43750.000000000007</c:v>
                </c:pt>
                <c:pt idx="3">
                  <c:v>43750.000000000007</c:v>
                </c:pt>
                <c:pt idx="4">
                  <c:v>43750.000000000007</c:v>
                </c:pt>
                <c:pt idx="5">
                  <c:v>43750.000000000007</c:v>
                </c:pt>
                <c:pt idx="6">
                  <c:v>43750.000000000007</c:v>
                </c:pt>
                <c:pt idx="7">
                  <c:v>43750.000000000007</c:v>
                </c:pt>
                <c:pt idx="8">
                  <c:v>43750.000000000007</c:v>
                </c:pt>
                <c:pt idx="9">
                  <c:v>43750.000000000007</c:v>
                </c:pt>
                <c:pt idx="10">
                  <c:v>43750.000000000007</c:v>
                </c:pt>
                <c:pt idx="11">
                  <c:v>43750.000000000007</c:v>
                </c:pt>
                <c:pt idx="12">
                  <c:v>43750.000000000007</c:v>
                </c:pt>
                <c:pt idx="13">
                  <c:v>43750.000000000007</c:v>
                </c:pt>
                <c:pt idx="14">
                  <c:v>43750.000000000007</c:v>
                </c:pt>
                <c:pt idx="15">
                  <c:v>43750.000000000007</c:v>
                </c:pt>
                <c:pt idx="16">
                  <c:v>43750.000000000007</c:v>
                </c:pt>
                <c:pt idx="17">
                  <c:v>43750.000000000007</c:v>
                </c:pt>
                <c:pt idx="18">
                  <c:v>43750.000000000007</c:v>
                </c:pt>
                <c:pt idx="19">
                  <c:v>43750.000000000007</c:v>
                </c:pt>
                <c:pt idx="20">
                  <c:v>43750.000000000007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6-7B4E-80C3-75CAEA9CB1D3}"/>
            </c:ext>
          </c:extLst>
        </c:ser>
        <c:ser>
          <c:idx val="1"/>
          <c:order val="1"/>
          <c:tx>
            <c:strRef>
              <c:f>'[1]Stående lån'!$D$29</c:f>
              <c:strCache>
                <c:ptCount val="1"/>
                <c:pt idx="0">
                  <c:v>AFDRAG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'[1]Stående lån'!$D$30:$D$50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6-7B4E-80C3-75CAEA9CB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267032"/>
        <c:axId val="553264680"/>
      </c:barChart>
      <c:catAx>
        <c:axId val="553267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3264680"/>
        <c:crosses val="autoZero"/>
        <c:auto val="1"/>
        <c:lblAlgn val="ctr"/>
        <c:lblOffset val="100"/>
        <c:noMultiLvlLbl val="0"/>
      </c:catAx>
      <c:valAx>
        <c:axId val="553264680"/>
        <c:scaling>
          <c:orientation val="minMax"/>
          <c:max val="26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326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Serielån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[1]Serielån!$C$31</c:f>
              <c:strCache>
                <c:ptCount val="1"/>
                <c:pt idx="0">
                  <c:v>RENTER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[1]Serielån!$C$32:$C$52</c:f>
              <c:numCache>
                <c:formatCode>General</c:formatCode>
                <c:ptCount val="21"/>
                <c:pt idx="1">
                  <c:v>37500</c:v>
                </c:pt>
                <c:pt idx="2">
                  <c:v>35625</c:v>
                </c:pt>
                <c:pt idx="3">
                  <c:v>33750</c:v>
                </c:pt>
                <c:pt idx="4">
                  <c:v>31875</c:v>
                </c:pt>
                <c:pt idx="5">
                  <c:v>30000</c:v>
                </c:pt>
                <c:pt idx="6">
                  <c:v>28125</c:v>
                </c:pt>
                <c:pt idx="7">
                  <c:v>26250</c:v>
                </c:pt>
                <c:pt idx="8">
                  <c:v>24375</c:v>
                </c:pt>
                <c:pt idx="9">
                  <c:v>22500</c:v>
                </c:pt>
                <c:pt idx="10">
                  <c:v>20625</c:v>
                </c:pt>
                <c:pt idx="11">
                  <c:v>18750</c:v>
                </c:pt>
                <c:pt idx="12">
                  <c:v>16875</c:v>
                </c:pt>
                <c:pt idx="13">
                  <c:v>15000</c:v>
                </c:pt>
                <c:pt idx="14">
                  <c:v>13125</c:v>
                </c:pt>
                <c:pt idx="15">
                  <c:v>11250</c:v>
                </c:pt>
                <c:pt idx="16">
                  <c:v>9375</c:v>
                </c:pt>
                <c:pt idx="17">
                  <c:v>7500</c:v>
                </c:pt>
                <c:pt idx="18">
                  <c:v>5625</c:v>
                </c:pt>
                <c:pt idx="19">
                  <c:v>3750</c:v>
                </c:pt>
                <c:pt idx="20">
                  <c:v>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7-2D41-AF21-4E45B5271E62}"/>
            </c:ext>
          </c:extLst>
        </c:ser>
        <c:ser>
          <c:idx val="1"/>
          <c:order val="1"/>
          <c:tx>
            <c:strRef>
              <c:f>[1]Serielån!$D$31</c:f>
              <c:strCache>
                <c:ptCount val="1"/>
                <c:pt idx="0">
                  <c:v>AFDRAG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[1]Serielån!$D$32:$D$52</c:f>
              <c:numCache>
                <c:formatCode>General</c:formatCode>
                <c:ptCount val="21"/>
                <c:pt idx="1">
                  <c:v>125000</c:v>
                </c:pt>
                <c:pt idx="2">
                  <c:v>125000</c:v>
                </c:pt>
                <c:pt idx="3">
                  <c:v>125000</c:v>
                </c:pt>
                <c:pt idx="4">
                  <c:v>125000</c:v>
                </c:pt>
                <c:pt idx="5">
                  <c:v>125000</c:v>
                </c:pt>
                <c:pt idx="6">
                  <c:v>125000</c:v>
                </c:pt>
                <c:pt idx="7">
                  <c:v>125000</c:v>
                </c:pt>
                <c:pt idx="8">
                  <c:v>125000</c:v>
                </c:pt>
                <c:pt idx="9">
                  <c:v>125000</c:v>
                </c:pt>
                <c:pt idx="10">
                  <c:v>125000</c:v>
                </c:pt>
                <c:pt idx="11">
                  <c:v>125000</c:v>
                </c:pt>
                <c:pt idx="12">
                  <c:v>125000</c:v>
                </c:pt>
                <c:pt idx="13">
                  <c:v>125000</c:v>
                </c:pt>
                <c:pt idx="14">
                  <c:v>125000</c:v>
                </c:pt>
                <c:pt idx="15">
                  <c:v>125000</c:v>
                </c:pt>
                <c:pt idx="16">
                  <c:v>125000</c:v>
                </c:pt>
                <c:pt idx="17">
                  <c:v>125000</c:v>
                </c:pt>
                <c:pt idx="18">
                  <c:v>125000</c:v>
                </c:pt>
                <c:pt idx="19">
                  <c:v>125000</c:v>
                </c:pt>
                <c:pt idx="20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7-2D41-AF21-4E45B527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0405000"/>
        <c:axId val="370404608"/>
      </c:barChart>
      <c:catAx>
        <c:axId val="37040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0404608"/>
        <c:crosses val="autoZero"/>
        <c:auto val="1"/>
        <c:lblAlgn val="ctr"/>
        <c:lblOffset val="100"/>
        <c:noMultiLvlLbl val="0"/>
      </c:catAx>
      <c:valAx>
        <c:axId val="3704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040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Annuitetslån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[1]Annuitetslån!$C$30</c:f>
              <c:strCache>
                <c:ptCount val="1"/>
                <c:pt idx="0">
                  <c:v>RENTER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[1]Annuitetslån!$C$31:$C$51</c:f>
              <c:numCache>
                <c:formatCode>General</c:formatCode>
                <c:ptCount val="21"/>
                <c:pt idx="1">
                  <c:v>90900</c:v>
                </c:pt>
                <c:pt idx="2">
                  <c:v>84003.602597767123</c:v>
                </c:pt>
                <c:pt idx="3">
                  <c:v>76693.421351400262</c:v>
                </c:pt>
                <c:pt idx="4">
                  <c:v>68944.629230251405</c:v>
                </c:pt>
                <c:pt idx="5">
                  <c:v>60730.909581833606</c:v>
                </c:pt>
                <c:pt idx="6">
                  <c:v>52024.366754510738</c:v>
                </c:pt>
                <c:pt idx="7">
                  <c:v>42795.431357548507</c:v>
                </c:pt>
                <c:pt idx="8">
                  <c:v>33012.759836768535</c:v>
                </c:pt>
                <c:pt idx="9">
                  <c:v>22643.128024741767</c:v>
                </c:pt>
                <c:pt idx="10">
                  <c:v>11651.318303993394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D-B64D-9047-D95D0C857B15}"/>
            </c:ext>
          </c:extLst>
        </c:ser>
        <c:ser>
          <c:idx val="1"/>
          <c:order val="1"/>
          <c:tx>
            <c:strRef>
              <c:f>[1]Annuitetslån!$D$30</c:f>
              <c:strCache>
                <c:ptCount val="1"/>
                <c:pt idx="0">
                  <c:v>AFDRAG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[1]Annuitetslån!$D$31:$D$51</c:f>
              <c:numCache>
                <c:formatCode>General</c:formatCode>
                <c:ptCount val="21"/>
                <c:pt idx="1">
                  <c:v>114939.95670388135</c:v>
                </c:pt>
                <c:pt idx="2">
                  <c:v>121836.35410611423</c:v>
                </c:pt>
                <c:pt idx="3">
                  <c:v>129146.53535248109</c:v>
                </c:pt>
                <c:pt idx="4">
                  <c:v>136895.32747362996</c:v>
                </c:pt>
                <c:pt idx="5">
                  <c:v>145109.04712204775</c:v>
                </c:pt>
                <c:pt idx="6">
                  <c:v>153815.58994937062</c:v>
                </c:pt>
                <c:pt idx="7">
                  <c:v>163044.52534633284</c:v>
                </c:pt>
                <c:pt idx="8">
                  <c:v>172827.19686711283</c:v>
                </c:pt>
                <c:pt idx="9">
                  <c:v>183196.82867913958</c:v>
                </c:pt>
                <c:pt idx="10">
                  <c:v>194188.63839988795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D-B64D-9047-D95D0C857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990256"/>
        <c:axId val="487990648"/>
      </c:barChart>
      <c:catAx>
        <c:axId val="48799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7990648"/>
        <c:crosses val="autoZero"/>
        <c:auto val="1"/>
        <c:lblAlgn val="ctr"/>
        <c:lblOffset val="100"/>
        <c:noMultiLvlLbl val="0"/>
      </c:catAx>
      <c:valAx>
        <c:axId val="4879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79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6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271948</xdr:colOff>
      <xdr:row>18</xdr:row>
      <xdr:rowOff>60808</xdr:rowOff>
    </xdr:from>
    <xdr:to>
      <xdr:col>26</xdr:col>
      <xdr:colOff>334918</xdr:colOff>
      <xdr:row>41</xdr:row>
      <xdr:rowOff>41639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F52579C-5339-414D-8EEF-C1FC3DB2A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819150</xdr:colOff>
      <xdr:row>54</xdr:row>
      <xdr:rowOff>146050</xdr:rowOff>
    </xdr:from>
    <xdr:to>
      <xdr:col>5</xdr:col>
      <xdr:colOff>76200</xdr:colOff>
      <xdr:row>71</xdr:row>
      <xdr:rowOff>152400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ED68B9E-3245-F34E-991D-AAB6D76C6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6</xdr:row>
      <xdr:rowOff>12700</xdr:rowOff>
    </xdr:from>
    <xdr:to>
      <xdr:col>10</xdr:col>
      <xdr:colOff>254000</xdr:colOff>
      <xdr:row>24</xdr:row>
      <xdr:rowOff>127000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376ED3E-ED59-BA4E-AEAE-69BEFA60D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95250</xdr:colOff>
      <xdr:row>4</xdr:row>
      <xdr:rowOff>35718</xdr:rowOff>
    </xdr:from>
    <xdr:to>
      <xdr:col>33</xdr:col>
      <xdr:colOff>71438</xdr:colOff>
      <xdr:row>7</xdr:row>
      <xdr:rowOff>194980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7469" y="845343"/>
          <a:ext cx="2047875" cy="968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263853</xdr:colOff>
      <xdr:row>6</xdr:row>
      <xdr:rowOff>8012</xdr:rowOff>
    </xdr:from>
    <xdr:to>
      <xdr:col>21</xdr:col>
      <xdr:colOff>402432</xdr:colOff>
      <xdr:row>17</xdr:row>
      <xdr:rowOff>29433</xdr:rowOff>
    </xdr:to>
    <xdr:pic>
      <xdr:nvPicPr>
        <xdr:cNvPr id="2" name="Billede 2">
          <a:extLst>
            <a:ext uri="{FF2B5EF4-FFF2-40B4-BE49-F238E27FC236}">
              <a16:creationId xmlns:a16="http://schemas.microsoft.com/office/drawing/2014/main" id="{D5E457E3-341A-6D4E-9C57-FE39E7476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0085" y="1296418"/>
          <a:ext cx="2862637" cy="25798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23278</xdr:colOff>
      <xdr:row>18</xdr:row>
      <xdr:rowOff>542</xdr:rowOff>
    </xdr:from>
    <xdr:to>
      <xdr:col>18</xdr:col>
      <xdr:colOff>10221</xdr:colOff>
      <xdr:row>43</xdr:row>
      <xdr:rowOff>80273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C687E8D8-9316-A84D-9623-F193BAEEEBAC}"/>
            </a:ext>
          </a:extLst>
        </xdr:cNvPr>
        <xdr:cNvSpPr txBox="1"/>
      </xdr:nvSpPr>
      <xdr:spPr>
        <a:xfrm>
          <a:off x="8581974" y="4049817"/>
          <a:ext cx="6116073" cy="5178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Egenkapitalens forrentning (EKF) = resultat før skat/egenkapital </a:t>
          </a:r>
        </a:p>
        <a:p>
          <a:endParaRPr lang="da-DK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Afkastningsgraden (AG) = resultatet før renter / Samlede aktiver </a:t>
          </a:r>
        </a:p>
        <a:p>
          <a:endParaRPr lang="da-DK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Overskudsgraden (OG) = resultatet før renter / nettoomsætning </a:t>
          </a:r>
        </a:p>
        <a:p>
          <a:endParaRPr lang="da-DK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Aktivernes omsætningshastighed (AOH) = nettoomsætning / samlede aktiver </a:t>
          </a:r>
        </a:p>
        <a:p>
          <a:endParaRPr lang="da-DK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(RG) = renteomkostninger netto / gæld</a:t>
          </a:r>
        </a:p>
        <a:p>
          <a:endParaRPr lang="da-DK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Gearing i kapitalstruktur (GKS) = samlede aktiver / egenkapital </a:t>
          </a:r>
        </a:p>
        <a:p>
          <a:endParaRPr lang="da-DK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Gæld-egenkapital forholf (G) = gæld / egenkapital </a:t>
          </a:r>
        </a:p>
        <a:p>
          <a:endParaRPr lang="da-DK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Gearing i indkomststrukturen (GSI) = resultat / (resultat + renteudgift)</a:t>
          </a:r>
        </a:p>
        <a:p>
          <a:endParaRPr lang="da-DK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Soliditetsgrad = egenkapital / samlede aktiver </a:t>
          </a:r>
        </a:p>
        <a:p>
          <a:endParaRPr lang="da-DK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EFK = AG + G (AG - RG)</a:t>
          </a:r>
        </a:p>
        <a:p>
          <a:endParaRPr lang="da-DK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Likviditetsgrad 1</a:t>
          </a:r>
        </a:p>
        <a:p>
          <a:r>
            <a:rPr lang="da-DK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ratio =omsætningsaktiver/kortfristet gæld</a:t>
          </a:r>
        </a:p>
        <a:p>
          <a:endParaRPr lang="da-DK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Likviditetsgrad B</a:t>
          </a:r>
        </a:p>
        <a:p>
          <a:r>
            <a:rPr lang="da-DK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quick ratio =(kontanter + værdipapirer + tilgodehavender)/kortfristet gæld</a:t>
          </a:r>
        </a:p>
        <a:p>
          <a:endParaRPr lang="da-DK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368300</xdr:colOff>
      <xdr:row>6</xdr:row>
      <xdr:rowOff>38101</xdr:rowOff>
    </xdr:from>
    <xdr:to>
      <xdr:col>8</xdr:col>
      <xdr:colOff>434975</xdr:colOff>
      <xdr:row>14</xdr:row>
      <xdr:rowOff>181429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8025" y="1238251"/>
          <a:ext cx="5791200" cy="1743528"/>
        </a:xfrm>
        <a:prstGeom prst="rect">
          <a:avLst/>
        </a:prstGeom>
      </xdr:spPr>
    </xdr:pic>
    <xdr:clientData/>
  </xdr:twoCellAnchor>
  <xdr:twoCellAnchor>
    <xdr:from>
      <xdr:col>5</xdr:col>
      <xdr:colOff>571500</xdr:colOff>
      <xdr:row>26</xdr:row>
      <xdr:rowOff>190500</xdr:rowOff>
    </xdr:from>
    <xdr:to>
      <xdr:col>11</xdr:col>
      <xdr:colOff>190500</xdr:colOff>
      <xdr:row>40</xdr:row>
      <xdr:rowOff>88900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9</xdr:row>
      <xdr:rowOff>165100</xdr:rowOff>
    </xdr:from>
    <xdr:to>
      <xdr:col>11</xdr:col>
      <xdr:colOff>31750</xdr:colOff>
      <xdr:row>23</xdr:row>
      <xdr:rowOff>63500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0</xdr:row>
      <xdr:rowOff>0</xdr:rowOff>
    </xdr:from>
    <xdr:to>
      <xdr:col>11</xdr:col>
      <xdr:colOff>425450</xdr:colOff>
      <xdr:row>6</xdr:row>
      <xdr:rowOff>187325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9175" y="0"/>
          <a:ext cx="4540250" cy="13874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146050</xdr:colOff>
      <xdr:row>1</xdr:row>
      <xdr:rowOff>95250</xdr:rowOff>
    </xdr:from>
    <xdr:to>
      <xdr:col>12</xdr:col>
      <xdr:colOff>73025</xdr:colOff>
      <xdr:row>8</xdr:row>
      <xdr:rowOff>60325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0850" y="1895475"/>
          <a:ext cx="4486275" cy="1365250"/>
        </a:xfrm>
        <a:prstGeom prst="rect">
          <a:avLst/>
        </a:prstGeom>
      </xdr:spPr>
    </xdr:pic>
    <xdr:clientData/>
  </xdr:twoCellAnchor>
  <xdr:twoCellAnchor>
    <xdr:from>
      <xdr:col>7</xdr:col>
      <xdr:colOff>76200</xdr:colOff>
      <xdr:row>19</xdr:row>
      <xdr:rowOff>50800</xdr:rowOff>
    </xdr:from>
    <xdr:to>
      <xdr:col>12</xdr:col>
      <xdr:colOff>520700</xdr:colOff>
      <xdr:row>32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47</xdr:row>
      <xdr:rowOff>0</xdr:rowOff>
    </xdr:from>
    <xdr:to>
      <xdr:col>4</xdr:col>
      <xdr:colOff>619125</xdr:colOff>
      <xdr:row>57</xdr:row>
      <xdr:rowOff>38100</xdr:rowOff>
    </xdr:to>
    <xdr:pic>
      <xdr:nvPicPr>
        <xdr:cNvPr id="8" name="Billede 7" descr="https://scontent-arn2-1.xx.fbcdn.net/v/t1.15752-9/33902496_10211754384990822_698535564080578560_n.png?_nc_cat=0&amp;oh=033910e262c2971716cae107389e9be2&amp;oe=5B8C51ED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1175"/>
          <a:ext cx="4629150" cy="203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Shark/AppData/Local/Temp/Rar$DIa0.603/Cheatsheet-of-Doom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nskaber"/>
      <sheetName val="Investeringsteori"/>
      <sheetName val="Finansieringsteori"/>
      <sheetName val="Strategi"/>
      <sheetName val="Resultat+balance+afslutning"/>
      <sheetName val="Aktiver = passiver"/>
      <sheetName val="Omsætning- og anlægsaktiver (2)"/>
      <sheetName val="Pengestrøm+egenkapitalopg."/>
      <sheetName val="Debet - kredit"/>
      <sheetName val="Periodisering,matching"/>
      <sheetName val="Afskrivning"/>
      <sheetName val="Værdiansættelse"/>
      <sheetName val="Konsistens"/>
      <sheetName val="AG og EKF"/>
      <sheetName val="Nøgletal"/>
      <sheetName val="Solvens og soliditetsgrad"/>
      <sheetName val="Aktieafkast "/>
      <sheetName val="Fremtids,nutids,nettonutidsværd"/>
      <sheetName val="Annuitetsværdi"/>
      <sheetName val="Annuitet med vækst!!"/>
      <sheetName val="Opsparingsformlen"/>
      <sheetName val="Investeringskalkule+tilbagebeta"/>
      <sheetName val="Investeringskalkule - eks"/>
      <sheetName val="Tilbagebetaling"/>
      <sheetName val="Kalkulationsrenten WACC"/>
      <sheetName val="Renteregning opgaver"/>
      <sheetName val="Optimal levetid"/>
      <sheetName val="Låntyper"/>
      <sheetName val="Stående lån"/>
      <sheetName val="Serielån"/>
      <sheetName val="Annuitetslån"/>
      <sheetName val="Kurs og rente"/>
      <sheetName val="Afkast"/>
      <sheetName val="Varians afkast,kovarians,korrel"/>
      <sheetName val="Kovarians ved 4 aktier"/>
      <sheetName val="Kapitalmarkedslinjen"/>
      <sheetName val="Betaværdi"/>
      <sheetName val="Værdimarkedslinjen"/>
      <sheetName val="Forventet afkast vs CAPM"/>
      <sheetName val="Dividend discount model"/>
      <sheetName val="Fundamental værdi"/>
      <sheetName val="Efficiente markeder"/>
      <sheetName val="Skalafordele,-ulemper"/>
      <sheetName val="Principal-agent-problemet -eks"/>
      <sheetName val="Incitament baseret afløning -ek"/>
      <sheetName val="Profitmaksimering -eks"/>
      <sheetName val="Virksomheds undersøgelse - eks"/>
      <sheetName val="Elastisitet - eksempel"/>
      <sheetName val="Make-or-Buy - eks"/>
      <sheetName val="Bogført værdi - eks"/>
      <sheetName val="Optimal prissætning - e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9">
          <cell r="C29" t="str">
            <v>RENTER</v>
          </cell>
          <cell r="D29" t="str">
            <v>AFDRAG</v>
          </cell>
        </row>
        <row r="31">
          <cell r="C31">
            <v>43750.000000000007</v>
          </cell>
          <cell r="D31">
            <v>0</v>
          </cell>
        </row>
        <row r="32">
          <cell r="C32">
            <v>43750.000000000007</v>
          </cell>
          <cell r="D32">
            <v>0</v>
          </cell>
        </row>
        <row r="33">
          <cell r="C33">
            <v>43750.000000000007</v>
          </cell>
          <cell r="D33">
            <v>0</v>
          </cell>
        </row>
        <row r="34">
          <cell r="C34">
            <v>43750.000000000007</v>
          </cell>
          <cell r="D34">
            <v>0</v>
          </cell>
        </row>
        <row r="35">
          <cell r="C35">
            <v>43750.000000000007</v>
          </cell>
          <cell r="D35">
            <v>0</v>
          </cell>
        </row>
        <row r="36">
          <cell r="C36">
            <v>43750.000000000007</v>
          </cell>
          <cell r="D36">
            <v>0</v>
          </cell>
        </row>
        <row r="37">
          <cell r="C37">
            <v>43750.000000000007</v>
          </cell>
          <cell r="D37">
            <v>0</v>
          </cell>
        </row>
        <row r="38">
          <cell r="C38">
            <v>43750.000000000007</v>
          </cell>
          <cell r="D38">
            <v>0</v>
          </cell>
        </row>
        <row r="39">
          <cell r="C39">
            <v>43750.000000000007</v>
          </cell>
          <cell r="D39">
            <v>0</v>
          </cell>
        </row>
        <row r="40">
          <cell r="C40">
            <v>43750.000000000007</v>
          </cell>
          <cell r="D40">
            <v>0</v>
          </cell>
        </row>
        <row r="41">
          <cell r="C41">
            <v>43750.000000000007</v>
          </cell>
          <cell r="D41">
            <v>0</v>
          </cell>
        </row>
        <row r="42">
          <cell r="C42">
            <v>43750.000000000007</v>
          </cell>
          <cell r="D42">
            <v>0</v>
          </cell>
        </row>
        <row r="43">
          <cell r="C43">
            <v>43750.000000000007</v>
          </cell>
          <cell r="D43">
            <v>0</v>
          </cell>
        </row>
        <row r="44">
          <cell r="C44">
            <v>43750.000000000007</v>
          </cell>
          <cell r="D44">
            <v>0</v>
          </cell>
        </row>
        <row r="45">
          <cell r="C45">
            <v>43750.000000000007</v>
          </cell>
          <cell r="D45">
            <v>0</v>
          </cell>
        </row>
        <row r="46">
          <cell r="C46">
            <v>43750.000000000007</v>
          </cell>
          <cell r="D46">
            <v>0</v>
          </cell>
        </row>
        <row r="47">
          <cell r="C47">
            <v>43750.000000000007</v>
          </cell>
          <cell r="D47">
            <v>0</v>
          </cell>
        </row>
        <row r="48">
          <cell r="C48">
            <v>43750.000000000007</v>
          </cell>
          <cell r="D48">
            <v>0</v>
          </cell>
        </row>
        <row r="49">
          <cell r="C49">
            <v>43750.000000000007</v>
          </cell>
          <cell r="D49">
            <v>0</v>
          </cell>
        </row>
        <row r="50">
          <cell r="C50">
            <v>43750.000000000007</v>
          </cell>
          <cell r="D50">
            <v>2500000</v>
          </cell>
        </row>
      </sheetData>
      <sheetData sheetId="29">
        <row r="31">
          <cell r="C31" t="str">
            <v>RENTER</v>
          </cell>
          <cell r="D31" t="str">
            <v>AFDRAG</v>
          </cell>
        </row>
        <row r="33">
          <cell r="C33">
            <v>37500</v>
          </cell>
          <cell r="D33">
            <v>125000</v>
          </cell>
        </row>
        <row r="34">
          <cell r="C34">
            <v>35625</v>
          </cell>
          <cell r="D34">
            <v>125000</v>
          </cell>
        </row>
        <row r="35">
          <cell r="C35">
            <v>33750</v>
          </cell>
          <cell r="D35">
            <v>125000</v>
          </cell>
        </row>
        <row r="36">
          <cell r="C36">
            <v>31875</v>
          </cell>
          <cell r="D36">
            <v>125000</v>
          </cell>
        </row>
        <row r="37">
          <cell r="C37">
            <v>30000</v>
          </cell>
          <cell r="D37">
            <v>125000</v>
          </cell>
        </row>
        <row r="38">
          <cell r="C38">
            <v>28125</v>
          </cell>
          <cell r="D38">
            <v>125000</v>
          </cell>
        </row>
        <row r="39">
          <cell r="C39">
            <v>26250</v>
          </cell>
          <cell r="D39">
            <v>125000</v>
          </cell>
        </row>
        <row r="40">
          <cell r="C40">
            <v>24375</v>
          </cell>
          <cell r="D40">
            <v>125000</v>
          </cell>
        </row>
        <row r="41">
          <cell r="C41">
            <v>22500</v>
          </cell>
          <cell r="D41">
            <v>125000</v>
          </cell>
        </row>
        <row r="42">
          <cell r="C42">
            <v>20625</v>
          </cell>
          <cell r="D42">
            <v>125000</v>
          </cell>
        </row>
        <row r="43">
          <cell r="C43">
            <v>18750</v>
          </cell>
          <cell r="D43">
            <v>125000</v>
          </cell>
        </row>
        <row r="44">
          <cell r="C44">
            <v>16875</v>
          </cell>
          <cell r="D44">
            <v>125000</v>
          </cell>
        </row>
        <row r="45">
          <cell r="C45">
            <v>15000</v>
          </cell>
          <cell r="D45">
            <v>125000</v>
          </cell>
        </row>
        <row r="46">
          <cell r="C46">
            <v>13125</v>
          </cell>
          <cell r="D46">
            <v>125000</v>
          </cell>
        </row>
        <row r="47">
          <cell r="C47">
            <v>11250</v>
          </cell>
          <cell r="D47">
            <v>125000</v>
          </cell>
        </row>
        <row r="48">
          <cell r="C48">
            <v>9375</v>
          </cell>
          <cell r="D48">
            <v>125000</v>
          </cell>
        </row>
        <row r="49">
          <cell r="C49">
            <v>7500</v>
          </cell>
          <cell r="D49">
            <v>125000</v>
          </cell>
        </row>
        <row r="50">
          <cell r="C50">
            <v>5625</v>
          </cell>
          <cell r="D50">
            <v>125000</v>
          </cell>
        </row>
        <row r="51">
          <cell r="C51">
            <v>3750</v>
          </cell>
          <cell r="D51">
            <v>125000</v>
          </cell>
        </row>
        <row r="52">
          <cell r="C52">
            <v>1875</v>
          </cell>
          <cell r="D52">
            <v>125000</v>
          </cell>
        </row>
      </sheetData>
      <sheetData sheetId="30">
        <row r="30">
          <cell r="C30" t="str">
            <v>RENTER</v>
          </cell>
          <cell r="D30" t="str">
            <v>AFDRAG</v>
          </cell>
        </row>
        <row r="32">
          <cell r="C32">
            <v>90900</v>
          </cell>
          <cell r="D32">
            <v>114939.95670388135</v>
          </cell>
        </row>
        <row r="33">
          <cell r="C33">
            <v>84003.602597767123</v>
          </cell>
          <cell r="D33">
            <v>121836.35410611423</v>
          </cell>
        </row>
        <row r="34">
          <cell r="C34">
            <v>76693.421351400262</v>
          </cell>
          <cell r="D34">
            <v>129146.53535248109</v>
          </cell>
        </row>
        <row r="35">
          <cell r="C35">
            <v>68944.629230251405</v>
          </cell>
          <cell r="D35">
            <v>136895.32747362996</v>
          </cell>
        </row>
        <row r="36">
          <cell r="C36">
            <v>60730.909581833606</v>
          </cell>
          <cell r="D36">
            <v>145109.04712204775</v>
          </cell>
        </row>
        <row r="37">
          <cell r="C37">
            <v>52024.366754510738</v>
          </cell>
          <cell r="D37">
            <v>153815.58994937062</v>
          </cell>
        </row>
        <row r="38">
          <cell r="C38">
            <v>42795.431357548507</v>
          </cell>
          <cell r="D38">
            <v>163044.52534633284</v>
          </cell>
        </row>
        <row r="39">
          <cell r="C39">
            <v>33012.759836768535</v>
          </cell>
          <cell r="D39">
            <v>172827.19686711283</v>
          </cell>
        </row>
        <row r="40">
          <cell r="C40">
            <v>22643.128024741767</v>
          </cell>
          <cell r="D40">
            <v>183196.82867913958</v>
          </cell>
        </row>
        <row r="41">
          <cell r="C41">
            <v>11651.318303993394</v>
          </cell>
          <cell r="D41">
            <v>194188.63839988795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888FE-BCC8-3649-96B4-5E20B7AA975E}">
  <dimension ref="A1:L22"/>
  <sheetViews>
    <sheetView zoomScale="67" workbookViewId="0">
      <selection activeCell="F9" sqref="F9"/>
    </sheetView>
  </sheetViews>
  <sheetFormatPr baseColWidth="10" defaultRowHeight="16"/>
  <cols>
    <col min="1" max="1" width="28.83203125" bestFit="1" customWidth="1"/>
    <col min="4" max="4" width="20" bestFit="1" customWidth="1"/>
  </cols>
  <sheetData>
    <row r="1" spans="1:12">
      <c r="A1" t="s">
        <v>14</v>
      </c>
      <c r="B1">
        <v>495000</v>
      </c>
    </row>
    <row r="2" spans="1:12">
      <c r="A2" t="s">
        <v>255</v>
      </c>
      <c r="B2">
        <v>7</v>
      </c>
    </row>
    <row r="3" spans="1:12">
      <c r="A3" t="s">
        <v>269</v>
      </c>
      <c r="B3">
        <v>220000</v>
      </c>
    </row>
    <row r="4" spans="1:12">
      <c r="A4" t="s">
        <v>256</v>
      </c>
    </row>
    <row r="5" spans="1:12">
      <c r="A5" t="s">
        <v>257</v>
      </c>
      <c r="B5">
        <v>1</v>
      </c>
    </row>
    <row r="6" spans="1:12">
      <c r="A6" t="s">
        <v>258</v>
      </c>
      <c r="B6">
        <v>2</v>
      </c>
    </row>
    <row r="7" spans="1:12">
      <c r="A7" t="s">
        <v>259</v>
      </c>
      <c r="B7">
        <v>3</v>
      </c>
      <c r="E7">
        <v>0</v>
      </c>
      <c r="F7">
        <v>1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</row>
    <row r="8" spans="1:12">
      <c r="A8" t="s">
        <v>260</v>
      </c>
      <c r="D8" t="s">
        <v>14</v>
      </c>
      <c r="E8">
        <v>-495000</v>
      </c>
    </row>
    <row r="9" spans="1:12">
      <c r="A9" t="s">
        <v>261</v>
      </c>
      <c r="D9" t="s">
        <v>270</v>
      </c>
      <c r="F9">
        <f>-(B3*(B7*0.3)+B18*B21+B17*B20)</f>
        <v>-580093</v>
      </c>
    </row>
    <row r="10" spans="1:12">
      <c r="A10" t="s">
        <v>262</v>
      </c>
      <c r="B10">
        <v>0</v>
      </c>
      <c r="D10" t="s">
        <v>271</v>
      </c>
    </row>
    <row r="11" spans="1:12">
      <c r="A11">
        <v>3</v>
      </c>
      <c r="B11" s="1">
        <v>500000</v>
      </c>
      <c r="D11" t="s">
        <v>273</v>
      </c>
      <c r="H11" s="1">
        <f>B11</f>
        <v>500000</v>
      </c>
      <c r="I11">
        <f>B12</f>
        <v>800000</v>
      </c>
      <c r="J11">
        <f>B13</f>
        <v>1100000</v>
      </c>
      <c r="K11">
        <f>B14</f>
        <v>1400000</v>
      </c>
      <c r="L11">
        <f>B15</f>
        <v>1700000</v>
      </c>
    </row>
    <row r="12" spans="1:12">
      <c r="A12">
        <v>4</v>
      </c>
      <c r="B12">
        <f>$B$11+300000*(A12-3)</f>
        <v>800000</v>
      </c>
      <c r="D12" t="s">
        <v>272</v>
      </c>
      <c r="L12" s="1">
        <f>B16</f>
        <v>900000</v>
      </c>
    </row>
    <row r="13" spans="1:12">
      <c r="A13">
        <v>5</v>
      </c>
      <c r="B13">
        <f t="shared" ref="B13:B15" si="0">$B$11+300000*(A13-3)</f>
        <v>1100000</v>
      </c>
    </row>
    <row r="14" spans="1:12">
      <c r="A14">
        <v>6</v>
      </c>
      <c r="B14">
        <f t="shared" si="0"/>
        <v>1400000</v>
      </c>
    </row>
    <row r="15" spans="1:12">
      <c r="A15">
        <v>7</v>
      </c>
      <c r="B15">
        <f t="shared" si="0"/>
        <v>1700000</v>
      </c>
    </row>
    <row r="16" spans="1:12">
      <c r="A16" t="s">
        <v>274</v>
      </c>
      <c r="B16" s="1">
        <v>900000</v>
      </c>
    </row>
    <row r="17" spans="1:2">
      <c r="A17" t="s">
        <v>263</v>
      </c>
      <c r="B17">
        <v>177</v>
      </c>
    </row>
    <row r="18" spans="1:2">
      <c r="A18" t="s">
        <v>264</v>
      </c>
      <c r="B18">
        <v>1244</v>
      </c>
    </row>
    <row r="19" spans="1:2">
      <c r="A19" t="s">
        <v>265</v>
      </c>
    </row>
    <row r="20" spans="1:2">
      <c r="A20" t="s">
        <v>266</v>
      </c>
      <c r="B20">
        <v>985</v>
      </c>
    </row>
    <row r="21" spans="1:2">
      <c r="A21" t="s">
        <v>267</v>
      </c>
      <c r="B21">
        <v>167</v>
      </c>
    </row>
    <row r="22" spans="1:2">
      <c r="A22" t="s">
        <v>268</v>
      </c>
      <c r="B22" s="194">
        <v>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1"/>
  <sheetViews>
    <sheetView topLeftCell="A21" workbookViewId="0">
      <selection activeCell="B24" sqref="B24"/>
    </sheetView>
  </sheetViews>
  <sheetFormatPr baseColWidth="10" defaultColWidth="8.83203125" defaultRowHeight="16"/>
  <cols>
    <col min="1" max="1" width="19.83203125" customWidth="1"/>
    <col min="2" max="2" width="14.6640625" customWidth="1"/>
    <col min="3" max="3" width="13.1640625" customWidth="1"/>
    <col min="4" max="5" width="10.1640625" customWidth="1"/>
  </cols>
  <sheetData>
    <row r="1" spans="1:13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>
      <c r="A3" s="86"/>
      <c r="B3" s="86"/>
      <c r="C3" s="86"/>
      <c r="D3" s="87"/>
      <c r="E3" s="86"/>
      <c r="F3" s="86"/>
      <c r="G3" s="86"/>
      <c r="H3" s="86"/>
      <c r="I3" s="86"/>
      <c r="J3" s="86"/>
      <c r="K3" s="86"/>
      <c r="L3" s="86"/>
      <c r="M3" s="86"/>
    </row>
    <row r="4" spans="1:13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</row>
    <row r="6" spans="1:13">
      <c r="A6" s="86"/>
      <c r="B6" s="88" t="s">
        <v>152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</row>
    <row r="7" spans="1:13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</row>
    <row r="8" spans="1:13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</row>
    <row r="9" spans="1:13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</row>
    <row r="10" spans="1:13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</row>
    <row r="11" spans="1:13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</row>
    <row r="12" spans="1:13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</row>
    <row r="13" spans="1:13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</row>
    <row r="14" spans="1:13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</row>
    <row r="15" spans="1:13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</row>
    <row r="16" spans="1:13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</row>
    <row r="17" spans="1:13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</row>
    <row r="18" spans="1:13">
      <c r="A18" s="86"/>
      <c r="B18" s="86"/>
      <c r="C18" s="89"/>
      <c r="D18" s="86" t="s">
        <v>153</v>
      </c>
      <c r="E18" s="86"/>
      <c r="F18" s="86"/>
      <c r="G18" s="86"/>
      <c r="H18" s="86"/>
      <c r="I18" s="86"/>
      <c r="J18" s="86"/>
      <c r="K18" s="86"/>
      <c r="L18" s="86"/>
      <c r="M18" s="86"/>
    </row>
    <row r="19" spans="1:13">
      <c r="A19" s="86"/>
      <c r="B19" s="86"/>
      <c r="C19" s="90"/>
      <c r="D19" s="86" t="s">
        <v>154</v>
      </c>
      <c r="E19" s="86"/>
      <c r="F19" s="86"/>
      <c r="G19" s="86"/>
      <c r="H19" s="86"/>
      <c r="I19" s="86"/>
      <c r="J19" s="86"/>
      <c r="K19" s="86"/>
      <c r="L19" s="86"/>
      <c r="M19" s="86"/>
    </row>
    <row r="20" spans="1:13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</row>
    <row r="21" spans="1:13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</row>
    <row r="22" spans="1:13">
      <c r="A22" s="91" t="s">
        <v>155</v>
      </c>
      <c r="B22" s="92" t="s">
        <v>156</v>
      </c>
      <c r="C22" s="93"/>
      <c r="D22" s="94"/>
      <c r="E22" s="94"/>
      <c r="F22" s="95"/>
      <c r="G22" s="95"/>
      <c r="H22" s="86"/>
      <c r="I22" s="86"/>
      <c r="J22" s="86"/>
      <c r="K22" s="86"/>
      <c r="L22" s="86"/>
      <c r="M22" s="86"/>
    </row>
    <row r="23" spans="1:13">
      <c r="A23" s="91" t="s">
        <v>157</v>
      </c>
      <c r="B23" s="96">
        <v>200000</v>
      </c>
      <c r="C23" s="97" t="s">
        <v>158</v>
      </c>
      <c r="D23" s="97"/>
      <c r="E23" s="97"/>
      <c r="F23" s="94"/>
      <c r="G23" s="95"/>
      <c r="H23" s="86"/>
      <c r="I23" s="86"/>
      <c r="J23" s="86"/>
      <c r="K23" s="86"/>
      <c r="L23" s="86"/>
      <c r="M23" s="86"/>
    </row>
    <row r="24" spans="1:13">
      <c r="A24" s="91" t="s">
        <v>159</v>
      </c>
      <c r="B24" s="98">
        <v>0.04</v>
      </c>
      <c r="C24" s="97"/>
      <c r="D24" s="97"/>
      <c r="E24" s="97"/>
      <c r="F24" s="94"/>
      <c r="G24" s="95"/>
      <c r="H24" s="86"/>
      <c r="I24" s="86"/>
      <c r="J24" s="86"/>
      <c r="K24" s="86"/>
      <c r="L24" s="86"/>
      <c r="M24" s="86"/>
    </row>
    <row r="25" spans="1:13">
      <c r="A25" s="91" t="s">
        <v>160</v>
      </c>
      <c r="B25" s="99">
        <v>5</v>
      </c>
      <c r="C25" s="97">
        <f>B25*B26</f>
        <v>10</v>
      </c>
      <c r="D25" s="97"/>
      <c r="E25" s="97"/>
      <c r="F25" s="94"/>
      <c r="G25" s="95"/>
      <c r="H25" s="86"/>
      <c r="I25" s="86"/>
      <c r="J25" s="86"/>
      <c r="K25" s="86"/>
      <c r="L25" s="86"/>
      <c r="M25" s="86"/>
    </row>
    <row r="26" spans="1:13">
      <c r="A26" s="91" t="s">
        <v>161</v>
      </c>
      <c r="B26" s="99">
        <v>2</v>
      </c>
      <c r="C26" s="97"/>
      <c r="D26" s="97"/>
      <c r="E26" s="97"/>
      <c r="F26" s="94"/>
      <c r="G26" s="95"/>
      <c r="H26" s="86"/>
      <c r="I26" s="86"/>
      <c r="J26" s="86"/>
      <c r="K26" s="86"/>
      <c r="L26" s="86"/>
      <c r="M26" s="86"/>
    </row>
    <row r="27" spans="1:13">
      <c r="A27" s="97"/>
      <c r="B27" s="97"/>
      <c r="C27" s="97"/>
      <c r="D27" s="97"/>
      <c r="E27" s="97"/>
      <c r="F27" s="94"/>
      <c r="G27" s="95"/>
      <c r="H27" s="86"/>
      <c r="I27" s="86"/>
      <c r="J27" s="86"/>
      <c r="K27" s="86"/>
      <c r="L27" s="86"/>
      <c r="M27" s="86"/>
    </row>
    <row r="28" spans="1:13">
      <c r="A28" s="97" t="s">
        <v>162</v>
      </c>
      <c r="B28" s="97"/>
      <c r="C28" s="97"/>
      <c r="D28" s="97"/>
      <c r="E28" s="97"/>
      <c r="F28" s="94"/>
      <c r="G28" s="95"/>
      <c r="H28" s="86"/>
      <c r="I28" s="86"/>
      <c r="J28" s="86"/>
      <c r="K28" s="86"/>
      <c r="L28" s="86"/>
      <c r="M28" s="86"/>
    </row>
    <row r="29" spans="1:13">
      <c r="A29" s="100" t="s">
        <v>163</v>
      </c>
      <c r="B29" s="100" t="s">
        <v>164</v>
      </c>
      <c r="C29" s="100" t="s">
        <v>165</v>
      </c>
      <c r="D29" s="100" t="s">
        <v>166</v>
      </c>
      <c r="E29" s="100" t="s">
        <v>167</v>
      </c>
      <c r="F29" s="101"/>
      <c r="G29" s="95"/>
      <c r="H29" s="86"/>
      <c r="I29" s="86"/>
      <c r="J29" s="86"/>
      <c r="K29" s="86"/>
      <c r="L29" s="86"/>
      <c r="M29" s="86"/>
    </row>
    <row r="30" spans="1:13">
      <c r="A30" s="102">
        <v>0</v>
      </c>
      <c r="B30" s="103">
        <f>B23</f>
        <v>200000</v>
      </c>
      <c r="C30" s="104"/>
      <c r="D30" s="104"/>
      <c r="E30" s="105"/>
      <c r="F30" s="94"/>
      <c r="G30" s="95"/>
      <c r="H30" s="86"/>
      <c r="I30" s="86"/>
      <c r="J30" s="86"/>
      <c r="K30" s="86"/>
      <c r="L30" s="86"/>
      <c r="M30" s="86"/>
    </row>
    <row r="31" spans="1:13">
      <c r="A31" s="102">
        <v>1</v>
      </c>
      <c r="B31" s="103">
        <f>B30</f>
        <v>200000</v>
      </c>
      <c r="C31" s="103">
        <f>B30*($B$24/$B$26)</f>
        <v>4000</v>
      </c>
      <c r="D31" s="103">
        <v>0</v>
      </c>
      <c r="E31" s="103">
        <f>C31+D31</f>
        <v>4000</v>
      </c>
      <c r="F31" s="94"/>
      <c r="G31" s="95"/>
      <c r="H31" s="86"/>
      <c r="I31" s="86"/>
      <c r="J31" s="86"/>
      <c r="K31" s="86"/>
      <c r="L31" s="86"/>
      <c r="M31" s="86"/>
    </row>
    <row r="32" spans="1:13">
      <c r="A32" s="102">
        <v>2</v>
      </c>
      <c r="B32" s="103">
        <f t="shared" ref="B32:B48" si="0">B31</f>
        <v>200000</v>
      </c>
      <c r="C32" s="103">
        <f t="shared" ref="C32:C50" si="1">B31*($B$24/$B$26)</f>
        <v>4000</v>
      </c>
      <c r="D32" s="103">
        <v>0</v>
      </c>
      <c r="E32" s="103">
        <f t="shared" ref="E32:E49" si="2">C32+D32</f>
        <v>4000</v>
      </c>
      <c r="F32" s="94"/>
      <c r="G32" s="95"/>
      <c r="H32" s="86"/>
      <c r="I32" s="86"/>
      <c r="J32" s="86"/>
      <c r="K32" s="86"/>
      <c r="L32" s="86"/>
      <c r="M32" s="86"/>
    </row>
    <row r="33" spans="1:13">
      <c r="A33" s="102">
        <v>3</v>
      </c>
      <c r="B33" s="103">
        <f t="shared" si="0"/>
        <v>200000</v>
      </c>
      <c r="C33" s="103">
        <f t="shared" si="1"/>
        <v>4000</v>
      </c>
      <c r="D33" s="103">
        <v>0</v>
      </c>
      <c r="E33" s="103">
        <f t="shared" si="2"/>
        <v>4000</v>
      </c>
      <c r="F33" s="94"/>
      <c r="G33" s="95"/>
      <c r="H33" s="86"/>
      <c r="I33" s="86"/>
      <c r="J33" s="86"/>
      <c r="K33" s="86"/>
      <c r="L33" s="86"/>
      <c r="M33" s="86"/>
    </row>
    <row r="34" spans="1:13">
      <c r="A34" s="102">
        <v>4</v>
      </c>
      <c r="B34" s="103">
        <f t="shared" si="0"/>
        <v>200000</v>
      </c>
      <c r="C34" s="103">
        <f t="shared" si="1"/>
        <v>4000</v>
      </c>
      <c r="D34" s="103">
        <v>0</v>
      </c>
      <c r="E34" s="103">
        <f t="shared" si="2"/>
        <v>4000</v>
      </c>
      <c r="F34" s="94"/>
      <c r="G34" s="95"/>
      <c r="H34" s="86"/>
      <c r="I34" s="86"/>
      <c r="J34" s="86"/>
      <c r="K34" s="86"/>
      <c r="L34" s="86"/>
      <c r="M34" s="86"/>
    </row>
    <row r="35" spans="1:13">
      <c r="A35" s="102">
        <v>5</v>
      </c>
      <c r="B35" s="103">
        <f t="shared" si="0"/>
        <v>200000</v>
      </c>
      <c r="C35" s="103">
        <f t="shared" si="1"/>
        <v>4000</v>
      </c>
      <c r="D35" s="103">
        <v>0</v>
      </c>
      <c r="E35" s="103">
        <f t="shared" si="2"/>
        <v>4000</v>
      </c>
      <c r="F35" s="94"/>
      <c r="G35" s="95"/>
      <c r="H35" s="86"/>
      <c r="I35" s="86"/>
      <c r="J35" s="86"/>
      <c r="K35" s="86"/>
      <c r="L35" s="86"/>
      <c r="M35" s="86"/>
    </row>
    <row r="36" spans="1:13">
      <c r="A36" s="102">
        <v>6</v>
      </c>
      <c r="B36" s="103">
        <f t="shared" si="0"/>
        <v>200000</v>
      </c>
      <c r="C36" s="103">
        <f t="shared" si="1"/>
        <v>4000</v>
      </c>
      <c r="D36" s="103">
        <v>0</v>
      </c>
      <c r="E36" s="103">
        <f t="shared" si="2"/>
        <v>4000</v>
      </c>
      <c r="F36" s="94"/>
      <c r="G36" s="95"/>
      <c r="H36" s="86"/>
      <c r="I36" s="86"/>
      <c r="J36" s="86"/>
      <c r="K36" s="86"/>
      <c r="L36" s="86"/>
      <c r="M36" s="86"/>
    </row>
    <row r="37" spans="1:13">
      <c r="A37" s="102">
        <v>7</v>
      </c>
      <c r="B37" s="103">
        <f t="shared" si="0"/>
        <v>200000</v>
      </c>
      <c r="C37" s="103">
        <f t="shared" si="1"/>
        <v>4000</v>
      </c>
      <c r="D37" s="103">
        <v>0</v>
      </c>
      <c r="E37" s="103">
        <f t="shared" si="2"/>
        <v>4000</v>
      </c>
      <c r="F37" s="106"/>
      <c r="G37" s="95"/>
      <c r="H37" s="86"/>
      <c r="I37" s="86"/>
      <c r="J37" s="86"/>
      <c r="K37" s="86"/>
      <c r="L37" s="86"/>
      <c r="M37" s="86"/>
    </row>
    <row r="38" spans="1:13">
      <c r="A38" s="102">
        <v>8</v>
      </c>
      <c r="B38" s="103">
        <f t="shared" si="0"/>
        <v>200000</v>
      </c>
      <c r="C38" s="103">
        <f t="shared" si="1"/>
        <v>4000</v>
      </c>
      <c r="D38" s="103">
        <v>0</v>
      </c>
      <c r="E38" s="103">
        <f t="shared" si="2"/>
        <v>4000</v>
      </c>
      <c r="F38" s="95"/>
      <c r="G38" s="95"/>
      <c r="H38" s="86"/>
      <c r="I38" s="86"/>
      <c r="J38" s="86"/>
      <c r="K38" s="86"/>
      <c r="L38" s="86"/>
      <c r="M38" s="86"/>
    </row>
    <row r="39" spans="1:13">
      <c r="A39" s="102">
        <v>9</v>
      </c>
      <c r="B39" s="103">
        <f t="shared" si="0"/>
        <v>200000</v>
      </c>
      <c r="C39" s="103">
        <f t="shared" si="1"/>
        <v>4000</v>
      </c>
      <c r="D39" s="103">
        <v>0</v>
      </c>
      <c r="E39" s="103">
        <f t="shared" si="2"/>
        <v>4000</v>
      </c>
      <c r="F39" s="86"/>
      <c r="G39" s="86"/>
      <c r="H39" s="86"/>
      <c r="I39" s="86"/>
      <c r="J39" s="86"/>
      <c r="K39" s="86"/>
      <c r="L39" s="86"/>
      <c r="M39" s="86"/>
    </row>
    <row r="40" spans="1:13">
      <c r="A40" s="102">
        <v>10</v>
      </c>
      <c r="B40" s="103">
        <f t="shared" si="0"/>
        <v>200000</v>
      </c>
      <c r="C40" s="103">
        <f t="shared" si="1"/>
        <v>4000</v>
      </c>
      <c r="D40" s="103">
        <v>0</v>
      </c>
      <c r="E40" s="103">
        <f t="shared" si="2"/>
        <v>4000</v>
      </c>
      <c r="F40" s="86"/>
      <c r="G40" s="86"/>
      <c r="H40" s="86"/>
      <c r="I40" s="86"/>
      <c r="J40" s="86"/>
      <c r="K40" s="86"/>
      <c r="L40" s="86"/>
      <c r="M40" s="86"/>
    </row>
    <row r="41" spans="1:13">
      <c r="A41" s="102">
        <v>11</v>
      </c>
      <c r="B41" s="103">
        <f t="shared" si="0"/>
        <v>200000</v>
      </c>
      <c r="C41" s="103">
        <f t="shared" si="1"/>
        <v>4000</v>
      </c>
      <c r="D41" s="103">
        <v>0</v>
      </c>
      <c r="E41" s="103">
        <f t="shared" si="2"/>
        <v>4000</v>
      </c>
      <c r="F41" s="86"/>
      <c r="G41" s="86"/>
      <c r="H41" s="86"/>
      <c r="I41" s="86"/>
      <c r="J41" s="86"/>
      <c r="K41" s="86"/>
      <c r="L41" s="86"/>
      <c r="M41" s="86"/>
    </row>
    <row r="42" spans="1:13">
      <c r="A42" s="102">
        <v>12</v>
      </c>
      <c r="B42" s="103">
        <f t="shared" si="0"/>
        <v>200000</v>
      </c>
      <c r="C42" s="103">
        <f t="shared" si="1"/>
        <v>4000</v>
      </c>
      <c r="D42" s="103">
        <v>0</v>
      </c>
      <c r="E42" s="103">
        <f t="shared" si="2"/>
        <v>4000</v>
      </c>
      <c r="F42" s="86"/>
      <c r="G42" s="86"/>
      <c r="H42" s="86"/>
      <c r="I42" s="86"/>
      <c r="J42" s="86"/>
      <c r="K42" s="86"/>
      <c r="L42" s="86"/>
      <c r="M42" s="86"/>
    </row>
    <row r="43" spans="1:13">
      <c r="A43" s="102">
        <v>13</v>
      </c>
      <c r="B43" s="103">
        <f t="shared" si="0"/>
        <v>200000</v>
      </c>
      <c r="C43" s="103">
        <f t="shared" si="1"/>
        <v>4000</v>
      </c>
      <c r="D43" s="103">
        <v>0</v>
      </c>
      <c r="E43" s="103">
        <f t="shared" si="2"/>
        <v>4000</v>
      </c>
      <c r="F43" s="86"/>
      <c r="G43" s="86"/>
      <c r="H43" s="86"/>
      <c r="I43" s="86"/>
      <c r="J43" s="86"/>
      <c r="K43" s="86"/>
      <c r="L43" s="86"/>
      <c r="M43" s="86"/>
    </row>
    <row r="44" spans="1:13">
      <c r="A44" s="102">
        <v>14</v>
      </c>
      <c r="B44" s="103">
        <f t="shared" si="0"/>
        <v>200000</v>
      </c>
      <c r="C44" s="103">
        <f t="shared" si="1"/>
        <v>4000</v>
      </c>
      <c r="D44" s="103">
        <v>0</v>
      </c>
      <c r="E44" s="103">
        <f t="shared" si="2"/>
        <v>4000</v>
      </c>
      <c r="F44" s="86"/>
      <c r="G44" s="86"/>
      <c r="H44" s="86"/>
      <c r="I44" s="86"/>
      <c r="J44" s="86"/>
      <c r="K44" s="86"/>
      <c r="L44" s="86"/>
      <c r="M44" s="86"/>
    </row>
    <row r="45" spans="1:13">
      <c r="A45" s="102">
        <v>15</v>
      </c>
      <c r="B45" s="103">
        <f t="shared" si="0"/>
        <v>200000</v>
      </c>
      <c r="C45" s="103">
        <f t="shared" si="1"/>
        <v>4000</v>
      </c>
      <c r="D45" s="103">
        <v>0</v>
      </c>
      <c r="E45" s="103">
        <f t="shared" si="2"/>
        <v>4000</v>
      </c>
      <c r="F45" s="86"/>
      <c r="G45" s="86"/>
      <c r="H45" s="86"/>
      <c r="I45" s="86"/>
      <c r="J45" s="86"/>
      <c r="K45" s="86"/>
      <c r="L45" s="86"/>
      <c r="M45" s="86"/>
    </row>
    <row r="46" spans="1:13">
      <c r="A46" s="102">
        <v>16</v>
      </c>
      <c r="B46" s="103">
        <f t="shared" si="0"/>
        <v>200000</v>
      </c>
      <c r="C46" s="103">
        <f t="shared" si="1"/>
        <v>4000</v>
      </c>
      <c r="D46" s="103">
        <v>0</v>
      </c>
      <c r="E46" s="103">
        <f t="shared" si="2"/>
        <v>4000</v>
      </c>
      <c r="F46" s="86"/>
      <c r="G46" s="86"/>
      <c r="H46" s="86"/>
      <c r="I46" s="86"/>
      <c r="J46" s="86"/>
      <c r="K46" s="86"/>
      <c r="L46" s="86"/>
      <c r="M46" s="86"/>
    </row>
    <row r="47" spans="1:13">
      <c r="A47" s="102">
        <v>17</v>
      </c>
      <c r="B47" s="103">
        <f t="shared" si="0"/>
        <v>200000</v>
      </c>
      <c r="C47" s="103">
        <f t="shared" si="1"/>
        <v>4000</v>
      </c>
      <c r="D47" s="103">
        <v>0</v>
      </c>
      <c r="E47" s="103">
        <f t="shared" si="2"/>
        <v>4000</v>
      </c>
      <c r="F47" s="86"/>
      <c r="G47" s="86"/>
      <c r="H47" s="86"/>
      <c r="I47" s="86"/>
      <c r="J47" s="86"/>
      <c r="K47" s="86"/>
      <c r="L47" s="86"/>
      <c r="M47" s="86"/>
    </row>
    <row r="48" spans="1:13">
      <c r="A48" s="102">
        <v>18</v>
      </c>
      <c r="B48" s="103">
        <f t="shared" si="0"/>
        <v>200000</v>
      </c>
      <c r="C48" s="103">
        <f t="shared" si="1"/>
        <v>4000</v>
      </c>
      <c r="D48" s="103">
        <v>0</v>
      </c>
      <c r="E48" s="103">
        <f t="shared" si="2"/>
        <v>4000</v>
      </c>
      <c r="F48" s="86"/>
      <c r="G48" s="86"/>
      <c r="H48" s="86"/>
      <c r="I48" s="86"/>
      <c r="J48" s="86"/>
      <c r="K48" s="86"/>
      <c r="L48" s="86"/>
      <c r="M48" s="86"/>
    </row>
    <row r="49" spans="1:13">
      <c r="A49" s="102">
        <v>19</v>
      </c>
      <c r="B49" s="103">
        <f>B48</f>
        <v>200000</v>
      </c>
      <c r="C49" s="103">
        <f t="shared" si="1"/>
        <v>4000</v>
      </c>
      <c r="D49" s="103">
        <v>0</v>
      </c>
      <c r="E49" s="103">
        <f t="shared" si="2"/>
        <v>4000</v>
      </c>
      <c r="F49" s="86"/>
      <c r="G49" s="86"/>
      <c r="H49" s="86"/>
      <c r="I49" s="86"/>
      <c r="J49" s="86"/>
      <c r="K49" s="86"/>
      <c r="L49" s="86"/>
      <c r="M49" s="86"/>
    </row>
    <row r="50" spans="1:13">
      <c r="A50" s="102">
        <v>20</v>
      </c>
      <c r="B50" s="103">
        <v>0</v>
      </c>
      <c r="C50" s="103">
        <f t="shared" si="1"/>
        <v>4000</v>
      </c>
      <c r="D50" s="103">
        <f>B49</f>
        <v>200000</v>
      </c>
      <c r="E50" s="103">
        <f>C50+D50</f>
        <v>204000</v>
      </c>
      <c r="F50" s="86"/>
      <c r="G50" s="86"/>
      <c r="H50" s="86"/>
      <c r="I50" s="86"/>
      <c r="J50" s="86"/>
      <c r="K50" s="86"/>
      <c r="L50" s="86"/>
      <c r="M50" s="86"/>
    </row>
    <row r="51" spans="1:13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4"/>
  <sheetViews>
    <sheetView workbookViewId="0">
      <selection activeCell="B7" sqref="B7:B10"/>
    </sheetView>
  </sheetViews>
  <sheetFormatPr baseColWidth="10" defaultColWidth="8.83203125" defaultRowHeight="16"/>
  <cols>
    <col min="1" max="1" width="19.83203125" customWidth="1"/>
    <col min="2" max="2" width="12.6640625" customWidth="1"/>
    <col min="3" max="3" width="10.83203125" customWidth="1"/>
    <col min="4" max="4" width="9.83203125" customWidth="1"/>
    <col min="5" max="5" width="10.1640625" customWidth="1"/>
  </cols>
  <sheetData>
    <row r="1" spans="1:1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>
      <c r="A2" s="86"/>
      <c r="B2" s="86"/>
      <c r="C2" s="86"/>
      <c r="D2" s="89"/>
      <c r="E2" s="86" t="s">
        <v>153</v>
      </c>
      <c r="F2" s="86"/>
      <c r="G2" s="86"/>
      <c r="H2" s="86"/>
      <c r="I2" s="86"/>
      <c r="J2" s="86"/>
      <c r="K2" s="86"/>
      <c r="L2" s="86"/>
    </row>
    <row r="3" spans="1:12">
      <c r="A3" s="86"/>
      <c r="B3" s="86"/>
      <c r="C3" s="86"/>
      <c r="D3" s="90"/>
      <c r="E3" s="86" t="s">
        <v>154</v>
      </c>
      <c r="F3" s="86"/>
      <c r="G3" s="86"/>
      <c r="H3" s="86"/>
      <c r="I3" s="86"/>
      <c r="J3" s="86"/>
      <c r="K3" s="86"/>
      <c r="L3" s="86"/>
    </row>
    <row r="4" spans="1:1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</row>
    <row r="6" spans="1:12">
      <c r="A6" s="91" t="s">
        <v>155</v>
      </c>
      <c r="B6" s="92" t="s">
        <v>168</v>
      </c>
      <c r="C6" s="93"/>
      <c r="D6" s="94"/>
      <c r="E6" s="94"/>
      <c r="F6" s="86"/>
      <c r="G6" s="86"/>
      <c r="H6" s="86"/>
      <c r="I6" s="86"/>
      <c r="J6" s="86"/>
      <c r="K6" s="86"/>
      <c r="L6" s="86"/>
    </row>
    <row r="7" spans="1:12">
      <c r="A7" s="91" t="s">
        <v>157</v>
      </c>
      <c r="B7" s="96">
        <v>2500000</v>
      </c>
      <c r="C7" s="97" t="s">
        <v>158</v>
      </c>
      <c r="D7" s="97"/>
      <c r="E7" s="97"/>
      <c r="F7" s="95"/>
      <c r="G7" s="95"/>
      <c r="H7" s="86"/>
      <c r="I7" s="86"/>
      <c r="J7" s="86"/>
      <c r="K7" s="86"/>
      <c r="L7" s="86"/>
    </row>
    <row r="8" spans="1:12">
      <c r="A8" s="91" t="s">
        <v>159</v>
      </c>
      <c r="B8" s="98">
        <v>0.06</v>
      </c>
      <c r="C8" s="97"/>
      <c r="D8" s="97"/>
      <c r="E8" s="97"/>
      <c r="F8" s="95"/>
      <c r="G8" s="95"/>
      <c r="H8" s="86"/>
      <c r="I8" s="86"/>
      <c r="J8" s="86"/>
      <c r="K8" s="86"/>
      <c r="L8" s="86"/>
    </row>
    <row r="9" spans="1:12">
      <c r="A9" s="91" t="s">
        <v>160</v>
      </c>
      <c r="B9" s="99">
        <v>5</v>
      </c>
      <c r="C9" s="97">
        <f>B9*B10</f>
        <v>20</v>
      </c>
      <c r="D9" s="97"/>
      <c r="E9" s="97"/>
      <c r="F9" s="95"/>
      <c r="G9" s="95"/>
      <c r="H9" s="86"/>
      <c r="I9" s="86"/>
      <c r="J9" s="86"/>
      <c r="K9" s="86"/>
      <c r="L9" s="86"/>
    </row>
    <row r="10" spans="1:12">
      <c r="A10" s="91" t="s">
        <v>161</v>
      </c>
      <c r="B10" s="99">
        <v>4</v>
      </c>
      <c r="C10" s="97"/>
      <c r="D10" s="97"/>
      <c r="E10" s="97"/>
      <c r="F10" s="95"/>
      <c r="G10" s="95"/>
      <c r="H10" s="86"/>
      <c r="I10" s="86"/>
      <c r="J10" s="86"/>
      <c r="K10" s="86"/>
      <c r="L10" s="86"/>
    </row>
    <row r="11" spans="1:12">
      <c r="A11" s="97"/>
      <c r="B11" s="97"/>
      <c r="C11" s="97"/>
      <c r="D11" s="97"/>
      <c r="E11" s="97"/>
      <c r="F11" s="95"/>
      <c r="G11" s="95"/>
      <c r="H11" s="86"/>
      <c r="I11" s="86"/>
      <c r="J11" s="86"/>
      <c r="K11" s="86"/>
      <c r="L11" s="86"/>
    </row>
    <row r="12" spans="1:12">
      <c r="A12" s="97" t="s">
        <v>169</v>
      </c>
      <c r="B12" s="97"/>
      <c r="C12" s="97"/>
      <c r="D12" s="97"/>
      <c r="E12" s="97"/>
      <c r="F12" s="95"/>
      <c r="G12" s="95"/>
      <c r="H12" s="86"/>
      <c r="I12" s="86"/>
      <c r="J12" s="86"/>
      <c r="K12" s="86"/>
      <c r="L12" s="86"/>
    </row>
    <row r="13" spans="1:12">
      <c r="A13" s="100" t="s">
        <v>163</v>
      </c>
      <c r="B13" s="100" t="s">
        <v>164</v>
      </c>
      <c r="C13" s="100" t="s">
        <v>165</v>
      </c>
      <c r="D13" s="100" t="s">
        <v>166</v>
      </c>
      <c r="E13" s="100" t="s">
        <v>167</v>
      </c>
      <c r="F13" s="94"/>
      <c r="G13" s="94"/>
      <c r="H13" s="86"/>
      <c r="I13" s="86"/>
      <c r="J13" s="86"/>
      <c r="K13" s="86"/>
      <c r="L13" s="86"/>
    </row>
    <row r="14" spans="1:12">
      <c r="A14" s="102">
        <v>0</v>
      </c>
      <c r="B14" s="103">
        <f>B7</f>
        <v>2500000</v>
      </c>
      <c r="C14" s="104"/>
      <c r="D14" s="104"/>
      <c r="E14" s="105"/>
      <c r="F14" s="101"/>
      <c r="G14" s="101"/>
      <c r="H14" s="86"/>
      <c r="I14" s="86"/>
      <c r="J14" s="86"/>
      <c r="K14" s="86"/>
      <c r="L14" s="86"/>
    </row>
    <row r="15" spans="1:12">
      <c r="A15" s="102">
        <v>1</v>
      </c>
      <c r="B15" s="103">
        <f>B14-D15</f>
        <v>2375000</v>
      </c>
      <c r="C15" s="103">
        <f>B14*($B$8/$B$10)</f>
        <v>37500</v>
      </c>
      <c r="D15" s="103">
        <f>B14/C9</f>
        <v>125000</v>
      </c>
      <c r="E15" s="103">
        <f>C15+D15</f>
        <v>162500</v>
      </c>
      <c r="F15" s="94"/>
      <c r="G15" s="94"/>
      <c r="H15" s="86"/>
      <c r="I15" s="86"/>
      <c r="J15" s="86"/>
      <c r="K15" s="86"/>
      <c r="L15" s="86"/>
    </row>
    <row r="16" spans="1:12">
      <c r="A16" s="102">
        <v>2</v>
      </c>
      <c r="B16" s="103">
        <f t="shared" ref="B16:B34" si="0">B15-D16</f>
        <v>2250000</v>
      </c>
      <c r="C16" s="103">
        <f>B15*($B$8/$B$10)</f>
        <v>35625</v>
      </c>
      <c r="D16" s="103">
        <f>D15</f>
        <v>125000</v>
      </c>
      <c r="E16" s="103">
        <f>C16+D16</f>
        <v>160625</v>
      </c>
      <c r="F16" s="107"/>
      <c r="G16" s="107"/>
      <c r="H16" s="86"/>
      <c r="I16" s="86"/>
      <c r="J16" s="86"/>
      <c r="K16" s="86"/>
      <c r="L16" s="86"/>
    </row>
    <row r="17" spans="1:12">
      <c r="A17" s="102">
        <v>3</v>
      </c>
      <c r="B17" s="103">
        <f t="shared" si="0"/>
        <v>2125000</v>
      </c>
      <c r="C17" s="103">
        <f t="shared" ref="C17:C34" si="1">B16*($B$8/$B$10)</f>
        <v>33750</v>
      </c>
      <c r="D17" s="103">
        <f t="shared" ref="D17:D34" si="2">D16</f>
        <v>125000</v>
      </c>
      <c r="E17" s="103">
        <f>C17+D17</f>
        <v>158750</v>
      </c>
      <c r="F17" s="107"/>
      <c r="G17" s="107"/>
      <c r="H17" s="86"/>
      <c r="I17" s="86"/>
      <c r="J17" s="86"/>
      <c r="K17" s="86"/>
      <c r="L17" s="86"/>
    </row>
    <row r="18" spans="1:12">
      <c r="A18" s="102">
        <v>4</v>
      </c>
      <c r="B18" s="103">
        <f t="shared" si="0"/>
        <v>2000000</v>
      </c>
      <c r="C18" s="103">
        <f t="shared" si="1"/>
        <v>31875</v>
      </c>
      <c r="D18" s="103">
        <f t="shared" si="2"/>
        <v>125000</v>
      </c>
      <c r="E18" s="103">
        <f>C18+D18</f>
        <v>156875</v>
      </c>
      <c r="F18" s="107"/>
      <c r="G18" s="107"/>
      <c r="H18" s="86"/>
      <c r="I18" s="86"/>
      <c r="J18" s="86"/>
      <c r="K18" s="86"/>
      <c r="L18" s="86"/>
    </row>
    <row r="19" spans="1:12">
      <c r="A19" s="102">
        <v>5</v>
      </c>
      <c r="B19" s="103">
        <f t="shared" si="0"/>
        <v>1875000</v>
      </c>
      <c r="C19" s="103">
        <f t="shared" si="1"/>
        <v>30000</v>
      </c>
      <c r="D19" s="103">
        <f t="shared" si="2"/>
        <v>125000</v>
      </c>
      <c r="E19" s="103">
        <f t="shared" ref="E19:E34" si="3">C19+D19</f>
        <v>155000</v>
      </c>
      <c r="F19" s="107"/>
      <c r="G19" s="107"/>
      <c r="H19" s="86"/>
      <c r="I19" s="86"/>
      <c r="J19" s="86"/>
      <c r="K19" s="86"/>
      <c r="L19" s="86"/>
    </row>
    <row r="20" spans="1:12">
      <c r="A20" s="102">
        <v>6</v>
      </c>
      <c r="B20" s="103">
        <f t="shared" si="0"/>
        <v>1750000</v>
      </c>
      <c r="C20" s="103">
        <f t="shared" si="1"/>
        <v>28125</v>
      </c>
      <c r="D20" s="103">
        <f t="shared" si="2"/>
        <v>125000</v>
      </c>
      <c r="E20" s="103">
        <f t="shared" si="3"/>
        <v>153125</v>
      </c>
      <c r="F20" s="107"/>
      <c r="G20" s="107"/>
      <c r="H20" s="86"/>
      <c r="I20" s="86"/>
      <c r="J20" s="86"/>
      <c r="K20" s="86"/>
      <c r="L20" s="86"/>
    </row>
    <row r="21" spans="1:12">
      <c r="A21" s="102">
        <v>7</v>
      </c>
      <c r="B21" s="103">
        <f t="shared" si="0"/>
        <v>1625000</v>
      </c>
      <c r="C21" s="103">
        <f t="shared" si="1"/>
        <v>26250</v>
      </c>
      <c r="D21" s="103">
        <f t="shared" si="2"/>
        <v>125000</v>
      </c>
      <c r="E21" s="103">
        <f t="shared" si="3"/>
        <v>151250</v>
      </c>
      <c r="F21" s="107"/>
      <c r="G21" s="107"/>
      <c r="H21" s="86"/>
      <c r="I21" s="86"/>
      <c r="J21" s="86"/>
      <c r="K21" s="86"/>
      <c r="L21" s="86"/>
    </row>
    <row r="22" spans="1:12">
      <c r="A22" s="102">
        <v>8</v>
      </c>
      <c r="B22" s="103">
        <f t="shared" si="0"/>
        <v>1500000</v>
      </c>
      <c r="C22" s="103">
        <f t="shared" si="1"/>
        <v>24375</v>
      </c>
      <c r="D22" s="103">
        <f t="shared" si="2"/>
        <v>125000</v>
      </c>
      <c r="E22" s="103">
        <f t="shared" si="3"/>
        <v>149375</v>
      </c>
      <c r="F22" s="101"/>
      <c r="G22" s="106"/>
      <c r="H22" s="86"/>
      <c r="I22" s="86"/>
      <c r="J22" s="86"/>
      <c r="K22" s="86"/>
      <c r="L22" s="86"/>
    </row>
    <row r="23" spans="1:12">
      <c r="A23" s="102">
        <v>9</v>
      </c>
      <c r="B23" s="103">
        <f t="shared" si="0"/>
        <v>1375000</v>
      </c>
      <c r="C23" s="103">
        <f t="shared" si="1"/>
        <v>22500</v>
      </c>
      <c r="D23" s="103">
        <f t="shared" si="2"/>
        <v>125000</v>
      </c>
      <c r="E23" s="103">
        <f t="shared" si="3"/>
        <v>147500</v>
      </c>
      <c r="F23" s="86"/>
      <c r="G23" s="86"/>
      <c r="H23" s="86"/>
      <c r="I23" s="86"/>
      <c r="J23" s="86"/>
      <c r="K23" s="86"/>
      <c r="L23" s="86"/>
    </row>
    <row r="24" spans="1:12">
      <c r="A24" s="102">
        <v>10</v>
      </c>
      <c r="B24" s="103">
        <f t="shared" si="0"/>
        <v>1250000</v>
      </c>
      <c r="C24" s="103">
        <f t="shared" si="1"/>
        <v>20625</v>
      </c>
      <c r="D24" s="103">
        <f t="shared" si="2"/>
        <v>125000</v>
      </c>
      <c r="E24" s="103">
        <f t="shared" si="3"/>
        <v>145625</v>
      </c>
      <c r="F24" s="86"/>
      <c r="G24" s="86"/>
      <c r="H24" s="86"/>
      <c r="I24" s="86"/>
      <c r="J24" s="86"/>
      <c r="K24" s="86"/>
      <c r="L24" s="86"/>
    </row>
    <row r="25" spans="1:12">
      <c r="A25" s="102">
        <v>11</v>
      </c>
      <c r="B25" s="103">
        <f t="shared" si="0"/>
        <v>1125000</v>
      </c>
      <c r="C25" s="103">
        <f t="shared" si="1"/>
        <v>18750</v>
      </c>
      <c r="D25" s="103">
        <f t="shared" si="2"/>
        <v>125000</v>
      </c>
      <c r="E25" s="103">
        <f t="shared" si="3"/>
        <v>143750</v>
      </c>
      <c r="F25" s="86"/>
      <c r="G25" s="86"/>
      <c r="H25" s="86"/>
      <c r="I25" s="86"/>
      <c r="J25" s="86"/>
      <c r="K25" s="86"/>
      <c r="L25" s="86"/>
    </row>
    <row r="26" spans="1:12">
      <c r="A26" s="102">
        <v>12</v>
      </c>
      <c r="B26" s="103">
        <f t="shared" si="0"/>
        <v>1000000</v>
      </c>
      <c r="C26" s="103">
        <f t="shared" si="1"/>
        <v>16875</v>
      </c>
      <c r="D26" s="103">
        <f t="shared" si="2"/>
        <v>125000</v>
      </c>
      <c r="E26" s="103">
        <f t="shared" si="3"/>
        <v>141875</v>
      </c>
      <c r="F26" s="86"/>
      <c r="G26" s="86"/>
      <c r="H26" s="86"/>
      <c r="I26" s="86"/>
      <c r="J26" s="86"/>
      <c r="K26" s="86"/>
      <c r="L26" s="86"/>
    </row>
    <row r="27" spans="1:12">
      <c r="A27" s="102">
        <v>13</v>
      </c>
      <c r="B27" s="103">
        <f t="shared" si="0"/>
        <v>875000</v>
      </c>
      <c r="C27" s="103">
        <f t="shared" si="1"/>
        <v>15000</v>
      </c>
      <c r="D27" s="103">
        <f t="shared" si="2"/>
        <v>125000</v>
      </c>
      <c r="E27" s="103">
        <f t="shared" si="3"/>
        <v>140000</v>
      </c>
      <c r="F27" s="86"/>
      <c r="G27" s="86"/>
      <c r="H27" s="86"/>
      <c r="I27" s="86"/>
      <c r="J27" s="86"/>
      <c r="K27" s="86"/>
      <c r="L27" s="86"/>
    </row>
    <row r="28" spans="1:12">
      <c r="A28" s="102">
        <v>14</v>
      </c>
      <c r="B28" s="103">
        <f t="shared" si="0"/>
        <v>750000</v>
      </c>
      <c r="C28" s="103">
        <f t="shared" si="1"/>
        <v>13125</v>
      </c>
      <c r="D28" s="103">
        <f t="shared" si="2"/>
        <v>125000</v>
      </c>
      <c r="E28" s="103">
        <f t="shared" si="3"/>
        <v>138125</v>
      </c>
      <c r="F28" s="86"/>
      <c r="G28" s="86"/>
      <c r="H28" s="86"/>
      <c r="I28" s="86"/>
      <c r="J28" s="86"/>
      <c r="K28" s="86"/>
      <c r="L28" s="86"/>
    </row>
    <row r="29" spans="1:12">
      <c r="A29" s="102">
        <v>15</v>
      </c>
      <c r="B29" s="103">
        <f t="shared" si="0"/>
        <v>625000</v>
      </c>
      <c r="C29" s="103">
        <f t="shared" si="1"/>
        <v>11250</v>
      </c>
      <c r="D29" s="103">
        <f t="shared" si="2"/>
        <v>125000</v>
      </c>
      <c r="E29" s="103">
        <f t="shared" si="3"/>
        <v>136250</v>
      </c>
      <c r="F29" s="86"/>
      <c r="G29" s="86"/>
      <c r="H29" s="86"/>
      <c r="I29" s="86"/>
      <c r="J29" s="86"/>
      <c r="K29" s="86"/>
      <c r="L29" s="86"/>
    </row>
    <row r="30" spans="1:12">
      <c r="A30" s="102">
        <v>16</v>
      </c>
      <c r="B30" s="103">
        <f t="shared" si="0"/>
        <v>500000</v>
      </c>
      <c r="C30" s="103">
        <f t="shared" si="1"/>
        <v>9375</v>
      </c>
      <c r="D30" s="103">
        <f t="shared" si="2"/>
        <v>125000</v>
      </c>
      <c r="E30" s="103">
        <f t="shared" si="3"/>
        <v>134375</v>
      </c>
      <c r="F30" s="86"/>
      <c r="G30" s="86"/>
      <c r="H30" s="86"/>
      <c r="I30" s="86"/>
      <c r="J30" s="86"/>
      <c r="K30" s="86"/>
      <c r="L30" s="86"/>
    </row>
    <row r="31" spans="1:12">
      <c r="A31" s="102">
        <v>17</v>
      </c>
      <c r="B31" s="103">
        <f t="shared" si="0"/>
        <v>375000</v>
      </c>
      <c r="C31" s="103">
        <f t="shared" si="1"/>
        <v>7500</v>
      </c>
      <c r="D31" s="103">
        <f t="shared" si="2"/>
        <v>125000</v>
      </c>
      <c r="E31" s="103">
        <f t="shared" si="3"/>
        <v>132500</v>
      </c>
      <c r="F31" s="86"/>
      <c r="G31" s="86"/>
      <c r="H31" s="86"/>
      <c r="I31" s="86"/>
      <c r="J31" s="86"/>
      <c r="K31" s="86"/>
      <c r="L31" s="86"/>
    </row>
    <row r="32" spans="1:12">
      <c r="A32" s="102">
        <v>18</v>
      </c>
      <c r="B32" s="103">
        <f t="shared" si="0"/>
        <v>250000</v>
      </c>
      <c r="C32" s="103">
        <f t="shared" si="1"/>
        <v>5625</v>
      </c>
      <c r="D32" s="103">
        <f t="shared" si="2"/>
        <v>125000</v>
      </c>
      <c r="E32" s="103">
        <f t="shared" si="3"/>
        <v>130625</v>
      </c>
      <c r="F32" s="86"/>
      <c r="G32" s="86"/>
      <c r="H32" s="86"/>
      <c r="I32" s="86"/>
      <c r="J32" s="86"/>
      <c r="K32" s="86"/>
      <c r="L32" s="86"/>
    </row>
    <row r="33" spans="1:12">
      <c r="A33" s="102">
        <v>19</v>
      </c>
      <c r="B33" s="103">
        <f>B32-D33</f>
        <v>125000</v>
      </c>
      <c r="C33" s="103">
        <f t="shared" si="1"/>
        <v>3750</v>
      </c>
      <c r="D33" s="103">
        <f t="shared" si="2"/>
        <v>125000</v>
      </c>
      <c r="E33" s="103">
        <f t="shared" si="3"/>
        <v>128750</v>
      </c>
      <c r="F33" s="86"/>
      <c r="G33" s="86"/>
      <c r="H33" s="86"/>
      <c r="I33" s="86"/>
      <c r="J33" s="86"/>
      <c r="K33" s="86"/>
      <c r="L33" s="86"/>
    </row>
    <row r="34" spans="1:12">
      <c r="A34" s="102">
        <v>20</v>
      </c>
      <c r="B34" s="103">
        <f t="shared" si="0"/>
        <v>0</v>
      </c>
      <c r="C34" s="103">
        <f t="shared" si="1"/>
        <v>1875</v>
      </c>
      <c r="D34" s="103">
        <f t="shared" si="2"/>
        <v>125000</v>
      </c>
      <c r="E34" s="103">
        <f t="shared" si="3"/>
        <v>126875</v>
      </c>
      <c r="F34" s="86"/>
      <c r="G34" s="86"/>
      <c r="H34" s="86"/>
      <c r="I34" s="86"/>
      <c r="J34" s="86"/>
      <c r="K34" s="86"/>
      <c r="L34" s="86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5"/>
  <sheetViews>
    <sheetView topLeftCell="A5" zoomScale="75" workbookViewId="0">
      <selection activeCell="H11" sqref="H11"/>
    </sheetView>
  </sheetViews>
  <sheetFormatPr baseColWidth="10" defaultColWidth="8.83203125" defaultRowHeight="16"/>
  <cols>
    <col min="1" max="1" width="20.6640625" customWidth="1"/>
    <col min="2" max="2" width="12.5" customWidth="1"/>
    <col min="3" max="3" width="10" customWidth="1"/>
    <col min="4" max="4" width="9.33203125" customWidth="1"/>
    <col min="5" max="5" width="12.5" customWidth="1"/>
    <col min="6" max="6" width="13.6640625" customWidth="1"/>
    <col min="7" max="7" width="14.6640625" bestFit="1" customWidth="1"/>
  </cols>
  <sheetData>
    <row r="1" spans="1:13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3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</row>
    <row r="6" spans="1:13">
      <c r="A6" s="86"/>
      <c r="B6" s="86"/>
      <c r="C6" s="86"/>
      <c r="D6" s="89"/>
      <c r="E6" s="86" t="s">
        <v>153</v>
      </c>
      <c r="F6" s="86"/>
      <c r="G6" s="86"/>
      <c r="H6" s="86"/>
      <c r="I6" s="86"/>
      <c r="J6" s="86"/>
      <c r="K6" s="86"/>
      <c r="L6" s="86"/>
      <c r="M6" s="86"/>
    </row>
    <row r="7" spans="1:13">
      <c r="A7" s="86"/>
      <c r="B7" s="86"/>
      <c r="C7" s="86"/>
      <c r="D7" s="90"/>
      <c r="E7" s="86" t="s">
        <v>154</v>
      </c>
      <c r="F7" s="86"/>
      <c r="G7" s="86"/>
      <c r="H7" s="86"/>
      <c r="I7" s="86"/>
      <c r="J7" s="86"/>
      <c r="K7" s="86"/>
      <c r="L7" s="86"/>
      <c r="M7" s="86"/>
    </row>
    <row r="8" spans="1:13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</row>
    <row r="9" spans="1:13">
      <c r="A9" s="86"/>
      <c r="B9" s="95"/>
      <c r="C9" s="95"/>
      <c r="D9" s="95"/>
      <c r="E9" s="95"/>
      <c r="F9" s="95"/>
      <c r="G9" s="95"/>
      <c r="H9" s="95"/>
      <c r="I9" s="86"/>
      <c r="J9" s="86"/>
      <c r="K9" s="86"/>
      <c r="L9" s="86"/>
      <c r="M9" s="86"/>
    </row>
    <row r="10" spans="1:13">
      <c r="A10" s="91" t="s">
        <v>155</v>
      </c>
      <c r="B10" s="92" t="s">
        <v>170</v>
      </c>
      <c r="C10" s="93"/>
      <c r="D10" s="94"/>
      <c r="E10" s="94"/>
      <c r="F10" s="95"/>
      <c r="G10" s="95" t="s">
        <v>177</v>
      </c>
      <c r="H10" s="95" t="s">
        <v>178</v>
      </c>
      <c r="I10" s="86"/>
      <c r="J10" s="86"/>
      <c r="K10" s="86"/>
      <c r="L10" s="86"/>
      <c r="M10" s="86"/>
    </row>
    <row r="11" spans="1:13">
      <c r="A11" s="91" t="s">
        <v>157</v>
      </c>
      <c r="B11" s="96">
        <f>G11+H11</f>
        <v>1515000</v>
      </c>
      <c r="C11" s="97" t="s">
        <v>176</v>
      </c>
      <c r="D11" s="97"/>
      <c r="E11" s="97"/>
      <c r="F11" s="95"/>
      <c r="G11" s="119">
        <v>1500000</v>
      </c>
      <c r="H11" s="119">
        <v>15000</v>
      </c>
      <c r="I11" s="86"/>
      <c r="J11" s="86"/>
      <c r="K11" s="86"/>
      <c r="L11" s="86"/>
      <c r="M11" s="86"/>
    </row>
    <row r="12" spans="1:13">
      <c r="A12" s="91" t="s">
        <v>159</v>
      </c>
      <c r="B12" s="115">
        <v>0.04</v>
      </c>
      <c r="C12" s="97"/>
      <c r="D12" s="97"/>
      <c r="E12" s="97"/>
      <c r="F12" s="95"/>
      <c r="G12" s="95"/>
      <c r="H12" s="95"/>
      <c r="I12" s="86"/>
      <c r="J12" s="86"/>
      <c r="K12" s="86"/>
      <c r="L12" s="86"/>
      <c r="M12" s="86"/>
    </row>
    <row r="13" spans="1:13">
      <c r="A13" s="91" t="s">
        <v>160</v>
      </c>
      <c r="B13" s="99">
        <v>10</v>
      </c>
      <c r="C13" s="97">
        <f>B13*B14</f>
        <v>10</v>
      </c>
      <c r="D13" s="97"/>
      <c r="E13" s="97"/>
      <c r="F13" s="95"/>
      <c r="G13" s="95"/>
      <c r="H13" s="95"/>
      <c r="I13" s="86"/>
      <c r="J13" s="86"/>
      <c r="K13" s="86"/>
      <c r="L13" s="86"/>
      <c r="M13" s="86"/>
    </row>
    <row r="14" spans="1:13">
      <c r="A14" s="91" t="s">
        <v>161</v>
      </c>
      <c r="B14" s="99">
        <v>1</v>
      </c>
      <c r="C14" s="97"/>
      <c r="D14" s="97"/>
      <c r="E14" s="97"/>
      <c r="F14" s="95"/>
      <c r="G14" s="95"/>
      <c r="H14" s="95"/>
      <c r="I14" s="86"/>
      <c r="J14" s="86"/>
      <c r="K14" s="86"/>
      <c r="L14" s="86"/>
      <c r="M14" s="86"/>
    </row>
    <row r="15" spans="1:13">
      <c r="A15" s="97"/>
      <c r="B15" s="97"/>
      <c r="C15" s="97"/>
      <c r="D15" s="97"/>
      <c r="E15" s="97"/>
      <c r="F15" s="95"/>
      <c r="G15" s="95"/>
      <c r="H15" s="95"/>
      <c r="I15" s="86"/>
      <c r="J15" s="86"/>
      <c r="K15" s="86"/>
      <c r="L15" s="86"/>
      <c r="M15" s="86"/>
    </row>
    <row r="16" spans="1:13">
      <c r="A16" s="97" t="s">
        <v>171</v>
      </c>
      <c r="B16" s="97"/>
      <c r="C16" s="97"/>
      <c r="D16" s="97"/>
      <c r="E16" s="97"/>
      <c r="F16" s="95"/>
      <c r="G16" s="95"/>
      <c r="H16" s="95"/>
      <c r="I16" s="86"/>
      <c r="J16" s="86"/>
      <c r="K16" s="86"/>
      <c r="L16" s="86"/>
      <c r="M16" s="86"/>
    </row>
    <row r="17" spans="1:13">
      <c r="A17" s="100" t="s">
        <v>163</v>
      </c>
      <c r="B17" s="100" t="s">
        <v>164</v>
      </c>
      <c r="C17" s="100" t="s">
        <v>165</v>
      </c>
      <c r="D17" s="100" t="s">
        <v>166</v>
      </c>
      <c r="E17" s="100" t="s">
        <v>167</v>
      </c>
      <c r="F17" s="108"/>
      <c r="G17" s="95"/>
      <c r="H17" s="95"/>
      <c r="I17" s="86"/>
      <c r="J17" s="86"/>
      <c r="K17" s="86"/>
      <c r="L17" s="86"/>
      <c r="M17" s="86"/>
    </row>
    <row r="18" spans="1:13">
      <c r="A18" s="102">
        <v>0</v>
      </c>
      <c r="B18" s="103">
        <f>B11</f>
        <v>1515000</v>
      </c>
      <c r="C18" s="104"/>
      <c r="D18" s="104"/>
      <c r="E18" s="109">
        <f>-1500000</f>
        <v>-1500000</v>
      </c>
      <c r="F18" s="95" t="s">
        <v>175</v>
      </c>
      <c r="G18" s="95"/>
      <c r="H18" s="95"/>
      <c r="I18" s="86"/>
      <c r="J18" s="86"/>
      <c r="K18" s="86"/>
      <c r="L18" s="86"/>
      <c r="M18" s="86"/>
    </row>
    <row r="19" spans="1:13">
      <c r="A19" s="102">
        <v>1</v>
      </c>
      <c r="B19" s="103">
        <f>B18-D19</f>
        <v>1388814.2193398431</v>
      </c>
      <c r="C19" s="103">
        <f>B18*$B$12/$B$14</f>
        <v>60600</v>
      </c>
      <c r="D19" s="103">
        <f>E19-C19</f>
        <v>126185.78066015683</v>
      </c>
      <c r="E19" s="103">
        <f>PMT(B12/B14,C13,-B18)</f>
        <v>186785.78066015683</v>
      </c>
      <c r="F19" s="110"/>
      <c r="G19" s="94"/>
      <c r="H19" s="95"/>
      <c r="I19" s="86"/>
      <c r="J19" s="86"/>
      <c r="K19" s="86"/>
      <c r="L19" s="86"/>
      <c r="M19" s="86"/>
    </row>
    <row r="20" spans="1:13">
      <c r="A20" s="102">
        <v>2</v>
      </c>
      <c r="B20" s="103">
        <f t="shared" ref="B20:B28" si="0">B19-D20</f>
        <v>1257581.00745328</v>
      </c>
      <c r="C20" s="103">
        <f t="shared" ref="C20:C28" si="1">B19*$B$12/$B$14</f>
        <v>55552.568773593724</v>
      </c>
      <c r="D20" s="103">
        <f>E20-C20</f>
        <v>131233.21188656311</v>
      </c>
      <c r="E20" s="103">
        <f>E19</f>
        <v>186785.78066015683</v>
      </c>
      <c r="F20" s="110"/>
      <c r="G20" s="101"/>
      <c r="H20" s="95"/>
      <c r="I20" s="86"/>
      <c r="J20" s="86"/>
      <c r="K20" s="86"/>
      <c r="L20" s="86"/>
      <c r="M20" s="86"/>
    </row>
    <row r="21" spans="1:13">
      <c r="A21" s="102">
        <v>3</v>
      </c>
      <c r="B21" s="103">
        <f t="shared" si="0"/>
        <v>1121098.4670912544</v>
      </c>
      <c r="C21" s="103">
        <f t="shared" si="1"/>
        <v>50303.240298131204</v>
      </c>
      <c r="D21" s="103">
        <f t="shared" ref="D21:D28" si="2">E21-C21</f>
        <v>136482.54036202561</v>
      </c>
      <c r="E21" s="103">
        <f t="shared" ref="E21:E28" si="3">E20</f>
        <v>186785.78066015683</v>
      </c>
      <c r="F21" s="110"/>
      <c r="G21" s="111"/>
      <c r="H21" s="95"/>
      <c r="I21" s="86"/>
      <c r="J21" s="86"/>
      <c r="K21" s="86"/>
      <c r="L21" s="86"/>
      <c r="M21" s="86"/>
    </row>
    <row r="22" spans="1:13">
      <c r="A22" s="102">
        <v>4</v>
      </c>
      <c r="B22" s="103">
        <f t="shared" si="0"/>
        <v>979156.62511474779</v>
      </c>
      <c r="C22" s="103">
        <f t="shared" si="1"/>
        <v>44843.93868365018</v>
      </c>
      <c r="D22" s="103">
        <f t="shared" si="2"/>
        <v>141941.84197650664</v>
      </c>
      <c r="E22" s="103">
        <f t="shared" si="3"/>
        <v>186785.78066015683</v>
      </c>
      <c r="F22" s="110"/>
      <c r="G22" s="112"/>
      <c r="H22" s="95"/>
      <c r="I22" s="86"/>
      <c r="J22" s="86"/>
      <c r="K22" s="86"/>
      <c r="L22" s="86"/>
      <c r="M22" s="86"/>
    </row>
    <row r="23" spans="1:13">
      <c r="A23" s="102">
        <v>5</v>
      </c>
      <c r="B23" s="103">
        <f t="shared" si="0"/>
        <v>831537.10945918085</v>
      </c>
      <c r="C23" s="103">
        <f t="shared" si="1"/>
        <v>39166.265004589914</v>
      </c>
      <c r="D23" s="103">
        <f>E23-C23</f>
        <v>147619.51565556691</v>
      </c>
      <c r="E23" s="103">
        <f t="shared" si="3"/>
        <v>186785.78066015683</v>
      </c>
      <c r="F23" s="110"/>
      <c r="G23" s="111"/>
      <c r="H23" s="95"/>
      <c r="I23" s="86"/>
      <c r="J23" s="86"/>
      <c r="K23" s="86"/>
      <c r="L23" s="86"/>
      <c r="M23" s="86"/>
    </row>
    <row r="24" spans="1:13">
      <c r="A24" s="102">
        <v>6</v>
      </c>
      <c r="B24" s="103">
        <f t="shared" si="0"/>
        <v>678012.81317739119</v>
      </c>
      <c r="C24" s="103">
        <f t="shared" si="1"/>
        <v>33261.484378367233</v>
      </c>
      <c r="D24" s="103">
        <f t="shared" si="2"/>
        <v>153524.2962817896</v>
      </c>
      <c r="E24" s="103">
        <f t="shared" si="3"/>
        <v>186785.78066015683</v>
      </c>
      <c r="F24" s="110"/>
      <c r="G24" s="111"/>
      <c r="H24" s="95"/>
      <c r="I24" s="86"/>
      <c r="J24" s="86"/>
      <c r="K24" s="86"/>
      <c r="L24" s="86"/>
      <c r="M24" s="86"/>
    </row>
    <row r="25" spans="1:13">
      <c r="A25" s="102">
        <v>7</v>
      </c>
      <c r="B25" s="103">
        <f t="shared" si="0"/>
        <v>518347.54504433001</v>
      </c>
      <c r="C25" s="103">
        <f t="shared" si="1"/>
        <v>27120.512527095649</v>
      </c>
      <c r="D25" s="103">
        <f t="shared" si="2"/>
        <v>159665.26813306118</v>
      </c>
      <c r="E25" s="103">
        <f t="shared" si="3"/>
        <v>186785.78066015683</v>
      </c>
      <c r="F25" s="110"/>
      <c r="G25" s="111"/>
      <c r="H25" s="95"/>
      <c r="I25" s="86"/>
      <c r="J25" s="86"/>
      <c r="K25" s="86"/>
      <c r="L25" s="86"/>
      <c r="M25" s="86"/>
    </row>
    <row r="26" spans="1:13">
      <c r="A26" s="102">
        <v>8</v>
      </c>
      <c r="B26" s="103">
        <f t="shared" si="0"/>
        <v>352295.66618594638</v>
      </c>
      <c r="C26" s="103">
        <f t="shared" si="1"/>
        <v>20733.901801773201</v>
      </c>
      <c r="D26" s="103">
        <f t="shared" si="2"/>
        <v>166051.87885838363</v>
      </c>
      <c r="E26" s="103">
        <f t="shared" si="3"/>
        <v>186785.78066015683</v>
      </c>
      <c r="F26" s="110"/>
      <c r="G26" s="111"/>
      <c r="H26" s="95"/>
      <c r="I26" s="86"/>
      <c r="J26" s="86"/>
      <c r="K26" s="86"/>
      <c r="L26" s="86"/>
      <c r="M26" s="86"/>
    </row>
    <row r="27" spans="1:13">
      <c r="A27" s="102">
        <v>9</v>
      </c>
      <c r="B27" s="103">
        <f t="shared" si="0"/>
        <v>179601.7121732274</v>
      </c>
      <c r="C27" s="103">
        <f t="shared" si="1"/>
        <v>14091.826647437856</v>
      </c>
      <c r="D27" s="103">
        <f t="shared" si="2"/>
        <v>172693.95401271898</v>
      </c>
      <c r="E27" s="103">
        <f t="shared" si="3"/>
        <v>186785.78066015683</v>
      </c>
      <c r="F27" s="110"/>
      <c r="G27" s="111"/>
      <c r="H27" s="95"/>
      <c r="I27" s="86"/>
      <c r="J27" s="86"/>
      <c r="K27" s="86"/>
      <c r="L27" s="86"/>
      <c r="M27" s="86"/>
    </row>
    <row r="28" spans="1:13">
      <c r="A28" s="102">
        <v>10</v>
      </c>
      <c r="B28" s="103">
        <f t="shared" si="0"/>
        <v>-3.4924596548080444E-10</v>
      </c>
      <c r="C28" s="103">
        <f t="shared" si="1"/>
        <v>7184.0684869290963</v>
      </c>
      <c r="D28" s="103">
        <f t="shared" si="2"/>
        <v>179601.71217322774</v>
      </c>
      <c r="E28" s="103">
        <f t="shared" si="3"/>
        <v>186785.78066015683</v>
      </c>
      <c r="F28" s="110"/>
      <c r="G28" s="113"/>
      <c r="H28" s="86"/>
      <c r="I28" s="86"/>
      <c r="J28" s="86"/>
      <c r="K28" s="86"/>
      <c r="L28" s="86"/>
      <c r="M28" s="86"/>
    </row>
    <row r="29" spans="1:13">
      <c r="A29" s="102">
        <v>11</v>
      </c>
      <c r="B29" s="103"/>
      <c r="C29" s="103"/>
      <c r="D29" s="103"/>
      <c r="E29" s="103"/>
      <c r="F29" s="110"/>
      <c r="G29" s="86"/>
      <c r="H29" s="86"/>
      <c r="I29" s="86"/>
      <c r="J29" s="86"/>
      <c r="K29" s="86"/>
      <c r="L29" s="86"/>
      <c r="M29" s="86"/>
    </row>
    <row r="30" spans="1:13">
      <c r="A30" s="102">
        <v>12</v>
      </c>
      <c r="B30" s="103"/>
      <c r="C30" s="103"/>
      <c r="D30" s="103"/>
      <c r="E30" s="103"/>
      <c r="F30" s="110"/>
      <c r="G30" s="86"/>
      <c r="H30" s="86"/>
      <c r="I30" s="86"/>
      <c r="J30" s="86"/>
      <c r="K30" s="86"/>
      <c r="L30" s="86"/>
      <c r="M30" s="86"/>
    </row>
    <row r="31" spans="1:13">
      <c r="A31" s="102">
        <v>13</v>
      </c>
      <c r="B31" s="103"/>
      <c r="C31" s="103"/>
      <c r="D31" s="103"/>
      <c r="E31" s="103"/>
      <c r="F31" s="110"/>
      <c r="G31" s="86"/>
      <c r="H31" s="86"/>
      <c r="I31" s="86"/>
      <c r="J31" s="86"/>
      <c r="K31" s="86"/>
      <c r="L31" s="86"/>
      <c r="M31" s="86"/>
    </row>
    <row r="32" spans="1:13">
      <c r="A32" s="102">
        <v>14</v>
      </c>
      <c r="B32" s="103"/>
      <c r="C32" s="103"/>
      <c r="D32" s="103"/>
      <c r="E32" s="103"/>
      <c r="F32" s="110"/>
      <c r="G32" s="86"/>
      <c r="H32" s="86"/>
      <c r="I32" s="86"/>
      <c r="J32" s="86"/>
      <c r="K32" s="86"/>
      <c r="L32" s="86"/>
      <c r="M32" s="86"/>
    </row>
    <row r="33" spans="1:13">
      <c r="A33" s="102">
        <v>15</v>
      </c>
      <c r="B33" s="103"/>
      <c r="C33" s="103"/>
      <c r="D33" s="103"/>
      <c r="E33" s="103"/>
      <c r="F33" s="110"/>
      <c r="G33" s="86"/>
      <c r="H33" s="86"/>
      <c r="I33" s="86"/>
      <c r="J33" s="86"/>
      <c r="K33" s="86"/>
      <c r="L33" s="86"/>
      <c r="M33" s="86"/>
    </row>
    <row r="34" spans="1:13">
      <c r="A34" s="102">
        <v>16</v>
      </c>
      <c r="B34" s="103"/>
      <c r="C34" s="103"/>
      <c r="D34" s="103"/>
      <c r="E34" s="103"/>
      <c r="F34" s="110"/>
      <c r="G34" s="86"/>
      <c r="H34" s="86"/>
      <c r="I34" s="86"/>
      <c r="J34" s="86"/>
      <c r="K34" s="86"/>
      <c r="L34" s="86"/>
      <c r="M34" s="86"/>
    </row>
    <row r="35" spans="1:13">
      <c r="A35" s="102">
        <v>17</v>
      </c>
      <c r="B35" s="103"/>
      <c r="C35" s="103"/>
      <c r="D35" s="103"/>
      <c r="E35" s="103"/>
      <c r="F35" s="110"/>
      <c r="G35" s="86"/>
      <c r="H35" s="86"/>
      <c r="I35" s="86"/>
      <c r="J35" s="86"/>
      <c r="K35" s="86"/>
      <c r="L35" s="86"/>
      <c r="M35" s="86"/>
    </row>
    <row r="36" spans="1:13">
      <c r="A36" s="102">
        <v>18</v>
      </c>
      <c r="B36" s="103"/>
      <c r="C36" s="103"/>
      <c r="D36" s="103"/>
      <c r="E36" s="103"/>
      <c r="F36" s="110"/>
      <c r="G36" s="86"/>
      <c r="H36" s="86"/>
      <c r="I36" s="86"/>
      <c r="J36" s="86"/>
      <c r="K36" s="86"/>
      <c r="L36" s="86"/>
      <c r="M36" s="86"/>
    </row>
    <row r="37" spans="1:13">
      <c r="A37" s="102">
        <v>19</v>
      </c>
      <c r="B37" s="103"/>
      <c r="C37" s="103"/>
      <c r="D37" s="103"/>
      <c r="E37" s="103"/>
      <c r="F37" s="110"/>
      <c r="G37" s="86"/>
      <c r="H37" s="86"/>
      <c r="I37" s="86"/>
      <c r="J37" s="86"/>
      <c r="K37" s="86"/>
      <c r="L37" s="86"/>
      <c r="M37" s="86"/>
    </row>
    <row r="38" spans="1:13">
      <c r="A38" s="102">
        <v>20</v>
      </c>
      <c r="B38" s="103"/>
      <c r="C38" s="103"/>
      <c r="D38" s="103"/>
      <c r="E38" s="103"/>
      <c r="F38" s="110"/>
      <c r="G38" s="86"/>
      <c r="H38" s="86"/>
      <c r="I38" s="86"/>
      <c r="J38" s="86"/>
      <c r="K38" s="86"/>
      <c r="L38" s="86"/>
      <c r="M38" s="86"/>
    </row>
    <row r="39" spans="1:13">
      <c r="A39" s="86"/>
      <c r="B39" s="86"/>
      <c r="C39" s="86"/>
      <c r="D39" s="86"/>
      <c r="E39" s="117"/>
      <c r="F39" s="86"/>
      <c r="G39" s="86"/>
      <c r="H39" s="86"/>
      <c r="I39" s="86"/>
      <c r="J39" s="86"/>
      <c r="K39" s="86"/>
      <c r="L39" s="86"/>
      <c r="M39" s="86"/>
    </row>
    <row r="40" spans="1:13">
      <c r="A40" s="86"/>
      <c r="B40" s="86"/>
      <c r="C40" s="88" t="s">
        <v>172</v>
      </c>
      <c r="D40" s="114">
        <f>IRR(E18:E28,B12)</f>
        <v>4.2003779095982852E-2</v>
      </c>
      <c r="E40" s="118"/>
      <c r="F40" s="86"/>
      <c r="G40" s="86"/>
      <c r="H40" s="86"/>
      <c r="I40" s="86"/>
      <c r="J40" s="86"/>
      <c r="K40" s="86"/>
      <c r="L40" s="86"/>
      <c r="M40" s="86"/>
    </row>
    <row r="41" spans="1:13">
      <c r="A41" s="86"/>
      <c r="B41" s="86"/>
      <c r="C41" s="88" t="s">
        <v>173</v>
      </c>
      <c r="D41" s="114">
        <f>IRR(E18:E28)</f>
        <v>4.2003779095982852E-2</v>
      </c>
      <c r="E41" s="88" t="s">
        <v>174</v>
      </c>
      <c r="F41" s="86"/>
      <c r="G41" s="86"/>
      <c r="H41" s="86"/>
      <c r="I41" s="86"/>
      <c r="J41" s="86"/>
      <c r="K41" s="86"/>
      <c r="L41" s="86"/>
      <c r="M41" s="86"/>
    </row>
    <row r="42" spans="1:13">
      <c r="A42" s="86"/>
      <c r="B42" s="86"/>
      <c r="C42" s="86"/>
      <c r="D42" s="116"/>
      <c r="E42" s="86"/>
      <c r="F42" s="86"/>
      <c r="G42" s="86"/>
      <c r="H42" s="86"/>
      <c r="I42" s="86"/>
      <c r="J42" s="86"/>
      <c r="K42" s="86"/>
      <c r="L42" s="86"/>
      <c r="M42" s="86"/>
    </row>
    <row r="43" spans="1:13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</row>
    <row r="44" spans="1:13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1:13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60"/>
  <sheetViews>
    <sheetView zoomScale="75" workbookViewId="0">
      <selection activeCell="D69" sqref="D69"/>
    </sheetView>
  </sheetViews>
  <sheetFormatPr baseColWidth="10" defaultColWidth="8.83203125" defaultRowHeight="16"/>
  <sheetData>
    <row r="1" spans="1:1">
      <c r="A1" t="s">
        <v>101</v>
      </c>
    </row>
    <row r="2" spans="1:1">
      <c r="A2" t="s">
        <v>102</v>
      </c>
    </row>
    <row r="3" spans="1:1">
      <c r="A3" t="s">
        <v>103</v>
      </c>
    </row>
    <row r="4" spans="1:1">
      <c r="A4" t="s">
        <v>104</v>
      </c>
    </row>
    <row r="5" spans="1:1">
      <c r="A5" t="s">
        <v>105</v>
      </c>
    </row>
    <row r="6" spans="1:1">
      <c r="A6" t="s">
        <v>106</v>
      </c>
    </row>
    <row r="7" spans="1:1">
      <c r="A7" t="s">
        <v>107</v>
      </c>
    </row>
    <row r="9" spans="1:1">
      <c r="A9" t="s">
        <v>108</v>
      </c>
    </row>
    <row r="10" spans="1:1">
      <c r="A10" t="s">
        <v>109</v>
      </c>
    </row>
    <row r="11" spans="1:1">
      <c r="A11" t="s">
        <v>110</v>
      </c>
    </row>
    <row r="13" spans="1:1">
      <c r="A13" t="s">
        <v>111</v>
      </c>
    </row>
    <row r="14" spans="1:1">
      <c r="A14" t="s">
        <v>112</v>
      </c>
    </row>
    <row r="15" spans="1:1">
      <c r="A15" t="s">
        <v>113</v>
      </c>
    </row>
    <row r="16" spans="1:1">
      <c r="A16" t="s">
        <v>114</v>
      </c>
    </row>
    <row r="17" spans="1:1">
      <c r="A17" t="s">
        <v>115</v>
      </c>
    </row>
    <row r="18" spans="1:1">
      <c r="A18" t="s">
        <v>116</v>
      </c>
    </row>
    <row r="19" spans="1:1">
      <c r="A19" t="s">
        <v>117</v>
      </c>
    </row>
    <row r="20" spans="1:1">
      <c r="A20" t="s">
        <v>118</v>
      </c>
    </row>
    <row r="21" spans="1:1">
      <c r="A21" t="s">
        <v>119</v>
      </c>
    </row>
    <row r="23" spans="1:1">
      <c r="A23" t="s">
        <v>120</v>
      </c>
    </row>
    <row r="24" spans="1:1">
      <c r="A24" t="s">
        <v>121</v>
      </c>
    </row>
    <row r="25" spans="1:1">
      <c r="A25" t="s">
        <v>122</v>
      </c>
    </row>
    <row r="26" spans="1:1">
      <c r="A26" t="s">
        <v>123</v>
      </c>
    </row>
    <row r="28" spans="1:1">
      <c r="A28" t="s">
        <v>124</v>
      </c>
    </row>
    <row r="29" spans="1:1">
      <c r="A29" t="s">
        <v>125</v>
      </c>
    </row>
    <row r="30" spans="1:1">
      <c r="A30" t="s">
        <v>126</v>
      </c>
    </row>
    <row r="31" spans="1:1">
      <c r="A31" t="s">
        <v>127</v>
      </c>
    </row>
    <row r="32" spans="1:1">
      <c r="A32" t="s">
        <v>128</v>
      </c>
    </row>
    <row r="33" spans="1:1">
      <c r="A33" t="s">
        <v>129</v>
      </c>
    </row>
    <row r="36" spans="1:1">
      <c r="A36" t="s">
        <v>130</v>
      </c>
    </row>
    <row r="37" spans="1:1">
      <c r="A37" t="s">
        <v>131</v>
      </c>
    </row>
    <row r="38" spans="1:1">
      <c r="A38" t="s">
        <v>132</v>
      </c>
    </row>
    <row r="39" spans="1:1">
      <c r="A39" t="s">
        <v>133</v>
      </c>
    </row>
    <row r="41" spans="1:1">
      <c r="A41" t="s">
        <v>134</v>
      </c>
    </row>
    <row r="42" spans="1:1">
      <c r="A42" t="s">
        <v>135</v>
      </c>
    </row>
    <row r="43" spans="1:1">
      <c r="A43" t="s">
        <v>136</v>
      </c>
    </row>
    <row r="44" spans="1:1">
      <c r="A44" t="s">
        <v>137</v>
      </c>
    </row>
    <row r="45" spans="1:1">
      <c r="A45" t="s">
        <v>138</v>
      </c>
    </row>
    <row r="46" spans="1:1">
      <c r="A46" t="s">
        <v>139</v>
      </c>
    </row>
    <row r="48" spans="1:1">
      <c r="A48" t="s">
        <v>140</v>
      </c>
    </row>
    <row r="49" spans="1:1">
      <c r="A49" t="s">
        <v>141</v>
      </c>
    </row>
    <row r="50" spans="1:1">
      <c r="A50" t="s">
        <v>142</v>
      </c>
    </row>
    <row r="51" spans="1:1">
      <c r="A51" t="s">
        <v>143</v>
      </c>
    </row>
    <row r="52" spans="1:1">
      <c r="A52" t="s">
        <v>144</v>
      </c>
    </row>
    <row r="53" spans="1:1">
      <c r="A53" t="s">
        <v>145</v>
      </c>
    </row>
    <row r="54" spans="1:1">
      <c r="A54" t="s">
        <v>146</v>
      </c>
    </row>
    <row r="55" spans="1:1">
      <c r="A55" t="s">
        <v>147</v>
      </c>
    </row>
    <row r="57" spans="1:1">
      <c r="A57" t="s">
        <v>148</v>
      </c>
    </row>
    <row r="58" spans="1:1">
      <c r="A58" t="s">
        <v>149</v>
      </c>
    </row>
    <row r="59" spans="1:1">
      <c r="A59" t="s">
        <v>150</v>
      </c>
    </row>
    <row r="60" spans="1:1">
      <c r="A60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78"/>
  <sheetViews>
    <sheetView zoomScale="67" workbookViewId="0">
      <selection activeCell="B4" sqref="B4"/>
    </sheetView>
  </sheetViews>
  <sheetFormatPr baseColWidth="10" defaultColWidth="11" defaultRowHeight="16"/>
  <cols>
    <col min="1" max="1" width="29.83203125" bestFit="1" customWidth="1"/>
    <col min="2" max="2" width="12.5" customWidth="1"/>
    <col min="3" max="3" width="39.5" customWidth="1"/>
    <col min="4" max="4" width="25.1640625" bestFit="1" customWidth="1"/>
    <col min="5" max="6" width="13.5" bestFit="1" customWidth="1"/>
    <col min="7" max="7" width="13.1640625" bestFit="1" customWidth="1"/>
    <col min="8" max="8" width="12" bestFit="1" customWidth="1"/>
    <col min="9" max="11" width="13.6640625" bestFit="1" customWidth="1"/>
    <col min="12" max="15" width="12.1640625" bestFit="1" customWidth="1"/>
  </cols>
  <sheetData>
    <row r="2" spans="1:5">
      <c r="A2" t="s">
        <v>0</v>
      </c>
      <c r="B2" s="1">
        <v>4950000</v>
      </c>
    </row>
    <row r="3" spans="1:5">
      <c r="A3" t="s">
        <v>3</v>
      </c>
      <c r="B3" s="1">
        <v>220000</v>
      </c>
      <c r="D3" t="s">
        <v>18</v>
      </c>
      <c r="E3" s="2">
        <f>B5*B9+B6*B10+B12+B16</f>
        <v>382093</v>
      </c>
    </row>
    <row r="4" spans="1:5">
      <c r="A4" t="s">
        <v>1</v>
      </c>
      <c r="B4" s="1">
        <f>C10+0.3</f>
        <v>1.9363409090909092</v>
      </c>
      <c r="D4" t="s">
        <v>19</v>
      </c>
      <c r="E4" s="2">
        <f>B3*B4+B17</f>
        <v>425995</v>
      </c>
    </row>
    <row r="5" spans="1:5">
      <c r="A5" t="s">
        <v>2</v>
      </c>
      <c r="B5" s="1">
        <v>177</v>
      </c>
    </row>
    <row r="6" spans="1:5">
      <c r="A6" t="s">
        <v>4</v>
      </c>
      <c r="B6" s="1">
        <v>1244</v>
      </c>
    </row>
    <row r="7" spans="1:5">
      <c r="A7" t="s">
        <v>6</v>
      </c>
      <c r="B7" s="1">
        <v>4</v>
      </c>
    </row>
    <row r="8" spans="1:5">
      <c r="A8" t="s">
        <v>5</v>
      </c>
      <c r="B8" s="1">
        <v>900000</v>
      </c>
    </row>
    <row r="9" spans="1:5">
      <c r="A9" t="s">
        <v>7</v>
      </c>
      <c r="B9" s="1">
        <v>985</v>
      </c>
    </row>
    <row r="10" spans="1:5">
      <c r="A10" t="s">
        <v>8</v>
      </c>
      <c r="B10" s="2">
        <v>167</v>
      </c>
      <c r="C10">
        <f>C15/B3</f>
        <v>1.6363409090909091</v>
      </c>
    </row>
    <row r="11" spans="1:5">
      <c r="A11" t="s">
        <v>9</v>
      </c>
      <c r="B11" s="3">
        <v>0.1</v>
      </c>
    </row>
    <row r="12" spans="1:5">
      <c r="A12" t="s">
        <v>17</v>
      </c>
      <c r="B12" s="1"/>
    </row>
    <row r="13" spans="1:5">
      <c r="A13" t="s">
        <v>10</v>
      </c>
      <c r="B13" s="2"/>
      <c r="C13">
        <f>B9*B5</f>
        <v>174345</v>
      </c>
    </row>
    <row r="14" spans="1:5">
      <c r="A14" t="s">
        <v>11</v>
      </c>
      <c r="B14" s="1"/>
      <c r="C14">
        <f>B6*B10</f>
        <v>207748</v>
      </c>
    </row>
    <row r="15" spans="1:5">
      <c r="A15" t="s">
        <v>12</v>
      </c>
      <c r="B15" s="1">
        <v>10</v>
      </c>
      <c r="C15">
        <f>100000*1+99999*2+19999*3</f>
        <v>359995</v>
      </c>
    </row>
    <row r="16" spans="1:5">
      <c r="A16" t="s">
        <v>49</v>
      </c>
      <c r="B16" s="1"/>
    </row>
    <row r="17" spans="1:16">
      <c r="A17" t="s">
        <v>48</v>
      </c>
      <c r="B17" s="1"/>
    </row>
    <row r="19" spans="1:16" ht="19">
      <c r="C19" s="8" t="s">
        <v>22</v>
      </c>
    </row>
    <row r="21" spans="1:16">
      <c r="C21" t="s">
        <v>13</v>
      </c>
      <c r="D21">
        <v>0</v>
      </c>
      <c r="E21">
        <v>1</v>
      </c>
      <c r="F21">
        <v>2</v>
      </c>
      <c r="G21">
        <f>F21+1</f>
        <v>3</v>
      </c>
      <c r="H21">
        <f t="shared" ref="H21:O21" si="0">G21+1</f>
        <v>4</v>
      </c>
      <c r="I21">
        <f t="shared" si="0"/>
        <v>5</v>
      </c>
      <c r="J21">
        <f t="shared" si="0"/>
        <v>6</v>
      </c>
      <c r="K21">
        <f t="shared" si="0"/>
        <v>7</v>
      </c>
      <c r="L21">
        <f t="shared" si="0"/>
        <v>8</v>
      </c>
      <c r="M21">
        <f t="shared" si="0"/>
        <v>9</v>
      </c>
      <c r="N21">
        <f t="shared" si="0"/>
        <v>10</v>
      </c>
      <c r="O21">
        <f t="shared" si="0"/>
        <v>11</v>
      </c>
      <c r="P21">
        <v>12</v>
      </c>
    </row>
    <row r="22" spans="1:16">
      <c r="C22" t="s">
        <v>14</v>
      </c>
      <c r="D22" s="1">
        <f>-B2</f>
        <v>-4950000</v>
      </c>
    </row>
    <row r="23" spans="1:16">
      <c r="C23" t="s">
        <v>15</v>
      </c>
      <c r="E23" s="2">
        <f>-$E$3</f>
        <v>-382093</v>
      </c>
      <c r="F23" s="2">
        <f t="shared" ref="F23:K23" si="1">-$E$3</f>
        <v>-382093</v>
      </c>
      <c r="G23" s="2">
        <f t="shared" si="1"/>
        <v>-382093</v>
      </c>
      <c r="H23" s="2">
        <f t="shared" si="1"/>
        <v>-382093</v>
      </c>
      <c r="I23" s="2">
        <f t="shared" si="1"/>
        <v>-382093</v>
      </c>
      <c r="J23" s="2">
        <f t="shared" si="1"/>
        <v>-382093</v>
      </c>
      <c r="K23" s="2">
        <f t="shared" si="1"/>
        <v>-382093</v>
      </c>
    </row>
    <row r="24" spans="1:16">
      <c r="C24" t="s">
        <v>16</v>
      </c>
      <c r="E24" s="2">
        <f>-$E$4</f>
        <v>-425995</v>
      </c>
      <c r="F24" s="2">
        <f t="shared" ref="F24:K24" si="2">-$E$4</f>
        <v>-425995</v>
      </c>
      <c r="G24" s="2">
        <f t="shared" si="2"/>
        <v>-425995</v>
      </c>
      <c r="H24" s="2">
        <f t="shared" si="2"/>
        <v>-425995</v>
      </c>
      <c r="I24" s="2">
        <f t="shared" si="2"/>
        <v>-425995</v>
      </c>
      <c r="J24" s="2">
        <f t="shared" si="2"/>
        <v>-425995</v>
      </c>
      <c r="K24" s="2">
        <f t="shared" si="2"/>
        <v>-425995</v>
      </c>
    </row>
    <row r="25" spans="1:16">
      <c r="C25" t="s">
        <v>254</v>
      </c>
      <c r="E25" s="2"/>
      <c r="F25" s="2"/>
      <c r="G25" s="2">
        <v>-500000</v>
      </c>
      <c r="H25" s="2">
        <f>$G$25-300000*E21</f>
        <v>-800000</v>
      </c>
      <c r="I25" s="2">
        <f t="shared" ref="I25:K25" si="3">$G$25-300000*F21</f>
        <v>-1100000</v>
      </c>
      <c r="J25" s="2">
        <f t="shared" si="3"/>
        <v>-1400000</v>
      </c>
      <c r="K25" s="2">
        <f>$G$25-300000*H21</f>
        <v>-1700000</v>
      </c>
    </row>
    <row r="26" spans="1:16">
      <c r="C26" t="s">
        <v>5</v>
      </c>
      <c r="J26" s="1">
        <f>B8</f>
        <v>900000</v>
      </c>
    </row>
    <row r="27" spans="1:16">
      <c r="C27" t="s">
        <v>20</v>
      </c>
      <c r="E27" s="1">
        <f>$B$15*$B$3</f>
        <v>2200000</v>
      </c>
      <c r="F27" s="1">
        <f t="shared" ref="F27:K27" si="4">$B$15*$B$3</f>
        <v>2200000</v>
      </c>
      <c r="G27" s="1">
        <f t="shared" si="4"/>
        <v>2200000</v>
      </c>
      <c r="H27" s="1">
        <f t="shared" si="4"/>
        <v>2200000</v>
      </c>
      <c r="I27" s="1">
        <f t="shared" si="4"/>
        <v>2200000</v>
      </c>
      <c r="J27" s="1">
        <f t="shared" si="4"/>
        <v>2200000</v>
      </c>
      <c r="K27" s="1">
        <f t="shared" si="4"/>
        <v>2200000</v>
      </c>
    </row>
    <row r="29" spans="1:16">
      <c r="C29" t="s">
        <v>24</v>
      </c>
      <c r="D29" s="1">
        <f>SUM(D22:D27)</f>
        <v>-4950000</v>
      </c>
      <c r="E29" s="1">
        <f>SUM(E22:E27)</f>
        <v>1391912</v>
      </c>
      <c r="F29" s="1">
        <f>SUM(F22:F27)</f>
        <v>1391912</v>
      </c>
      <c r="G29" s="1">
        <f>SUM(G22:G27)</f>
        <v>891912</v>
      </c>
      <c r="H29" s="1">
        <f>SUM(H22:H27)</f>
        <v>591912</v>
      </c>
      <c r="I29" s="1">
        <f>SUM(I22:I27)</f>
        <v>291912</v>
      </c>
      <c r="J29" s="1">
        <f>SUM(J22:J27)</f>
        <v>891912</v>
      </c>
      <c r="K29" s="1">
        <f>SUM(K22:K27)</f>
        <v>-308088</v>
      </c>
      <c r="L29" s="1">
        <f>SUM(L22:L27)</f>
        <v>0</v>
      </c>
      <c r="M29" s="1">
        <f>SUM(M22:M27)</f>
        <v>0</v>
      </c>
      <c r="N29" s="1">
        <f>SUM(N22:N27)</f>
        <v>0</v>
      </c>
      <c r="O29" s="1">
        <f>SUM(O22:O27)</f>
        <v>0</v>
      </c>
      <c r="P29">
        <v>0</v>
      </c>
    </row>
    <row r="30" spans="1:16">
      <c r="C30" t="s">
        <v>25</v>
      </c>
      <c r="D30" s="1">
        <f>D29/(1+$B$11)^D21</f>
        <v>-4950000</v>
      </c>
      <c r="E30" s="1">
        <f t="shared" ref="E30:P30" si="5">E29/(1+$B$11)^E21</f>
        <v>1265374.5454545454</v>
      </c>
      <c r="F30" s="1">
        <f t="shared" si="5"/>
        <v>1150340.4958677683</v>
      </c>
      <c r="G30" s="1">
        <f t="shared" si="5"/>
        <v>670106.6867017278</v>
      </c>
      <c r="H30" s="1">
        <f t="shared" si="5"/>
        <v>404283.8603920496</v>
      </c>
      <c r="I30" s="1">
        <f t="shared" si="5"/>
        <v>181254.38525684405</v>
      </c>
      <c r="J30" s="1">
        <f t="shared" si="5"/>
        <v>503461.0719021245</v>
      </c>
      <c r="K30" s="1">
        <f t="shared" si="5"/>
        <v>-158097.85832946189</v>
      </c>
      <c r="L30" s="1">
        <f t="shared" si="5"/>
        <v>0</v>
      </c>
      <c r="M30" s="1">
        <f t="shared" si="5"/>
        <v>0</v>
      </c>
      <c r="N30" s="1">
        <f t="shared" si="5"/>
        <v>0</v>
      </c>
      <c r="O30" s="1">
        <f t="shared" si="5"/>
        <v>0</v>
      </c>
      <c r="P30" s="1">
        <f t="shared" si="5"/>
        <v>0</v>
      </c>
    </row>
    <row r="32" spans="1:16">
      <c r="C32" t="s">
        <v>26</v>
      </c>
      <c r="D32" s="1">
        <f>SUM(D30:J30)</f>
        <v>-775178.95442494028</v>
      </c>
    </row>
    <row r="33" spans="2:29">
      <c r="C33" t="s">
        <v>27</v>
      </c>
      <c r="D33" s="5">
        <f>NPV(B11,E29:F29)+D29</f>
        <v>-2534284.9586776863</v>
      </c>
    </row>
    <row r="35" spans="2:29">
      <c r="C35" t="s">
        <v>23</v>
      </c>
      <c r="D35" s="3">
        <f>IRR(D29:E29)</f>
        <v>-0.71880565656565654</v>
      </c>
      <c r="J35" s="1"/>
    </row>
    <row r="36" spans="2:29">
      <c r="B36" s="7" t="s">
        <v>29</v>
      </c>
      <c r="C36" t="s">
        <v>28</v>
      </c>
      <c r="D36" s="3">
        <f>MIRR(D29:E29,B11,B11)</f>
        <v>-0.71880565656565665</v>
      </c>
    </row>
    <row r="38" spans="2:29">
      <c r="C38" t="s">
        <v>32</v>
      </c>
      <c r="D38" s="1">
        <f>SUM(E42:K42)</f>
        <v>5880884.4184462829</v>
      </c>
    </row>
    <row r="39" spans="2:29">
      <c r="C39" t="s">
        <v>47</v>
      </c>
      <c r="D39" s="3">
        <v>8.7919640862697615E-2</v>
      </c>
      <c r="F39" s="1"/>
    </row>
    <row r="40" spans="2:29">
      <c r="C40" t="s">
        <v>31</v>
      </c>
      <c r="D40">
        <f>D29+D38/(1+D39)^B7</f>
        <v>-751874.91586092673</v>
      </c>
    </row>
    <row r="42" spans="2:29">
      <c r="C42" t="s">
        <v>30</v>
      </c>
      <c r="D42" s="4"/>
      <c r="E42" s="2">
        <f t="shared" ref="E42:K42" si="6">E29*(1+$B$11)^($B$7-E21)</f>
        <v>1852634.8720000007</v>
      </c>
      <c r="F42" s="2">
        <f t="shared" si="6"/>
        <v>1684213.5200000003</v>
      </c>
      <c r="G42" s="2">
        <f t="shared" si="6"/>
        <v>981103.20000000007</v>
      </c>
      <c r="H42" s="2">
        <f t="shared" si="6"/>
        <v>591912</v>
      </c>
      <c r="I42" s="2">
        <f t="shared" si="6"/>
        <v>265374.54545454547</v>
      </c>
      <c r="J42" s="2">
        <f t="shared" si="6"/>
        <v>737117.35537190072</v>
      </c>
      <c r="K42" s="2">
        <f t="shared" si="6"/>
        <v>-231471.07438016523</v>
      </c>
    </row>
    <row r="43" spans="2:29">
      <c r="E43" s="2"/>
    </row>
    <row r="44" spans="2:29">
      <c r="C44" t="s">
        <v>38</v>
      </c>
      <c r="D44" s="5">
        <f>-PMT(B11,B7,D33)</f>
        <v>-799492.91273432458</v>
      </c>
    </row>
    <row r="46" spans="2:29">
      <c r="C46" t="s">
        <v>33</v>
      </c>
    </row>
    <row r="47" spans="2:29">
      <c r="C47" t="s">
        <v>34</v>
      </c>
      <c r="D47" s="3">
        <v>0</v>
      </c>
      <c r="E47" s="3">
        <v>0.01</v>
      </c>
      <c r="F47" s="3">
        <v>0.02</v>
      </c>
      <c r="G47" s="3">
        <v>0.03</v>
      </c>
      <c r="H47" s="3">
        <v>0.04</v>
      </c>
      <c r="I47" s="3">
        <f>H47+0.01</f>
        <v>0.05</v>
      </c>
      <c r="J47" s="3">
        <f t="shared" ref="J47:AC47" si="7">I47+0.01</f>
        <v>6.0000000000000005E-2</v>
      </c>
      <c r="K47" s="3">
        <f t="shared" si="7"/>
        <v>7.0000000000000007E-2</v>
      </c>
      <c r="L47" s="3">
        <f t="shared" si="7"/>
        <v>0.08</v>
      </c>
      <c r="M47" s="3">
        <f t="shared" si="7"/>
        <v>0.09</v>
      </c>
      <c r="N47" s="3">
        <f t="shared" si="7"/>
        <v>9.9999999999999992E-2</v>
      </c>
      <c r="O47" s="3">
        <f t="shared" si="7"/>
        <v>0.10999999999999999</v>
      </c>
      <c r="P47" s="3">
        <f t="shared" si="7"/>
        <v>0.11999999999999998</v>
      </c>
      <c r="Q47" s="3">
        <f t="shared" si="7"/>
        <v>0.12999999999999998</v>
      </c>
      <c r="R47" s="3">
        <f t="shared" si="7"/>
        <v>0.13999999999999999</v>
      </c>
      <c r="S47" s="3">
        <f t="shared" si="7"/>
        <v>0.15</v>
      </c>
      <c r="T47" s="3">
        <f t="shared" si="7"/>
        <v>0.16</v>
      </c>
      <c r="U47" s="3">
        <f t="shared" si="7"/>
        <v>0.17</v>
      </c>
      <c r="V47" s="3">
        <f t="shared" si="7"/>
        <v>0.18000000000000002</v>
      </c>
      <c r="W47" s="3">
        <f t="shared" si="7"/>
        <v>0.19000000000000003</v>
      </c>
      <c r="X47" s="3">
        <f t="shared" si="7"/>
        <v>0.20000000000000004</v>
      </c>
      <c r="Y47" s="3">
        <f t="shared" si="7"/>
        <v>0.21000000000000005</v>
      </c>
      <c r="Z47" s="3">
        <f t="shared" si="7"/>
        <v>0.22000000000000006</v>
      </c>
      <c r="AA47" s="3">
        <f t="shared" si="7"/>
        <v>0.23000000000000007</v>
      </c>
      <c r="AB47" s="3">
        <f t="shared" si="7"/>
        <v>0.24000000000000007</v>
      </c>
      <c r="AC47" s="3">
        <f t="shared" si="7"/>
        <v>0.25000000000000006</v>
      </c>
    </row>
    <row r="48" spans="2:29">
      <c r="C48" t="s">
        <v>21</v>
      </c>
      <c r="D48" s="5">
        <f>NPV(D47,$E$29:$P$29)+$D$29</f>
        <v>193384</v>
      </c>
      <c r="E48" s="5">
        <f>NPV(E47,$E$29:$K$29)+$D$29</f>
        <v>57719.787101446651</v>
      </c>
      <c r="F48" s="5">
        <f>NPV(F47,$E$29:$K$29)+$D$29</f>
        <v>-72037.360386888497</v>
      </c>
      <c r="G48" s="5">
        <f t="shared" ref="G48:Q48" si="8">NPV(G47,$E$29:$K$29)+$D$29</f>
        <v>-196222.21968891378</v>
      </c>
      <c r="H48" s="5">
        <f t="shared" si="8"/>
        <v>-315146.97514586803</v>
      </c>
      <c r="I48" s="5">
        <f t="shared" si="8"/>
        <v>-429102.95343562495</v>
      </c>
      <c r="J48" s="5">
        <f t="shared" si="8"/>
        <v>-538362.21124193165</v>
      </c>
      <c r="K48" s="5">
        <f>NPV(K47,$E$29:$K$29)+$D$29</f>
        <v>-643178.98899990134</v>
      </c>
      <c r="L48" s="5">
        <f t="shared" si="8"/>
        <v>-743791.04299790133</v>
      </c>
      <c r="M48" s="5">
        <f t="shared" si="8"/>
        <v>-840420.86691024899</v>
      </c>
      <c r="N48" s="5">
        <f>NPV(N47,$E$29:$K$29)+$D$29</f>
        <v>-933276.8127544024</v>
      </c>
      <c r="O48" s="5">
        <f>NPV(O47,$E$29:$K$29)+$D$29</f>
        <v>-1022554.1202972867</v>
      </c>
      <c r="P48" s="5">
        <f t="shared" si="8"/>
        <v>-1108435.8630657932</v>
      </c>
      <c r="Q48" s="5">
        <f t="shared" si="8"/>
        <v>-1191093.8183358256</v>
      </c>
      <c r="R48" s="5">
        <f t="shared" ref="R48" si="9">NPV(R47,$E$29:$K$29)+$D$29</f>
        <v>-1270689.2677728459</v>
      </c>
      <c r="S48" s="5">
        <f t="shared" ref="S48" si="10">NPV(S47,$E$29:$K$29)+$D$29</f>
        <v>-1347373.7347664502</v>
      </c>
      <c r="T48" s="5">
        <f t="shared" ref="T48" si="11">NPV(T47,$E$29:$K$29)+$D$29</f>
        <v>-1421289.6639342615</v>
      </c>
      <c r="U48" s="5">
        <f t="shared" ref="U48" si="12">NPV(U47,$E$29:$K$29)+$D$29</f>
        <v>-1492571.0477600181</v>
      </c>
      <c r="V48" s="5">
        <f t="shared" ref="V48" si="13">NPV(V47,$E$29:$K$29)+$D$29</f>
        <v>-1561344.0048709163</v>
      </c>
      <c r="W48" s="5">
        <f t="shared" ref="W48" si="14">NPV(W47,$E$29:$K$29)+$D$29</f>
        <v>-1627727.3140448667</v>
      </c>
      <c r="X48" s="5">
        <f t="shared" ref="X48" si="15">NPV(X47,$E$29:$K$29)+$D$29</f>
        <v>-1691832.9076646087</v>
      </c>
      <c r="Y48" s="5">
        <f t="shared" ref="Y48" si="16">NPV(Y47,$E$29:$K$29)+$D$29</f>
        <v>-1753766.3279983154</v>
      </c>
      <c r="Z48" s="5">
        <f t="shared" ref="Z48" si="17">NPV(Z47,$E$29:$K$29)+$D$29</f>
        <v>-1813627.149381774</v>
      </c>
      <c r="AA48" s="5">
        <f t="shared" ref="AA48" si="18">NPV(AA47,$E$29:$K$29)+$D$29</f>
        <v>-1871509.369101956</v>
      </c>
      <c r="AB48" s="5">
        <f t="shared" ref="AB48" si="19">NPV(AB47,$E$29:$K$29)+$D$29</f>
        <v>-1927501.7695328947</v>
      </c>
      <c r="AC48" s="5">
        <f t="shared" ref="AC48" si="20">NPV(AC47,$E$29:$K$29)+$D$29</f>
        <v>-1981688.2538496</v>
      </c>
    </row>
    <row r="53" spans="1:11">
      <c r="C53">
        <v>0</v>
      </c>
      <c r="D53">
        <v>2</v>
      </c>
      <c r="E53">
        <v>4</v>
      </c>
      <c r="F53">
        <v>6</v>
      </c>
      <c r="G53">
        <v>8</v>
      </c>
      <c r="H53">
        <v>10</v>
      </c>
      <c r="I53">
        <v>12</v>
      </c>
      <c r="J53">
        <v>14</v>
      </c>
      <c r="K53">
        <v>16</v>
      </c>
    </row>
    <row r="54" spans="1:11">
      <c r="C54">
        <v>-11689982</v>
      </c>
      <c r="D54">
        <v>-9547878</v>
      </c>
      <c r="E54">
        <v>-7405774</v>
      </c>
      <c r="F54">
        <v>-5263670</v>
      </c>
      <c r="G54">
        <v>-3121565</v>
      </c>
      <c r="H54">
        <v>-979461</v>
      </c>
      <c r="I54">
        <v>1162643</v>
      </c>
      <c r="J54">
        <v>3304748</v>
      </c>
      <c r="K54">
        <v>5446852</v>
      </c>
    </row>
    <row r="63" spans="1:11">
      <c r="A63">
        <v>10.914</v>
      </c>
    </row>
    <row r="77" spans="3:10">
      <c r="C77" t="s">
        <v>275</v>
      </c>
      <c r="D77">
        <v>1</v>
      </c>
      <c r="E77">
        <v>2</v>
      </c>
      <c r="F77">
        <v>3</v>
      </c>
      <c r="G77">
        <v>4</v>
      </c>
      <c r="H77">
        <v>5</v>
      </c>
      <c r="I77">
        <v>6</v>
      </c>
      <c r="J77">
        <v>7</v>
      </c>
    </row>
    <row r="78" spans="3:10">
      <c r="C78" t="s">
        <v>276</v>
      </c>
      <c r="D78" s="5">
        <v>-2866443.6363636367</v>
      </c>
      <c r="E78">
        <v>-1790483.3057851242</v>
      </c>
      <c r="F78">
        <v>-1187994.9511645387</v>
      </c>
      <c r="G78">
        <v>3339040.0874257209</v>
      </c>
      <c r="H78">
        <v>-719810.83557382529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49"/>
  <sheetViews>
    <sheetView zoomScale="66" workbookViewId="0">
      <selection activeCell="B2" sqref="B2"/>
    </sheetView>
  </sheetViews>
  <sheetFormatPr baseColWidth="10" defaultColWidth="11" defaultRowHeight="16"/>
  <cols>
    <col min="1" max="1" width="29.83203125" bestFit="1" customWidth="1"/>
    <col min="2" max="2" width="12.5" customWidth="1"/>
    <col min="3" max="3" width="39.5" customWidth="1"/>
    <col min="4" max="4" width="33.6640625" bestFit="1" customWidth="1"/>
    <col min="5" max="12" width="12.33203125" bestFit="1" customWidth="1"/>
  </cols>
  <sheetData>
    <row r="2" spans="1:5">
      <c r="A2" t="s">
        <v>0</v>
      </c>
      <c r="B2" s="1">
        <f>'Anlæg A'!B2</f>
        <v>4950000</v>
      </c>
    </row>
    <row r="3" spans="1:5">
      <c r="A3" t="s">
        <v>3</v>
      </c>
      <c r="B3" s="1">
        <f>'Anlæg A'!B3</f>
        <v>220000</v>
      </c>
      <c r="D3" t="s">
        <v>35</v>
      </c>
      <c r="E3" s="2">
        <f>B6*B10+B12+B17</f>
        <v>207748</v>
      </c>
    </row>
    <row r="4" spans="1:5">
      <c r="A4" t="s">
        <v>1</v>
      </c>
      <c r="B4" s="1">
        <f>'Anlæg A'!B4</f>
        <v>1.9363409090909092</v>
      </c>
      <c r="D4" t="s">
        <v>19</v>
      </c>
      <c r="E4" s="2">
        <f>B3*B4+B18</f>
        <v>425995</v>
      </c>
    </row>
    <row r="5" spans="1:5">
      <c r="A5" t="s">
        <v>2</v>
      </c>
      <c r="B5" s="1">
        <f>'Anlæg A'!B5</f>
        <v>177</v>
      </c>
    </row>
    <row r="6" spans="1:5">
      <c r="A6" t="s">
        <v>4</v>
      </c>
      <c r="B6" s="1">
        <f>'Anlæg A'!B6</f>
        <v>1244</v>
      </c>
    </row>
    <row r="7" spans="1:5">
      <c r="A7" t="s">
        <v>6</v>
      </c>
      <c r="B7" s="1">
        <f>'Anlæg A'!B7</f>
        <v>4</v>
      </c>
    </row>
    <row r="8" spans="1:5">
      <c r="A8" t="s">
        <v>5</v>
      </c>
      <c r="B8" s="1">
        <f>'Anlæg A'!B8</f>
        <v>900000</v>
      </c>
    </row>
    <row r="9" spans="1:5">
      <c r="A9" t="s">
        <v>7</v>
      </c>
      <c r="B9" s="1">
        <f>'Anlæg A'!B9</f>
        <v>985</v>
      </c>
    </row>
    <row r="10" spans="1:5">
      <c r="A10" t="s">
        <v>8</v>
      </c>
      <c r="B10" s="1">
        <f>'Anlæg A'!B10</f>
        <v>167</v>
      </c>
    </row>
    <row r="11" spans="1:5">
      <c r="A11" t="s">
        <v>9</v>
      </c>
      <c r="B11" s="3">
        <f>'Anlæg A'!B11</f>
        <v>0.1</v>
      </c>
    </row>
    <row r="12" spans="1:5">
      <c r="A12" t="s">
        <v>17</v>
      </c>
      <c r="B12" s="1">
        <f>'Anlæg A'!B12</f>
        <v>0</v>
      </c>
    </row>
    <row r="13" spans="1:5">
      <c r="A13" t="s">
        <v>10</v>
      </c>
      <c r="B13" s="1">
        <f>'Anlæg A'!B13</f>
        <v>0</v>
      </c>
    </row>
    <row r="14" spans="1:5">
      <c r="A14" t="s">
        <v>11</v>
      </c>
      <c r="B14" s="1">
        <f>'Anlæg A'!B14</f>
        <v>0</v>
      </c>
    </row>
    <row r="15" spans="1:5">
      <c r="A15" t="s">
        <v>12</v>
      </c>
      <c r="B15" s="1">
        <f>B13*B14</f>
        <v>0</v>
      </c>
    </row>
    <row r="16" spans="1:5">
      <c r="A16" t="s">
        <v>37</v>
      </c>
      <c r="B16" s="3">
        <v>0</v>
      </c>
    </row>
    <row r="17" spans="1:16">
      <c r="A17" t="s">
        <v>49</v>
      </c>
      <c r="B17" s="1">
        <f>'Anlæg A'!B16</f>
        <v>0</v>
      </c>
    </row>
    <row r="18" spans="1:16">
      <c r="A18" t="s">
        <v>48</v>
      </c>
      <c r="B18" s="1">
        <f>'Anlæg A'!B17</f>
        <v>0</v>
      </c>
    </row>
    <row r="20" spans="1:16" ht="19">
      <c r="C20" s="8" t="s">
        <v>39</v>
      </c>
    </row>
    <row r="22" spans="1:16">
      <c r="C22" t="s">
        <v>13</v>
      </c>
      <c r="D22">
        <v>0</v>
      </c>
      <c r="E22">
        <v>1</v>
      </c>
      <c r="F22">
        <v>2</v>
      </c>
      <c r="G22">
        <f>F22+1</f>
        <v>3</v>
      </c>
      <c r="H22">
        <f t="shared" ref="H22:O22" si="0">G22+1</f>
        <v>4</v>
      </c>
      <c r="I22">
        <f t="shared" si="0"/>
        <v>5</v>
      </c>
      <c r="J22">
        <f t="shared" si="0"/>
        <v>6</v>
      </c>
      <c r="K22">
        <f t="shared" si="0"/>
        <v>7</v>
      </c>
      <c r="L22">
        <f t="shared" si="0"/>
        <v>8</v>
      </c>
      <c r="M22">
        <f t="shared" si="0"/>
        <v>9</v>
      </c>
      <c r="N22">
        <f t="shared" si="0"/>
        <v>10</v>
      </c>
      <c r="O22">
        <f t="shared" si="0"/>
        <v>11</v>
      </c>
      <c r="P22">
        <v>12</v>
      </c>
    </row>
    <row r="23" spans="1:16">
      <c r="C23" t="s">
        <v>14</v>
      </c>
      <c r="D23" s="1">
        <f>-B2</f>
        <v>-4950000</v>
      </c>
    </row>
    <row r="24" spans="1:16">
      <c r="C24" t="s">
        <v>36</v>
      </c>
      <c r="D24" s="1"/>
      <c r="E24" s="1">
        <f>-B9*B5</f>
        <v>-174345</v>
      </c>
      <c r="F24" s="1">
        <f>$E$24*(1+$B$16)^(F22-1)</f>
        <v>-174345</v>
      </c>
      <c r="G24" s="1">
        <f t="shared" ref="G24:K24" si="1">$E$24*(1+$B$16)^(G22-1)</f>
        <v>-174345</v>
      </c>
      <c r="H24" s="1">
        <f t="shared" si="1"/>
        <v>-174345</v>
      </c>
      <c r="I24" s="1">
        <f t="shared" si="1"/>
        <v>-174345</v>
      </c>
      <c r="J24" s="1">
        <f t="shared" si="1"/>
        <v>-174345</v>
      </c>
      <c r="K24" s="1">
        <f t="shared" si="1"/>
        <v>-174345</v>
      </c>
    </row>
    <row r="25" spans="1:16">
      <c r="C25" t="s">
        <v>15</v>
      </c>
      <c r="E25" s="2">
        <f>-$E$3</f>
        <v>-207748</v>
      </c>
      <c r="F25" s="2">
        <f t="shared" ref="F25:K25" si="2">-$E$3</f>
        <v>-207748</v>
      </c>
      <c r="G25" s="2">
        <f t="shared" si="2"/>
        <v>-207748</v>
      </c>
      <c r="H25" s="2">
        <f t="shared" si="2"/>
        <v>-207748</v>
      </c>
      <c r="I25" s="2">
        <f t="shared" si="2"/>
        <v>-207748</v>
      </c>
      <c r="J25" s="2">
        <f t="shared" si="2"/>
        <v>-207748</v>
      </c>
      <c r="K25" s="2">
        <f t="shared" si="2"/>
        <v>-207748</v>
      </c>
    </row>
    <row r="26" spans="1:16">
      <c r="C26" t="s">
        <v>16</v>
      </c>
      <c r="E26" s="2">
        <f>-$E$4</f>
        <v>-425995</v>
      </c>
      <c r="F26" s="2">
        <f t="shared" ref="F26:K26" si="3">-$E$4</f>
        <v>-425995</v>
      </c>
      <c r="G26" s="2">
        <f t="shared" si="3"/>
        <v>-425995</v>
      </c>
      <c r="H26" s="2">
        <f t="shared" si="3"/>
        <v>-425995</v>
      </c>
      <c r="I26" s="2">
        <f t="shared" si="3"/>
        <v>-425995</v>
      </c>
      <c r="J26" s="2">
        <f t="shared" si="3"/>
        <v>-425995</v>
      </c>
      <c r="K26" s="2">
        <f t="shared" si="3"/>
        <v>-425995</v>
      </c>
    </row>
    <row r="27" spans="1:16">
      <c r="C27" t="s">
        <v>5</v>
      </c>
      <c r="K27" s="1">
        <f>B8</f>
        <v>900000</v>
      </c>
    </row>
    <row r="28" spans="1:16">
      <c r="C28" t="s">
        <v>20</v>
      </c>
      <c r="E28" s="1">
        <f>$B$15*$B$3</f>
        <v>0</v>
      </c>
      <c r="F28" s="1">
        <f t="shared" ref="F28:K28" si="4">$B$15*$B$3</f>
        <v>0</v>
      </c>
      <c r="G28" s="1">
        <f t="shared" si="4"/>
        <v>0</v>
      </c>
      <c r="H28" s="1">
        <f t="shared" si="4"/>
        <v>0</v>
      </c>
      <c r="I28" s="1">
        <f t="shared" si="4"/>
        <v>0</v>
      </c>
      <c r="J28" s="1">
        <f t="shared" si="4"/>
        <v>0</v>
      </c>
      <c r="K28" s="1">
        <f t="shared" si="4"/>
        <v>0</v>
      </c>
    </row>
    <row r="30" spans="1:16">
      <c r="C30" t="s">
        <v>24</v>
      </c>
      <c r="D30" s="1">
        <f>SUM(D23:D28)</f>
        <v>-4950000</v>
      </c>
      <c r="E30" s="1">
        <f>SUM(E23:E28)</f>
        <v>-808088</v>
      </c>
      <c r="F30" s="1">
        <f t="shared" ref="F30:O30" si="5">SUM(F23:F28)</f>
        <v>-808088</v>
      </c>
      <c r="G30" s="1">
        <f t="shared" si="5"/>
        <v>-808088</v>
      </c>
      <c r="H30" s="1">
        <f t="shared" si="5"/>
        <v>-808088</v>
      </c>
      <c r="I30" s="1">
        <f t="shared" si="5"/>
        <v>-808088</v>
      </c>
      <c r="J30" s="1">
        <f t="shared" si="5"/>
        <v>-808088</v>
      </c>
      <c r="K30" s="1">
        <f t="shared" si="5"/>
        <v>91912</v>
      </c>
      <c r="L30" s="1">
        <f>SUM(L23:L28)</f>
        <v>0</v>
      </c>
      <c r="M30" s="1">
        <f t="shared" si="5"/>
        <v>0</v>
      </c>
      <c r="N30" s="1">
        <f t="shared" si="5"/>
        <v>0</v>
      </c>
      <c r="O30" s="1">
        <f t="shared" si="5"/>
        <v>0</v>
      </c>
      <c r="P30">
        <v>0</v>
      </c>
    </row>
    <row r="31" spans="1:16">
      <c r="C31" t="s">
        <v>25</v>
      </c>
      <c r="D31" s="1">
        <f t="shared" ref="D31:P31" si="6">D30/(1+$B$11)^D22</f>
        <v>-4950000</v>
      </c>
      <c r="E31" s="1">
        <f t="shared" si="6"/>
        <v>-734625.45454545447</v>
      </c>
      <c r="F31" s="1">
        <f t="shared" si="6"/>
        <v>-667841.32231404947</v>
      </c>
      <c r="G31" s="1">
        <f t="shared" si="6"/>
        <v>-607128.47483095399</v>
      </c>
      <c r="H31" s="1">
        <f t="shared" si="6"/>
        <v>-551934.97711904906</v>
      </c>
      <c r="I31" s="1">
        <f t="shared" si="6"/>
        <v>-501759.07010822644</v>
      </c>
      <c r="J31" s="1">
        <f t="shared" si="6"/>
        <v>-456144.60918929667</v>
      </c>
      <c r="K31" s="1">
        <f t="shared" si="6"/>
        <v>47165.388962820689</v>
      </c>
      <c r="L31" s="1">
        <f t="shared" si="6"/>
        <v>0</v>
      </c>
      <c r="M31" s="1">
        <f t="shared" si="6"/>
        <v>0</v>
      </c>
      <c r="N31" s="1">
        <f t="shared" si="6"/>
        <v>0</v>
      </c>
      <c r="O31" s="1">
        <f t="shared" si="6"/>
        <v>0</v>
      </c>
      <c r="P31" s="1">
        <f t="shared" si="6"/>
        <v>0</v>
      </c>
    </row>
    <row r="33" spans="2:29">
      <c r="C33" t="s">
        <v>26</v>
      </c>
      <c r="D33" s="1">
        <f>SUM(D31:P31)</f>
        <v>-8422268.5191442091</v>
      </c>
    </row>
    <row r="34" spans="2:29">
      <c r="C34" t="s">
        <v>27</v>
      </c>
      <c r="D34" s="5">
        <f>NPV(B11,E30:P30)+D30</f>
        <v>-8422268.5191442091</v>
      </c>
    </row>
    <row r="36" spans="2:29">
      <c r="C36" t="s">
        <v>23</v>
      </c>
      <c r="D36" s="3" t="e">
        <f>IRR(D30:P30)</f>
        <v>#NUM!</v>
      </c>
      <c r="J36" s="1"/>
    </row>
    <row r="37" spans="2:29">
      <c r="B37" s="7" t="s">
        <v>29</v>
      </c>
      <c r="C37" t="s">
        <v>28</v>
      </c>
      <c r="D37" s="3">
        <f>MIRR(D30:K30,B11,B11)</f>
        <v>-0.47596572855316666</v>
      </c>
    </row>
    <row r="39" spans="2:29">
      <c r="C39" t="s">
        <v>32</v>
      </c>
      <c r="D39" s="1">
        <f>SUM(E43:K43)</f>
        <v>-5083748.3388790386</v>
      </c>
    </row>
    <row r="40" spans="2:29">
      <c r="C40" t="s">
        <v>47</v>
      </c>
      <c r="D40" s="3">
        <v>8.7919640862697615E-2</v>
      </c>
      <c r="F40" s="1"/>
    </row>
    <row r="41" spans="2:29">
      <c r="C41" t="s">
        <v>31</v>
      </c>
      <c r="D41">
        <f>D30+D39/(1+D40)^B7</f>
        <v>-8579081.9380764179</v>
      </c>
    </row>
    <row r="43" spans="2:29">
      <c r="C43" t="s">
        <v>30</v>
      </c>
      <c r="D43" s="4"/>
      <c r="E43" s="1">
        <f>E30*(1+$B$11)^($B$7-E22)</f>
        <v>-1075565.1280000003</v>
      </c>
      <c r="F43" s="1">
        <f t="shared" ref="F43:K43" si="7">F30*(1+$B$11)^($B$7-F22)</f>
        <v>-977786.4800000001</v>
      </c>
      <c r="G43" s="1">
        <f t="shared" si="7"/>
        <v>-888896.8</v>
      </c>
      <c r="H43" s="1">
        <f t="shared" si="7"/>
        <v>-808088</v>
      </c>
      <c r="I43" s="1">
        <f t="shared" si="7"/>
        <v>-734625.45454545447</v>
      </c>
      <c r="J43" s="1">
        <f t="shared" si="7"/>
        <v>-667841.32231404947</v>
      </c>
      <c r="K43" s="1">
        <f t="shared" si="7"/>
        <v>69054.84598046579</v>
      </c>
    </row>
    <row r="44" spans="2:29">
      <c r="E44" s="2"/>
    </row>
    <row r="45" spans="2:29">
      <c r="C45" t="s">
        <v>38</v>
      </c>
      <c r="D45" s="5">
        <f>-PMT(B11,B7,D34)</f>
        <v>-2656979.8187629902</v>
      </c>
    </row>
    <row r="47" spans="2:29">
      <c r="C47" t="s">
        <v>33</v>
      </c>
    </row>
    <row r="48" spans="2:29">
      <c r="C48" t="s">
        <v>34</v>
      </c>
      <c r="D48" s="3">
        <v>0</v>
      </c>
      <c r="E48" s="3">
        <v>0.01</v>
      </c>
      <c r="F48" s="3">
        <v>0.02</v>
      </c>
      <c r="G48" s="3">
        <v>0.03</v>
      </c>
      <c r="H48" s="3">
        <v>0.04</v>
      </c>
      <c r="I48" s="3">
        <f>H48+0.01</f>
        <v>0.05</v>
      </c>
      <c r="J48" s="3">
        <f t="shared" ref="J48:AC48" si="8">I48+0.01</f>
        <v>6.0000000000000005E-2</v>
      </c>
      <c r="K48" s="3">
        <f t="shared" si="8"/>
        <v>7.0000000000000007E-2</v>
      </c>
      <c r="L48" s="3">
        <f t="shared" si="8"/>
        <v>0.08</v>
      </c>
      <c r="M48" s="3">
        <f t="shared" si="8"/>
        <v>0.09</v>
      </c>
      <c r="N48" s="3">
        <f t="shared" si="8"/>
        <v>9.9999999999999992E-2</v>
      </c>
      <c r="O48" s="3">
        <f t="shared" si="8"/>
        <v>0.10999999999999999</v>
      </c>
      <c r="P48" s="3">
        <f t="shared" si="8"/>
        <v>0.11999999999999998</v>
      </c>
      <c r="Q48" s="3">
        <f t="shared" si="8"/>
        <v>0.12999999999999998</v>
      </c>
      <c r="R48" s="3">
        <f t="shared" si="8"/>
        <v>0.13999999999999999</v>
      </c>
      <c r="S48" s="3">
        <f t="shared" si="8"/>
        <v>0.15</v>
      </c>
      <c r="T48" s="3">
        <f t="shared" si="8"/>
        <v>0.16</v>
      </c>
      <c r="U48" s="3">
        <f t="shared" si="8"/>
        <v>0.17</v>
      </c>
      <c r="V48" s="3">
        <f t="shared" si="8"/>
        <v>0.18000000000000002</v>
      </c>
      <c r="W48" s="3">
        <f t="shared" si="8"/>
        <v>0.19000000000000003</v>
      </c>
      <c r="X48" s="3">
        <f t="shared" si="8"/>
        <v>0.20000000000000004</v>
      </c>
      <c r="Y48" s="3">
        <f t="shared" si="8"/>
        <v>0.21000000000000005</v>
      </c>
      <c r="Z48" s="3">
        <f t="shared" si="8"/>
        <v>0.22000000000000006</v>
      </c>
      <c r="AA48" s="3">
        <f t="shared" si="8"/>
        <v>0.23000000000000007</v>
      </c>
      <c r="AB48" s="3">
        <f t="shared" si="8"/>
        <v>0.24000000000000007</v>
      </c>
      <c r="AC48" s="3">
        <f t="shared" si="8"/>
        <v>0.25000000000000006</v>
      </c>
    </row>
    <row r="49" spans="3:29">
      <c r="C49" t="s">
        <v>21</v>
      </c>
      <c r="D49" s="5">
        <f>NPV(D48,$E$30:$K$30)+$D$30</f>
        <v>-9706616</v>
      </c>
      <c r="E49" s="5">
        <f t="shared" ref="E49:Q49" si="9">NPV(E48,$E$30:$K$30)+$D$30</f>
        <v>-9547527.0115456171</v>
      </c>
      <c r="F49" s="5">
        <f t="shared" si="9"/>
        <v>-9396434.1584594585</v>
      </c>
      <c r="G49" s="5">
        <f t="shared" si="9"/>
        <v>-9252834.5325100459</v>
      </c>
      <c r="H49" s="5">
        <f t="shared" si="9"/>
        <v>-9116262.3222474158</v>
      </c>
      <c r="I49" s="5">
        <f t="shared" si="9"/>
        <v>-8986285.7088390961</v>
      </c>
      <c r="J49" s="5">
        <f t="shared" si="9"/>
        <v>-8862504.0505257882</v>
      </c>
      <c r="K49" s="5">
        <f t="shared" si="9"/>
        <v>-8744545.3263033591</v>
      </c>
      <c r="L49" s="5">
        <f t="shared" si="9"/>
        <v>-8632063.8126817364</v>
      </c>
      <c r="M49" s="5">
        <f t="shared" si="9"/>
        <v>-8524737.9702304937</v>
      </c>
      <c r="N49" s="5">
        <f t="shared" si="9"/>
        <v>-8422268.5191442091</v>
      </c>
      <c r="O49" s="5">
        <f t="shared" si="9"/>
        <v>-8324376.6852898467</v>
      </c>
      <c r="P49" s="5">
        <f t="shared" si="9"/>
        <v>-8230802.6001704661</v>
      </c>
      <c r="Q49" s="5">
        <f t="shared" si="9"/>
        <v>-8141303.8399859183</v>
      </c>
      <c r="R49" s="5">
        <f t="shared" ref="R49" si="10">NPV(R48,$E$30:$K$30)+$D$30</f>
        <v>-8055654.0905194394</v>
      </c>
      <c r="S49" s="5">
        <f t="shared" ref="S49" si="11">NPV(S48,$E$30:$K$30)+$D$30</f>
        <v>-7973641.925953405</v>
      </c>
      <c r="T49" s="5">
        <f t="shared" ref="T49" si="12">NPV(T48,$E$30:$K$30)+$D$30</f>
        <v>-7895069.6909386292</v>
      </c>
      <c r="U49" s="5">
        <f t="shared" ref="U49" si="13">NPV(U48,$E$30:$K$30)+$D$30</f>
        <v>-7819752.4763277788</v>
      </c>
      <c r="V49" s="5">
        <f t="shared" ref="V49" si="14">NPV(V48,$E$30:$K$30)+$D$30</f>
        <v>-7747517.1799507923</v>
      </c>
      <c r="W49" s="5">
        <f t="shared" ref="W49" si="15">NPV(W48,$E$30:$K$30)+$D$30</f>
        <v>-7678201.6446723687</v>
      </c>
      <c r="X49" s="5">
        <f t="shared" ref="X49" si="16">NPV(X48,$E$30:$K$30)+$D$30</f>
        <v>-7611653.8667409699</v>
      </c>
      <c r="Y49" s="5">
        <f t="shared" ref="Y49" si="17">NPV(Y48,$E$30:$K$30)+$D$30</f>
        <v>-7547731.2681259969</v>
      </c>
      <c r="Z49" s="5">
        <f t="shared" ref="Z49" si="18">NPV(Z48,$E$30:$K$30)+$D$30</f>
        <v>-7486300.0271542249</v>
      </c>
      <c r="AA49" s="5">
        <f t="shared" ref="AA49" si="19">NPV(AA48,$E$30:$K$30)+$D$30</f>
        <v>-7427234.4623064985</v>
      </c>
      <c r="AB49" s="5">
        <f t="shared" ref="AB49" si="20">NPV(AB48,$E$30:$K$30)+$D$30</f>
        <v>-7370416.4645283055</v>
      </c>
      <c r="AC49" s="5">
        <f t="shared" ref="AC49" si="21">NPV(AC48,$E$30:$K$30)+$D$30</f>
        <v>-7315734.9738496002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C47"/>
  <sheetViews>
    <sheetView topLeftCell="A18" zoomScale="84" workbookViewId="0">
      <selection activeCell="E5" sqref="E5"/>
    </sheetView>
  </sheetViews>
  <sheetFormatPr baseColWidth="10" defaultColWidth="11" defaultRowHeight="16"/>
  <cols>
    <col min="1" max="1" width="29.83203125" bestFit="1" customWidth="1"/>
    <col min="2" max="2" width="12.5" customWidth="1"/>
    <col min="3" max="3" width="39.5" customWidth="1"/>
    <col min="4" max="4" width="24.1640625" customWidth="1"/>
    <col min="5" max="11" width="11.6640625" bestFit="1" customWidth="1"/>
  </cols>
  <sheetData>
    <row r="2" spans="1:5">
      <c r="A2" t="s">
        <v>0</v>
      </c>
      <c r="B2" s="1"/>
    </row>
    <row r="3" spans="1:5">
      <c r="A3" t="s">
        <v>3</v>
      </c>
      <c r="B3" s="1"/>
      <c r="D3" t="s">
        <v>18</v>
      </c>
      <c r="E3" s="2">
        <f>B5*B9+B6*B10+B12+B16</f>
        <v>0</v>
      </c>
    </row>
    <row r="4" spans="1:5">
      <c r="A4" t="s">
        <v>1</v>
      </c>
      <c r="B4" s="1"/>
      <c r="D4" t="s">
        <v>19</v>
      </c>
      <c r="E4" s="2">
        <f>B3*B4+B17</f>
        <v>0</v>
      </c>
    </row>
    <row r="5" spans="1:5">
      <c r="A5" t="s">
        <v>2</v>
      </c>
      <c r="B5" s="1"/>
    </row>
    <row r="6" spans="1:5">
      <c r="A6" t="s">
        <v>4</v>
      </c>
      <c r="B6" s="1"/>
    </row>
    <row r="7" spans="1:5">
      <c r="A7" t="s">
        <v>6</v>
      </c>
      <c r="B7" s="1"/>
    </row>
    <row r="8" spans="1:5">
      <c r="A8" t="s">
        <v>5</v>
      </c>
      <c r="B8" s="1"/>
    </row>
    <row r="9" spans="1:5">
      <c r="A9" t="s">
        <v>7</v>
      </c>
      <c r="B9" s="1"/>
    </row>
    <row r="10" spans="1:5">
      <c r="A10" t="s">
        <v>8</v>
      </c>
      <c r="B10" s="2"/>
    </row>
    <row r="11" spans="1:5">
      <c r="A11" t="s">
        <v>9</v>
      </c>
      <c r="B11" s="3"/>
    </row>
    <row r="12" spans="1:5">
      <c r="A12" t="s">
        <v>17</v>
      </c>
      <c r="B12" s="1"/>
    </row>
    <row r="13" spans="1:5">
      <c r="A13" t="s">
        <v>10</v>
      </c>
      <c r="B13" s="2"/>
    </row>
    <row r="14" spans="1:5">
      <c r="A14" t="s">
        <v>11</v>
      </c>
      <c r="B14" s="1"/>
    </row>
    <row r="15" spans="1:5">
      <c r="A15" t="s">
        <v>12</v>
      </c>
      <c r="B15" s="1">
        <f>B13*B14</f>
        <v>0</v>
      </c>
    </row>
    <row r="16" spans="1:5">
      <c r="A16" t="s">
        <v>49</v>
      </c>
      <c r="B16" s="1"/>
    </row>
    <row r="17" spans="1:16">
      <c r="A17" t="s">
        <v>48</v>
      </c>
      <c r="B17" s="1"/>
    </row>
    <row r="19" spans="1:16" ht="19">
      <c r="C19" s="8" t="s">
        <v>22</v>
      </c>
    </row>
    <row r="21" spans="1:16">
      <c r="C21" t="s">
        <v>13</v>
      </c>
      <c r="D21">
        <v>0</v>
      </c>
      <c r="E21">
        <v>1</v>
      </c>
      <c r="F21">
        <v>2</v>
      </c>
      <c r="G21">
        <f>F21+1</f>
        <v>3</v>
      </c>
      <c r="H21">
        <f t="shared" ref="H21:O21" si="0">G21+1</f>
        <v>4</v>
      </c>
      <c r="I21">
        <f t="shared" si="0"/>
        <v>5</v>
      </c>
      <c r="J21">
        <f t="shared" si="0"/>
        <v>6</v>
      </c>
      <c r="K21">
        <f t="shared" si="0"/>
        <v>7</v>
      </c>
      <c r="L21">
        <f t="shared" si="0"/>
        <v>8</v>
      </c>
      <c r="M21">
        <f t="shared" si="0"/>
        <v>9</v>
      </c>
      <c r="N21">
        <f t="shared" si="0"/>
        <v>10</v>
      </c>
      <c r="O21">
        <f t="shared" si="0"/>
        <v>11</v>
      </c>
      <c r="P21">
        <v>12</v>
      </c>
    </row>
    <row r="22" spans="1:16">
      <c r="C22" t="s">
        <v>14</v>
      </c>
      <c r="D22" s="1">
        <f>-B2</f>
        <v>0</v>
      </c>
    </row>
    <row r="23" spans="1:16">
      <c r="C23" t="s">
        <v>15</v>
      </c>
      <c r="E23" s="2">
        <f>-$E$3</f>
        <v>0</v>
      </c>
      <c r="F23" s="2">
        <f t="shared" ref="F23:I23" si="1">-$E$3</f>
        <v>0</v>
      </c>
      <c r="G23" s="2">
        <f t="shared" si="1"/>
        <v>0</v>
      </c>
      <c r="H23" s="2">
        <f t="shared" si="1"/>
        <v>0</v>
      </c>
      <c r="I23" s="2">
        <f t="shared" si="1"/>
        <v>0</v>
      </c>
      <c r="J23" s="2"/>
      <c r="K23" s="2"/>
    </row>
    <row r="24" spans="1:16">
      <c r="C24" t="s">
        <v>16</v>
      </c>
      <c r="E24" s="2">
        <f>-$E$4</f>
        <v>0</v>
      </c>
      <c r="F24" s="2">
        <f t="shared" ref="F24:I24" si="2">-$E$4</f>
        <v>0</v>
      </c>
      <c r="G24" s="2">
        <f t="shared" si="2"/>
        <v>0</v>
      </c>
      <c r="H24" s="2">
        <f t="shared" si="2"/>
        <v>0</v>
      </c>
      <c r="I24" s="2">
        <f t="shared" si="2"/>
        <v>0</v>
      </c>
      <c r="J24" s="2"/>
      <c r="K24" s="2"/>
    </row>
    <row r="25" spans="1:16">
      <c r="C25" t="s">
        <v>5</v>
      </c>
      <c r="I25" s="1">
        <f>B8</f>
        <v>0</v>
      </c>
    </row>
    <row r="26" spans="1:16">
      <c r="C26" t="s">
        <v>20</v>
      </c>
      <c r="E26" s="1">
        <f>$B$15*$B$3</f>
        <v>0</v>
      </c>
      <c r="F26" s="1">
        <f t="shared" ref="F26:I26" si="3">$B$15*$B$3</f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/>
      <c r="K26" s="1"/>
    </row>
    <row r="28" spans="1:16">
      <c r="C28" t="s">
        <v>24</v>
      </c>
      <c r="D28" s="1">
        <f>SUM(D22:D26)</f>
        <v>0</v>
      </c>
      <c r="E28" s="1">
        <f t="shared" ref="E28:O28" si="4">SUM(E22:E26)</f>
        <v>0</v>
      </c>
      <c r="F28" s="1">
        <f t="shared" si="4"/>
        <v>0</v>
      </c>
      <c r="G28" s="1">
        <f t="shared" si="4"/>
        <v>0</v>
      </c>
      <c r="H28" s="1">
        <f t="shared" si="4"/>
        <v>0</v>
      </c>
      <c r="I28" s="1">
        <f t="shared" si="4"/>
        <v>0</v>
      </c>
      <c r="J28" s="1">
        <f t="shared" si="4"/>
        <v>0</v>
      </c>
      <c r="K28" s="1">
        <f t="shared" si="4"/>
        <v>0</v>
      </c>
      <c r="L28" s="1">
        <f>SUM(L22:L26)</f>
        <v>0</v>
      </c>
      <c r="M28" s="1">
        <f t="shared" si="4"/>
        <v>0</v>
      </c>
      <c r="N28" s="1">
        <f t="shared" si="4"/>
        <v>0</v>
      </c>
      <c r="O28" s="1">
        <f t="shared" si="4"/>
        <v>0</v>
      </c>
      <c r="P28">
        <v>0</v>
      </c>
    </row>
    <row r="29" spans="1:16">
      <c r="C29" t="s">
        <v>25</v>
      </c>
      <c r="D29" s="1">
        <f>D28/(1+$B$11)^D21</f>
        <v>0</v>
      </c>
      <c r="E29" s="1">
        <f t="shared" ref="E29:P29" si="5">E28/(1+$B$11)^E21</f>
        <v>0</v>
      </c>
      <c r="F29" s="1">
        <f t="shared" si="5"/>
        <v>0</v>
      </c>
      <c r="G29" s="1">
        <f t="shared" si="5"/>
        <v>0</v>
      </c>
      <c r="H29" s="1">
        <f t="shared" si="5"/>
        <v>0</v>
      </c>
      <c r="I29" s="1">
        <f t="shared" si="5"/>
        <v>0</v>
      </c>
      <c r="J29" s="1">
        <f t="shared" si="5"/>
        <v>0</v>
      </c>
      <c r="K29" s="1">
        <f t="shared" si="5"/>
        <v>0</v>
      </c>
      <c r="L29" s="1">
        <f t="shared" si="5"/>
        <v>0</v>
      </c>
      <c r="M29" s="1">
        <f t="shared" si="5"/>
        <v>0</v>
      </c>
      <c r="N29" s="1">
        <f t="shared" si="5"/>
        <v>0</v>
      </c>
      <c r="O29" s="1">
        <f t="shared" si="5"/>
        <v>0</v>
      </c>
      <c r="P29" s="1">
        <f t="shared" si="5"/>
        <v>0</v>
      </c>
    </row>
    <row r="31" spans="1:16">
      <c r="C31" t="s">
        <v>26</v>
      </c>
      <c r="D31" s="1">
        <f>SUM(D29:P29)</f>
        <v>0</v>
      </c>
    </row>
    <row r="32" spans="1:16">
      <c r="C32" t="s">
        <v>27</v>
      </c>
      <c r="D32" s="5">
        <f>NPV(B11,E28:P28)+D28</f>
        <v>0</v>
      </c>
    </row>
    <row r="34" spans="2:29">
      <c r="C34" t="s">
        <v>23</v>
      </c>
      <c r="D34" s="3" t="e">
        <f>IRR(D28:P28)</f>
        <v>#NUM!</v>
      </c>
      <c r="J34" s="1"/>
    </row>
    <row r="35" spans="2:29">
      <c r="B35" s="7" t="s">
        <v>29</v>
      </c>
      <c r="C35" t="s">
        <v>28</v>
      </c>
      <c r="D35" s="3" t="e">
        <f>MIRR(D28:K28,B11,B11)</f>
        <v>#DIV/0!</v>
      </c>
    </row>
    <row r="37" spans="2:29">
      <c r="C37" t="s">
        <v>32</v>
      </c>
      <c r="D37" s="1">
        <f>SUM(E41:K41)</f>
        <v>0</v>
      </c>
    </row>
    <row r="38" spans="2:29">
      <c r="C38" t="s">
        <v>47</v>
      </c>
      <c r="D38" s="3">
        <v>8.7919640862697615E-2</v>
      </c>
      <c r="F38" s="1"/>
    </row>
    <row r="39" spans="2:29">
      <c r="C39" t="s">
        <v>31</v>
      </c>
      <c r="D39">
        <f>D28+D37/(1+D38)^B7</f>
        <v>0</v>
      </c>
    </row>
    <row r="41" spans="2:29">
      <c r="C41" t="s">
        <v>30</v>
      </c>
      <c r="D41" s="4"/>
      <c r="E41" s="2">
        <f t="shared" ref="E41:K41" si="6">E28*(1+$B$11)^($B$7-E21)</f>
        <v>0</v>
      </c>
      <c r="F41" s="2">
        <f t="shared" si="6"/>
        <v>0</v>
      </c>
      <c r="G41" s="2">
        <f t="shared" si="6"/>
        <v>0</v>
      </c>
      <c r="H41" s="2">
        <f t="shared" si="6"/>
        <v>0</v>
      </c>
      <c r="I41" s="2">
        <f t="shared" si="6"/>
        <v>0</v>
      </c>
      <c r="J41" s="2">
        <f t="shared" si="6"/>
        <v>0</v>
      </c>
      <c r="K41" s="2">
        <f t="shared" si="6"/>
        <v>0</v>
      </c>
    </row>
    <row r="42" spans="2:29">
      <c r="E42" s="2"/>
    </row>
    <row r="43" spans="2:29">
      <c r="C43" t="s">
        <v>38</v>
      </c>
      <c r="D43" s="5" t="e">
        <f>-PMT(B11,B7,D32)</f>
        <v>#NUM!</v>
      </c>
    </row>
    <row r="45" spans="2:29">
      <c r="C45" t="s">
        <v>33</v>
      </c>
    </row>
    <row r="46" spans="2:29">
      <c r="C46" t="s">
        <v>34</v>
      </c>
      <c r="D46" s="3">
        <v>0</v>
      </c>
      <c r="E46" s="3">
        <v>0.01</v>
      </c>
      <c r="F46" s="3">
        <v>0.02</v>
      </c>
      <c r="G46" s="3">
        <v>0.03</v>
      </c>
      <c r="H46" s="3">
        <v>0.04</v>
      </c>
      <c r="I46" s="3">
        <f>H46+0.01</f>
        <v>0.05</v>
      </c>
      <c r="J46" s="3">
        <f t="shared" ref="J46:AC46" si="7">I46+0.01</f>
        <v>6.0000000000000005E-2</v>
      </c>
      <c r="K46" s="3">
        <f t="shared" si="7"/>
        <v>7.0000000000000007E-2</v>
      </c>
      <c r="L46" s="3">
        <f t="shared" si="7"/>
        <v>0.08</v>
      </c>
      <c r="M46" s="3">
        <f t="shared" si="7"/>
        <v>0.09</v>
      </c>
      <c r="N46" s="3">
        <f t="shared" si="7"/>
        <v>9.9999999999999992E-2</v>
      </c>
      <c r="O46" s="3">
        <f t="shared" si="7"/>
        <v>0.10999999999999999</v>
      </c>
      <c r="P46" s="3">
        <f t="shared" si="7"/>
        <v>0.11999999999999998</v>
      </c>
      <c r="Q46" s="3">
        <f t="shared" si="7"/>
        <v>0.12999999999999998</v>
      </c>
      <c r="R46" s="3">
        <f t="shared" si="7"/>
        <v>0.13999999999999999</v>
      </c>
      <c r="S46" s="3">
        <f t="shared" si="7"/>
        <v>0.15</v>
      </c>
      <c r="T46" s="3">
        <f t="shared" si="7"/>
        <v>0.16</v>
      </c>
      <c r="U46" s="3">
        <f t="shared" si="7"/>
        <v>0.17</v>
      </c>
      <c r="V46" s="3">
        <f t="shared" si="7"/>
        <v>0.18000000000000002</v>
      </c>
      <c r="W46" s="3">
        <f t="shared" si="7"/>
        <v>0.19000000000000003</v>
      </c>
      <c r="X46" s="3">
        <f t="shared" si="7"/>
        <v>0.20000000000000004</v>
      </c>
      <c r="Y46" s="3">
        <f t="shared" si="7"/>
        <v>0.21000000000000005</v>
      </c>
      <c r="Z46" s="3">
        <f t="shared" si="7"/>
        <v>0.22000000000000006</v>
      </c>
      <c r="AA46" s="3">
        <f t="shared" si="7"/>
        <v>0.23000000000000007</v>
      </c>
      <c r="AB46" s="3">
        <f t="shared" si="7"/>
        <v>0.24000000000000007</v>
      </c>
      <c r="AC46" s="3">
        <f t="shared" si="7"/>
        <v>0.25000000000000006</v>
      </c>
    </row>
    <row r="47" spans="2:29">
      <c r="C47" t="s">
        <v>21</v>
      </c>
      <c r="D47" s="5">
        <f>NPV(D46,$E$28:$K$28)+$D$28</f>
        <v>0</v>
      </c>
      <c r="E47" s="5">
        <f t="shared" ref="E47:Q47" si="8">NPV(E46,$E$28:$K$28)+$D$28</f>
        <v>0</v>
      </c>
      <c r="F47" s="5">
        <f t="shared" si="8"/>
        <v>0</v>
      </c>
      <c r="G47" s="5">
        <f t="shared" si="8"/>
        <v>0</v>
      </c>
      <c r="H47" s="5">
        <f t="shared" si="8"/>
        <v>0</v>
      </c>
      <c r="I47" s="5">
        <f t="shared" si="8"/>
        <v>0</v>
      </c>
      <c r="J47" s="5">
        <f t="shared" si="8"/>
        <v>0</v>
      </c>
      <c r="K47" s="5">
        <f t="shared" si="8"/>
        <v>0</v>
      </c>
      <c r="L47" s="5">
        <f t="shared" si="8"/>
        <v>0</v>
      </c>
      <c r="M47" s="5">
        <f t="shared" si="8"/>
        <v>0</v>
      </c>
      <c r="N47" s="5">
        <f t="shared" si="8"/>
        <v>0</v>
      </c>
      <c r="O47" s="5">
        <f t="shared" si="8"/>
        <v>0</v>
      </c>
      <c r="P47" s="5">
        <f t="shared" si="8"/>
        <v>0</v>
      </c>
      <c r="Q47" s="5">
        <f t="shared" si="8"/>
        <v>0</v>
      </c>
      <c r="R47" s="5">
        <f t="shared" ref="R47" si="9">NPV(R46,$E$28:$K$28)+$D$28</f>
        <v>0</v>
      </c>
      <c r="S47" s="5">
        <f t="shared" ref="S47" si="10">NPV(S46,$E$28:$K$28)+$D$28</f>
        <v>0</v>
      </c>
      <c r="T47" s="5">
        <f t="shared" ref="T47" si="11">NPV(T46,$E$28:$K$28)+$D$28</f>
        <v>0</v>
      </c>
      <c r="U47" s="5">
        <f t="shared" ref="U47" si="12">NPV(U46,$E$28:$K$28)+$D$28</f>
        <v>0</v>
      </c>
      <c r="V47" s="5">
        <f t="shared" ref="V47" si="13">NPV(V46,$E$28:$K$28)+$D$28</f>
        <v>0</v>
      </c>
      <c r="W47" s="5">
        <f t="shared" ref="W47:X47" si="14">NPV(W46,$E$28:$K$28)+$D$28</f>
        <v>0</v>
      </c>
      <c r="X47" s="5">
        <f t="shared" si="14"/>
        <v>0</v>
      </c>
      <c r="Y47" s="5">
        <f t="shared" ref="Y47" si="15">NPV(Y46,$E$28:$K$28)+$D$28</f>
        <v>0</v>
      </c>
      <c r="Z47" s="5">
        <f t="shared" ref="Z47" si="16">NPV(Z46,$E$28:$K$28)+$D$28</f>
        <v>0</v>
      </c>
      <c r="AA47" s="5">
        <f t="shared" ref="AA47" si="17">NPV(AA46,$E$28:$K$28)+$D$28</f>
        <v>0</v>
      </c>
      <c r="AB47" s="5">
        <f t="shared" ref="AB47" si="18">NPV(AB46,$E$28:$K$28)+$D$28</f>
        <v>0</v>
      </c>
      <c r="AC47" s="5">
        <f t="shared" ref="AC47" si="19">NPV(AC46,$E$28:$K$28)+$D$28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C49"/>
  <sheetViews>
    <sheetView zoomScale="90" workbookViewId="0">
      <selection activeCell="B11" sqref="B11"/>
    </sheetView>
  </sheetViews>
  <sheetFormatPr baseColWidth="10" defaultColWidth="11" defaultRowHeight="16"/>
  <cols>
    <col min="1" max="1" width="29.83203125" bestFit="1" customWidth="1"/>
    <col min="2" max="2" width="12.5" customWidth="1"/>
    <col min="3" max="3" width="39.5" customWidth="1"/>
    <col min="4" max="4" width="33.5" bestFit="1" customWidth="1"/>
    <col min="5" max="11" width="11.6640625" bestFit="1" customWidth="1"/>
  </cols>
  <sheetData>
    <row r="2" spans="1:5">
      <c r="A2" t="s">
        <v>0</v>
      </c>
      <c r="B2" s="1">
        <f>'Anlæg B'!B2</f>
        <v>0</v>
      </c>
    </row>
    <row r="3" spans="1:5">
      <c r="A3" t="s">
        <v>3</v>
      </c>
      <c r="B3" s="1">
        <f>'Anlæg B'!B3</f>
        <v>0</v>
      </c>
      <c r="D3" t="s">
        <v>35</v>
      </c>
      <c r="E3" s="2">
        <f>B6*B10+B12+B17</f>
        <v>0</v>
      </c>
    </row>
    <row r="4" spans="1:5">
      <c r="A4" t="s">
        <v>1</v>
      </c>
      <c r="B4" s="1">
        <f>'Anlæg B'!B4</f>
        <v>0</v>
      </c>
      <c r="D4" t="s">
        <v>19</v>
      </c>
      <c r="E4" s="2">
        <f>B3*B4+B18</f>
        <v>0</v>
      </c>
    </row>
    <row r="5" spans="1:5">
      <c r="A5" t="s">
        <v>2</v>
      </c>
      <c r="B5" s="1">
        <f>'Anlæg B'!B5</f>
        <v>0</v>
      </c>
    </row>
    <row r="6" spans="1:5">
      <c r="A6" t="s">
        <v>4</v>
      </c>
      <c r="B6" s="1">
        <f>'Anlæg B'!B6</f>
        <v>0</v>
      </c>
    </row>
    <row r="7" spans="1:5">
      <c r="A7" t="s">
        <v>6</v>
      </c>
      <c r="B7" s="1">
        <f>'Anlæg B'!B7</f>
        <v>0</v>
      </c>
    </row>
    <row r="8" spans="1:5">
      <c r="A8" t="s">
        <v>5</v>
      </c>
      <c r="B8" s="1">
        <f>'Anlæg B'!B8</f>
        <v>0</v>
      </c>
    </row>
    <row r="9" spans="1:5">
      <c r="A9" t="s">
        <v>7</v>
      </c>
      <c r="B9" s="1">
        <f>'Anlæg B'!B9</f>
        <v>0</v>
      </c>
    </row>
    <row r="10" spans="1:5">
      <c r="A10" t="s">
        <v>8</v>
      </c>
      <c r="B10" s="1">
        <f>'Anlæg B'!B10</f>
        <v>0</v>
      </c>
    </row>
    <row r="11" spans="1:5">
      <c r="A11" t="s">
        <v>9</v>
      </c>
      <c r="B11" s="3">
        <f>'Anlæg B'!B11</f>
        <v>0</v>
      </c>
    </row>
    <row r="12" spans="1:5">
      <c r="A12" t="s">
        <v>17</v>
      </c>
      <c r="B12" s="1">
        <f>'Anlæg B'!B12</f>
        <v>0</v>
      </c>
    </row>
    <row r="13" spans="1:5">
      <c r="A13" t="s">
        <v>10</v>
      </c>
      <c r="B13" s="1">
        <f>'Anlæg B'!B13</f>
        <v>0</v>
      </c>
    </row>
    <row r="14" spans="1:5">
      <c r="A14" t="s">
        <v>11</v>
      </c>
      <c r="B14" s="1">
        <f>'Anlæg B'!B14</f>
        <v>0</v>
      </c>
    </row>
    <row r="15" spans="1:5">
      <c r="A15" t="s">
        <v>12</v>
      </c>
      <c r="B15" s="1">
        <f>B13*B14</f>
        <v>0</v>
      </c>
    </row>
    <row r="16" spans="1:5">
      <c r="A16" t="s">
        <v>37</v>
      </c>
      <c r="B16" s="3">
        <f>'Anlæg A stigende energipriser '!B16</f>
        <v>0</v>
      </c>
    </row>
    <row r="17" spans="1:16">
      <c r="A17" t="s">
        <v>49</v>
      </c>
      <c r="B17" s="1">
        <f>'Anlæg B'!B16</f>
        <v>0</v>
      </c>
    </row>
    <row r="18" spans="1:16">
      <c r="A18" t="s">
        <v>48</v>
      </c>
      <c r="B18" s="1">
        <f>'Anlæg B'!B17</f>
        <v>0</v>
      </c>
    </row>
    <row r="20" spans="1:16" ht="19">
      <c r="C20" s="8" t="s">
        <v>39</v>
      </c>
    </row>
    <row r="22" spans="1:16">
      <c r="C22" t="s">
        <v>13</v>
      </c>
      <c r="D22">
        <v>0</v>
      </c>
      <c r="E22">
        <v>1</v>
      </c>
      <c r="F22">
        <v>2</v>
      </c>
      <c r="G22">
        <f>F22+1</f>
        <v>3</v>
      </c>
      <c r="H22">
        <f t="shared" ref="H22:O22" si="0">G22+1</f>
        <v>4</v>
      </c>
      <c r="I22">
        <f t="shared" si="0"/>
        <v>5</v>
      </c>
      <c r="J22">
        <f t="shared" si="0"/>
        <v>6</v>
      </c>
      <c r="K22">
        <f t="shared" si="0"/>
        <v>7</v>
      </c>
      <c r="L22">
        <f t="shared" si="0"/>
        <v>8</v>
      </c>
      <c r="M22">
        <f t="shared" si="0"/>
        <v>9</v>
      </c>
      <c r="N22">
        <f t="shared" si="0"/>
        <v>10</v>
      </c>
      <c r="O22">
        <f t="shared" si="0"/>
        <v>11</v>
      </c>
      <c r="P22">
        <v>12</v>
      </c>
    </row>
    <row r="23" spans="1:16">
      <c r="C23" t="s">
        <v>14</v>
      </c>
      <c r="D23" s="1">
        <f>-B2</f>
        <v>0</v>
      </c>
    </row>
    <row r="24" spans="1:16">
      <c r="C24" t="s">
        <v>36</v>
      </c>
      <c r="D24" s="1"/>
      <c r="E24" s="1">
        <f>-B9*B5</f>
        <v>0</v>
      </c>
      <c r="F24" s="1">
        <f>$E$24*(1+$B$16)^(F22-1)</f>
        <v>0</v>
      </c>
      <c r="G24" s="1">
        <f t="shared" ref="G24:I24" si="1">$E$24*(1+$B$16)^(G22-1)</f>
        <v>0</v>
      </c>
      <c r="H24" s="1">
        <f t="shared" si="1"/>
        <v>0</v>
      </c>
      <c r="I24" s="1">
        <f t="shared" si="1"/>
        <v>0</v>
      </c>
      <c r="J24" s="1"/>
      <c r="K24" s="1"/>
    </row>
    <row r="25" spans="1:16">
      <c r="C25" t="s">
        <v>15</v>
      </c>
      <c r="E25" s="2">
        <f>-$E$3</f>
        <v>0</v>
      </c>
      <c r="F25" s="2">
        <f t="shared" ref="F25:I25" si="2">-$E$3</f>
        <v>0</v>
      </c>
      <c r="G25" s="2">
        <f t="shared" si="2"/>
        <v>0</v>
      </c>
      <c r="H25" s="2">
        <f t="shared" si="2"/>
        <v>0</v>
      </c>
      <c r="I25" s="2">
        <f t="shared" si="2"/>
        <v>0</v>
      </c>
      <c r="J25" s="2"/>
      <c r="K25" s="2"/>
    </row>
    <row r="26" spans="1:16">
      <c r="C26" t="s">
        <v>16</v>
      </c>
      <c r="E26" s="2">
        <f>-$E$4</f>
        <v>0</v>
      </c>
      <c r="F26" s="2">
        <f t="shared" ref="F26:I26" si="3">-$E$4</f>
        <v>0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/>
      <c r="K26" s="2"/>
    </row>
    <row r="27" spans="1:16">
      <c r="C27" t="s">
        <v>5</v>
      </c>
      <c r="I27" s="1">
        <f>B8</f>
        <v>0</v>
      </c>
    </row>
    <row r="28" spans="1:16">
      <c r="C28" t="s">
        <v>20</v>
      </c>
      <c r="E28" s="1">
        <f>$B$15*$B$3</f>
        <v>0</v>
      </c>
      <c r="F28" s="1">
        <f t="shared" ref="F28:I28" si="4">$B$15*$B$3</f>
        <v>0</v>
      </c>
      <c r="G28" s="1">
        <f t="shared" si="4"/>
        <v>0</v>
      </c>
      <c r="H28" s="1">
        <f t="shared" si="4"/>
        <v>0</v>
      </c>
      <c r="I28" s="1">
        <f t="shared" si="4"/>
        <v>0</v>
      </c>
      <c r="J28" s="1"/>
      <c r="K28" s="1"/>
    </row>
    <row r="30" spans="1:16">
      <c r="C30" t="s">
        <v>24</v>
      </c>
      <c r="D30" s="1">
        <f>SUM(D23:D28)</f>
        <v>0</v>
      </c>
      <c r="E30" s="1">
        <f>SUM(E23:E28)</f>
        <v>0</v>
      </c>
      <c r="F30" s="1">
        <f t="shared" ref="F30:O30" si="5">SUM(F23:F28)</f>
        <v>0</v>
      </c>
      <c r="G30" s="1">
        <f t="shared" si="5"/>
        <v>0</v>
      </c>
      <c r="H30" s="1">
        <f t="shared" si="5"/>
        <v>0</v>
      </c>
      <c r="I30" s="1">
        <f t="shared" si="5"/>
        <v>0</v>
      </c>
      <c r="J30" s="1">
        <f t="shared" si="5"/>
        <v>0</v>
      </c>
      <c r="K30" s="1">
        <f t="shared" si="5"/>
        <v>0</v>
      </c>
      <c r="L30" s="1">
        <f>SUM(L23:L28)</f>
        <v>0</v>
      </c>
      <c r="M30" s="1">
        <f t="shared" si="5"/>
        <v>0</v>
      </c>
      <c r="N30" s="1">
        <f t="shared" si="5"/>
        <v>0</v>
      </c>
      <c r="O30" s="1">
        <f t="shared" si="5"/>
        <v>0</v>
      </c>
      <c r="P30">
        <v>0</v>
      </c>
    </row>
    <row r="31" spans="1:16">
      <c r="C31" t="s">
        <v>25</v>
      </c>
      <c r="D31" s="1">
        <f t="shared" ref="D31:P31" si="6">D30/(1+$B$11)^D22</f>
        <v>0</v>
      </c>
      <c r="E31" s="1">
        <f t="shared" si="6"/>
        <v>0</v>
      </c>
      <c r="F31" s="1">
        <f t="shared" si="6"/>
        <v>0</v>
      </c>
      <c r="G31" s="1">
        <f t="shared" si="6"/>
        <v>0</v>
      </c>
      <c r="H31" s="1">
        <f t="shared" si="6"/>
        <v>0</v>
      </c>
      <c r="I31" s="1">
        <f t="shared" si="6"/>
        <v>0</v>
      </c>
      <c r="J31" s="1">
        <f t="shared" si="6"/>
        <v>0</v>
      </c>
      <c r="K31" s="1">
        <f t="shared" si="6"/>
        <v>0</v>
      </c>
      <c r="L31" s="1">
        <f t="shared" si="6"/>
        <v>0</v>
      </c>
      <c r="M31" s="1">
        <f t="shared" si="6"/>
        <v>0</v>
      </c>
      <c r="N31" s="1">
        <f t="shared" si="6"/>
        <v>0</v>
      </c>
      <c r="O31" s="1">
        <f t="shared" si="6"/>
        <v>0</v>
      </c>
      <c r="P31" s="1">
        <f t="shared" si="6"/>
        <v>0</v>
      </c>
    </row>
    <row r="33" spans="2:29">
      <c r="C33" t="s">
        <v>26</v>
      </c>
      <c r="D33" s="1">
        <f>SUM(D31:P31)</f>
        <v>0</v>
      </c>
    </row>
    <row r="34" spans="2:29">
      <c r="C34" t="s">
        <v>27</v>
      </c>
      <c r="D34" s="5">
        <f>NPV(B11,E30:P30)+D30</f>
        <v>0</v>
      </c>
    </row>
    <row r="36" spans="2:29">
      <c r="C36" t="s">
        <v>23</v>
      </c>
      <c r="D36" s="3" t="e">
        <f>IRR(D30:P30)</f>
        <v>#NUM!</v>
      </c>
      <c r="J36" s="1"/>
    </row>
    <row r="37" spans="2:29">
      <c r="B37" s="7" t="s">
        <v>29</v>
      </c>
      <c r="C37" t="s">
        <v>28</v>
      </c>
      <c r="D37" s="3" t="e">
        <f>MIRR(D30:K30,B11,B11)</f>
        <v>#DIV/0!</v>
      </c>
    </row>
    <row r="39" spans="2:29">
      <c r="C39" t="s">
        <v>32</v>
      </c>
      <c r="D39" s="1">
        <f>SUM(E43:K43)</f>
        <v>0</v>
      </c>
    </row>
    <row r="40" spans="2:29">
      <c r="C40" t="s">
        <v>47</v>
      </c>
      <c r="D40" s="3">
        <v>8.7919640862697615E-2</v>
      </c>
      <c r="F40" s="1"/>
    </row>
    <row r="41" spans="2:29">
      <c r="C41" t="s">
        <v>31</v>
      </c>
      <c r="D41">
        <f>D30+D39/(1+D40)^B7</f>
        <v>0</v>
      </c>
    </row>
    <row r="43" spans="2:29">
      <c r="C43" t="s">
        <v>30</v>
      </c>
      <c r="D43" s="4"/>
      <c r="E43" s="1">
        <f t="shared" ref="E43:K43" si="7">E30*(1+$B$11)^($B$7-E22)</f>
        <v>0</v>
      </c>
      <c r="F43" s="1">
        <f t="shared" si="7"/>
        <v>0</v>
      </c>
      <c r="G43" s="1">
        <f t="shared" si="7"/>
        <v>0</v>
      </c>
      <c r="H43" s="1">
        <f t="shared" si="7"/>
        <v>0</v>
      </c>
      <c r="I43" s="1">
        <f t="shared" si="7"/>
        <v>0</v>
      </c>
      <c r="J43" s="1">
        <f t="shared" si="7"/>
        <v>0</v>
      </c>
      <c r="K43" s="1">
        <f t="shared" si="7"/>
        <v>0</v>
      </c>
    </row>
    <row r="44" spans="2:29">
      <c r="E44" s="2"/>
    </row>
    <row r="45" spans="2:29">
      <c r="C45" t="s">
        <v>38</v>
      </c>
      <c r="D45" s="5" t="e">
        <f>-PMT(B11,B7,D34)</f>
        <v>#NUM!</v>
      </c>
    </row>
    <row r="47" spans="2:29">
      <c r="C47" t="s">
        <v>33</v>
      </c>
    </row>
    <row r="48" spans="2:29">
      <c r="C48" t="s">
        <v>34</v>
      </c>
      <c r="D48" s="3">
        <v>0</v>
      </c>
      <c r="E48" s="3">
        <v>0.01</v>
      </c>
      <c r="F48" s="3">
        <v>0.02</v>
      </c>
      <c r="G48" s="3">
        <v>0.03</v>
      </c>
      <c r="H48" s="3">
        <v>0.04</v>
      </c>
      <c r="I48" s="3">
        <f>H48+0.01</f>
        <v>0.05</v>
      </c>
      <c r="J48" s="3">
        <f t="shared" ref="J48:AC48" si="8">I48+0.01</f>
        <v>6.0000000000000005E-2</v>
      </c>
      <c r="K48" s="3">
        <f t="shared" si="8"/>
        <v>7.0000000000000007E-2</v>
      </c>
      <c r="L48" s="3">
        <f t="shared" si="8"/>
        <v>0.08</v>
      </c>
      <c r="M48" s="3">
        <f t="shared" si="8"/>
        <v>0.09</v>
      </c>
      <c r="N48" s="3">
        <f t="shared" si="8"/>
        <v>9.9999999999999992E-2</v>
      </c>
      <c r="O48" s="3">
        <f t="shared" si="8"/>
        <v>0.10999999999999999</v>
      </c>
      <c r="P48" s="3">
        <f t="shared" si="8"/>
        <v>0.11999999999999998</v>
      </c>
      <c r="Q48" s="3">
        <f t="shared" si="8"/>
        <v>0.12999999999999998</v>
      </c>
      <c r="R48" s="3">
        <f t="shared" si="8"/>
        <v>0.13999999999999999</v>
      </c>
      <c r="S48" s="3">
        <f t="shared" si="8"/>
        <v>0.15</v>
      </c>
      <c r="T48" s="3">
        <f t="shared" si="8"/>
        <v>0.16</v>
      </c>
      <c r="U48" s="3">
        <f t="shared" si="8"/>
        <v>0.17</v>
      </c>
      <c r="V48" s="3">
        <f t="shared" si="8"/>
        <v>0.18000000000000002</v>
      </c>
      <c r="W48" s="3">
        <f t="shared" si="8"/>
        <v>0.19000000000000003</v>
      </c>
      <c r="X48" s="3">
        <f t="shared" si="8"/>
        <v>0.20000000000000004</v>
      </c>
      <c r="Y48" s="3">
        <f t="shared" si="8"/>
        <v>0.21000000000000005</v>
      </c>
      <c r="Z48" s="3">
        <f t="shared" si="8"/>
        <v>0.22000000000000006</v>
      </c>
      <c r="AA48" s="3">
        <f t="shared" si="8"/>
        <v>0.23000000000000007</v>
      </c>
      <c r="AB48" s="3">
        <f t="shared" si="8"/>
        <v>0.24000000000000007</v>
      </c>
      <c r="AC48" s="3">
        <f t="shared" si="8"/>
        <v>0.25000000000000006</v>
      </c>
    </row>
    <row r="49" spans="3:29">
      <c r="C49" t="s">
        <v>21</v>
      </c>
      <c r="D49" s="5">
        <f>NPV(D48,$E$30:$K$30)+$D$30</f>
        <v>0</v>
      </c>
      <c r="E49" s="5">
        <f t="shared" ref="E49:Q49" si="9">NPV(E48,$E$30:$K$30)+$D$30</f>
        <v>0</v>
      </c>
      <c r="F49" s="5">
        <f t="shared" si="9"/>
        <v>0</v>
      </c>
      <c r="G49" s="5">
        <f t="shared" si="9"/>
        <v>0</v>
      </c>
      <c r="H49" s="5">
        <f t="shared" si="9"/>
        <v>0</v>
      </c>
      <c r="I49" s="5">
        <f t="shared" si="9"/>
        <v>0</v>
      </c>
      <c r="J49" s="5">
        <f t="shared" si="9"/>
        <v>0</v>
      </c>
      <c r="K49" s="5">
        <f t="shared" si="9"/>
        <v>0</v>
      </c>
      <c r="L49" s="5">
        <f t="shared" si="9"/>
        <v>0</v>
      </c>
      <c r="M49" s="5">
        <f t="shared" si="9"/>
        <v>0</v>
      </c>
      <c r="N49" s="5">
        <f t="shared" si="9"/>
        <v>0</v>
      </c>
      <c r="O49" s="5">
        <f t="shared" si="9"/>
        <v>0</v>
      </c>
      <c r="P49" s="5">
        <f t="shared" si="9"/>
        <v>0</v>
      </c>
      <c r="Q49" s="5">
        <f t="shared" si="9"/>
        <v>0</v>
      </c>
      <c r="R49" s="5">
        <f t="shared" ref="R49" si="10">NPV(R48,$E$30:$K$30)+$D$30</f>
        <v>0</v>
      </c>
      <c r="S49" s="5">
        <f t="shared" ref="S49" si="11">NPV(S48,$E$30:$K$30)+$D$30</f>
        <v>0</v>
      </c>
      <c r="T49" s="5">
        <f t="shared" ref="T49" si="12">NPV(T48,$E$30:$K$30)+$D$30</f>
        <v>0</v>
      </c>
      <c r="U49" s="5">
        <f t="shared" ref="U49" si="13">NPV(U48,$E$30:$K$30)+$D$30</f>
        <v>0</v>
      </c>
      <c r="V49" s="5">
        <f t="shared" ref="V49" si="14">NPV(V48,$E$30:$K$30)+$D$30</f>
        <v>0</v>
      </c>
      <c r="W49" s="5">
        <f t="shared" ref="W49" si="15">NPV(W48,$E$30:$K$30)+$D$30</f>
        <v>0</v>
      </c>
      <c r="X49" s="5">
        <f t="shared" ref="X49" si="16">NPV(X48,$E$30:$K$30)+$D$30</f>
        <v>0</v>
      </c>
      <c r="Y49" s="5">
        <f t="shared" ref="Y49" si="17">NPV(Y48,$E$30:$K$30)+$D$30</f>
        <v>0</v>
      </c>
      <c r="Z49" s="5">
        <f t="shared" ref="Z49" si="18">NPV(Z48,$E$30:$K$30)+$D$30</f>
        <v>0</v>
      </c>
      <c r="AA49" s="5">
        <f t="shared" ref="AA49" si="19">NPV(AA48,$E$30:$K$30)+$D$30</f>
        <v>0</v>
      </c>
      <c r="AB49" s="5">
        <f t="shared" ref="AB49" si="20">NPV(AB48,$E$30:$K$30)+$D$30</f>
        <v>0</v>
      </c>
      <c r="AC49" s="5">
        <f t="shared" ref="AC49" si="21">NPV(AC48,$E$30:$K$30)+$D$30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AB5"/>
  <sheetViews>
    <sheetView zoomScale="75" workbookViewId="0">
      <selection activeCell="B9" sqref="B9"/>
    </sheetView>
  </sheetViews>
  <sheetFormatPr baseColWidth="10" defaultColWidth="11" defaultRowHeight="16"/>
  <cols>
    <col min="3" max="3" width="14.33203125" bestFit="1" customWidth="1"/>
  </cols>
  <sheetData>
    <row r="3" spans="2:28">
      <c r="C3" s="3">
        <f>'Anlæg A'!D47</f>
        <v>0</v>
      </c>
      <c r="D3" s="3">
        <f>'Anlæg A'!E47</f>
        <v>0.01</v>
      </c>
      <c r="E3" s="3">
        <f>'Anlæg A'!F47</f>
        <v>0.02</v>
      </c>
      <c r="F3" s="3">
        <f>'Anlæg A'!G47</f>
        <v>0.03</v>
      </c>
      <c r="G3" s="3">
        <f>'Anlæg A'!H47</f>
        <v>0.04</v>
      </c>
      <c r="H3" s="3">
        <f>'Anlæg A'!I47</f>
        <v>0.05</v>
      </c>
      <c r="I3" s="3">
        <f>'Anlæg A'!J47</f>
        <v>6.0000000000000005E-2</v>
      </c>
      <c r="J3" s="3">
        <f>'Anlæg A'!K47</f>
        <v>7.0000000000000007E-2</v>
      </c>
      <c r="K3" s="3">
        <f>'Anlæg A'!L47</f>
        <v>0.08</v>
      </c>
      <c r="L3" s="3">
        <f>'Anlæg A'!M47</f>
        <v>0.09</v>
      </c>
      <c r="M3" s="3">
        <f>'Anlæg A'!N47</f>
        <v>9.9999999999999992E-2</v>
      </c>
      <c r="N3" s="3">
        <f>'Anlæg A'!O47</f>
        <v>0.10999999999999999</v>
      </c>
      <c r="O3" s="3">
        <f>'Anlæg A'!P47</f>
        <v>0.11999999999999998</v>
      </c>
      <c r="P3" s="3">
        <f>'Anlæg A'!Q47</f>
        <v>0.12999999999999998</v>
      </c>
      <c r="Q3" s="3">
        <f>'Anlæg A'!R47</f>
        <v>0.13999999999999999</v>
      </c>
      <c r="R3" s="3">
        <f>'Anlæg A'!S47</f>
        <v>0.15</v>
      </c>
      <c r="S3" s="3">
        <f>'Anlæg A'!T47</f>
        <v>0.16</v>
      </c>
      <c r="T3" s="3">
        <f>'Anlæg A'!U47</f>
        <v>0.17</v>
      </c>
      <c r="U3" s="3">
        <f>'Anlæg A'!V47</f>
        <v>0.18000000000000002</v>
      </c>
      <c r="V3" s="3">
        <f>'Anlæg A'!W47</f>
        <v>0.19000000000000003</v>
      </c>
      <c r="W3" s="3">
        <f>'Anlæg A'!X47</f>
        <v>0.20000000000000004</v>
      </c>
      <c r="X3" s="3">
        <f>'Anlæg A'!Y47</f>
        <v>0.21000000000000005</v>
      </c>
      <c r="Y3" s="3">
        <f>'Anlæg A'!Z47</f>
        <v>0.22000000000000006</v>
      </c>
      <c r="Z3" s="3">
        <f>'Anlæg A'!AA47</f>
        <v>0.23000000000000007</v>
      </c>
      <c r="AA3" s="3">
        <f>'Anlæg A'!AB47</f>
        <v>0.24000000000000007</v>
      </c>
      <c r="AB3" s="3">
        <f>'Anlæg A'!AC47</f>
        <v>0.25000000000000006</v>
      </c>
    </row>
    <row r="4" spans="2:28">
      <c r="B4" t="s">
        <v>40</v>
      </c>
      <c r="C4" s="1">
        <f>'Anlæg A'!D48</f>
        <v>193384</v>
      </c>
      <c r="D4" s="1">
        <f>'Anlæg A'!E48</f>
        <v>57719.787101446651</v>
      </c>
      <c r="E4" s="1">
        <f>'Anlæg A'!F48</f>
        <v>-72037.360386888497</v>
      </c>
      <c r="F4" s="1">
        <f>'Anlæg A'!G48</f>
        <v>-196222.21968891378</v>
      </c>
      <c r="G4" s="1">
        <f>'Anlæg A'!H48</f>
        <v>-315146.97514586803</v>
      </c>
      <c r="H4" s="1">
        <f>'Anlæg A'!I48</f>
        <v>-429102.95343562495</v>
      </c>
      <c r="I4" s="1">
        <f>'Anlæg A'!J48</f>
        <v>-538362.21124193165</v>
      </c>
      <c r="J4" s="1">
        <f>'Anlæg A'!K48</f>
        <v>-643178.98899990134</v>
      </c>
      <c r="K4" s="1">
        <f>'Anlæg A'!L48</f>
        <v>-743791.04299790133</v>
      </c>
      <c r="L4" s="1">
        <f>'Anlæg A'!M48</f>
        <v>-840420.86691024899</v>
      </c>
      <c r="M4" s="1">
        <f>'Anlæg A'!N48</f>
        <v>-933276.8127544024</v>
      </c>
      <c r="N4" s="1">
        <f>'Anlæg A'!O48</f>
        <v>-1022554.1202972867</v>
      </c>
      <c r="O4" s="1">
        <f>'Anlæg A'!P48</f>
        <v>-1108435.8630657932</v>
      </c>
      <c r="P4" s="1">
        <f>'Anlæg A'!Q48</f>
        <v>-1191093.8183358256</v>
      </c>
      <c r="Q4" s="1">
        <f>'Anlæg A'!R48</f>
        <v>-1270689.2677728459</v>
      </c>
      <c r="R4" s="1">
        <f>'Anlæg A'!S48</f>
        <v>-1347373.7347664502</v>
      </c>
      <c r="S4" s="1">
        <f>'Anlæg A'!T48</f>
        <v>-1421289.6639342615</v>
      </c>
      <c r="T4" s="1">
        <f>'Anlæg A'!U48</f>
        <v>-1492571.0477600181</v>
      </c>
      <c r="U4" s="1">
        <f>'Anlæg A'!V48</f>
        <v>-1561344.0048709163</v>
      </c>
      <c r="V4" s="1">
        <f>'Anlæg A'!W48</f>
        <v>-1627727.3140448667</v>
      </c>
      <c r="W4" s="1">
        <f>'Anlæg A'!X48</f>
        <v>-1691832.9076646087</v>
      </c>
      <c r="X4" s="1">
        <f>'Anlæg A'!Y48</f>
        <v>-1753766.3279983154</v>
      </c>
      <c r="Y4" s="1">
        <f>'Anlæg A'!Z48</f>
        <v>-1813627.149381774</v>
      </c>
      <c r="Z4" s="1">
        <f>'Anlæg A'!AA48</f>
        <v>-1871509.369101956</v>
      </c>
      <c r="AA4" s="1">
        <f>'Anlæg A'!AB48</f>
        <v>-1927501.7695328947</v>
      </c>
      <c r="AB4" s="1">
        <f>'Anlæg A'!AC48</f>
        <v>-1981688.2538496</v>
      </c>
    </row>
    <row r="5" spans="2:28">
      <c r="B5" t="s">
        <v>41</v>
      </c>
      <c r="C5" s="1">
        <f>'Anlæg B'!D47</f>
        <v>0</v>
      </c>
      <c r="D5" s="1">
        <f>'Anlæg B'!E47</f>
        <v>0</v>
      </c>
      <c r="E5" s="1">
        <f>'Anlæg B'!F47</f>
        <v>0</v>
      </c>
      <c r="F5" s="1">
        <f>'Anlæg B'!G47</f>
        <v>0</v>
      </c>
      <c r="G5" s="1">
        <f>'Anlæg B'!H47</f>
        <v>0</v>
      </c>
      <c r="H5" s="1">
        <f>'Anlæg B'!I47</f>
        <v>0</v>
      </c>
      <c r="I5" s="1">
        <f>'Anlæg B'!J47</f>
        <v>0</v>
      </c>
      <c r="J5" s="1">
        <f>'Anlæg B'!K47</f>
        <v>0</v>
      </c>
      <c r="K5" s="1">
        <f>'Anlæg B'!L47</f>
        <v>0</v>
      </c>
      <c r="L5" s="1">
        <f>'Anlæg B'!M47</f>
        <v>0</v>
      </c>
      <c r="M5" s="1">
        <f>'Anlæg B'!N47</f>
        <v>0</v>
      </c>
      <c r="N5" s="1">
        <f>'Anlæg B'!O47</f>
        <v>0</v>
      </c>
      <c r="O5" s="1">
        <f>'Anlæg B'!P47</f>
        <v>0</v>
      </c>
      <c r="P5" s="1">
        <f>'Anlæg B'!Q47</f>
        <v>0</v>
      </c>
      <c r="Q5" s="1">
        <f>'Anlæg B'!R47</f>
        <v>0</v>
      </c>
      <c r="R5" s="1">
        <f>'Anlæg B'!S47</f>
        <v>0</v>
      </c>
      <c r="S5" s="1">
        <f>'Anlæg B'!T47</f>
        <v>0</v>
      </c>
      <c r="T5" s="1">
        <f>'Anlæg B'!U47</f>
        <v>0</v>
      </c>
      <c r="U5" s="1">
        <f>'Anlæg B'!V47</f>
        <v>0</v>
      </c>
      <c r="V5" s="1">
        <f>'Anlæg B'!W47</f>
        <v>0</v>
      </c>
      <c r="W5" s="1">
        <f>'Anlæg B'!X47</f>
        <v>0</v>
      </c>
      <c r="X5" s="1">
        <f>'Anlæg B'!Y47</f>
        <v>0</v>
      </c>
      <c r="Y5" s="1">
        <f>'Anlæg B'!Z47</f>
        <v>0</v>
      </c>
      <c r="Z5" s="1">
        <f>'Anlæg B'!AA47</f>
        <v>0</v>
      </c>
      <c r="AA5" s="1">
        <f>'Anlæg B'!AB47</f>
        <v>0</v>
      </c>
      <c r="AB5" s="1">
        <f>'Anlæg B'!AC47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12"/>
  <sheetViews>
    <sheetView workbookViewId="0">
      <selection activeCell="C12" sqref="C12"/>
    </sheetView>
  </sheetViews>
  <sheetFormatPr baseColWidth="10" defaultColWidth="11" defaultRowHeight="16"/>
  <cols>
    <col min="1" max="1" width="12" customWidth="1"/>
    <col min="2" max="2" width="20" bestFit="1" customWidth="1"/>
    <col min="3" max="3" width="17.5" bestFit="1" customWidth="1"/>
    <col min="4" max="4" width="13.33203125" bestFit="1" customWidth="1"/>
    <col min="5" max="5" width="12.33203125" bestFit="1" customWidth="1"/>
    <col min="7" max="7" width="10.1640625" bestFit="1" customWidth="1"/>
  </cols>
  <sheetData>
    <row r="1" spans="2:12">
      <c r="B1" s="6" t="s">
        <v>45</v>
      </c>
    </row>
    <row r="2" spans="2:12">
      <c r="B2" t="s">
        <v>46</v>
      </c>
      <c r="C2">
        <v>7</v>
      </c>
    </row>
    <row r="4" spans="2:12">
      <c r="B4" t="s">
        <v>40</v>
      </c>
    </row>
    <row r="5" spans="2:12">
      <c r="B5" t="s">
        <v>42</v>
      </c>
      <c r="C5">
        <v>0</v>
      </c>
      <c r="D5">
        <f>C5+1</f>
        <v>1</v>
      </c>
      <c r="E5">
        <f t="shared" ref="E5:J5" si="0">D5+1</f>
        <v>2</v>
      </c>
      <c r="F5">
        <f t="shared" si="0"/>
        <v>3</v>
      </c>
      <c r="G5">
        <f t="shared" si="0"/>
        <v>4</v>
      </c>
      <c r="H5">
        <f t="shared" si="0"/>
        <v>5</v>
      </c>
      <c r="I5">
        <f t="shared" si="0"/>
        <v>6</v>
      </c>
      <c r="J5">
        <f t="shared" si="0"/>
        <v>7</v>
      </c>
      <c r="K5" s="1"/>
      <c r="L5" s="1"/>
    </row>
    <row r="6" spans="2:12">
      <c r="B6" t="s">
        <v>43</v>
      </c>
      <c r="C6" s="1">
        <f>SUM('Anlæg A'!D22:D26)</f>
        <v>-4950000</v>
      </c>
      <c r="D6" s="1">
        <f>SUM('Anlæg A'!E22:E26)+'Anlæg A'!$B$3*'Anlæg A'!$B$13*Kurs!$C$2</f>
        <v>-808088</v>
      </c>
      <c r="E6" s="1">
        <f>SUM('Anlæg A'!F22:F26)+'Anlæg A'!$B$3*'Anlæg A'!$B$13*Kurs!$C$2</f>
        <v>-808088</v>
      </c>
      <c r="F6" s="1">
        <f>SUM('Anlæg A'!G22:G26)+'Anlæg A'!$B$3*'Anlæg A'!$B$13*Kurs!$C$2</f>
        <v>-1308088</v>
      </c>
      <c r="G6" s="1">
        <f>SUM('Anlæg A'!H22:H26)+'Anlæg A'!$B$3*'Anlæg A'!$B$13*Kurs!$C$2</f>
        <v>-1608088</v>
      </c>
      <c r="H6" s="1">
        <f>SUM('Anlæg A'!I22:I26)+'Anlæg A'!$B$3*'Anlæg A'!$B$13*Kurs!$C$2</f>
        <v>-1908088</v>
      </c>
      <c r="I6" s="1">
        <f>SUM('Anlæg A'!J22:J26)+'Anlæg A'!$B$3*'Anlæg A'!$B$13*Kurs!$C$2</f>
        <v>-1308088</v>
      </c>
      <c r="J6" s="1">
        <f>SUM('Anlæg A'!K22:K26)+'Anlæg A'!$B$3*'Anlæg A'!$B$13*Kurs!$C$2</f>
        <v>-2508088</v>
      </c>
    </row>
    <row r="7" spans="2:12">
      <c r="B7" t="s">
        <v>44</v>
      </c>
      <c r="C7" s="9">
        <f>NPV('Anlæg A'!B11,Kurs!D6:J6)+C6</f>
        <v>-11643798.21167885</v>
      </c>
    </row>
    <row r="9" spans="2:12">
      <c r="B9" t="s">
        <v>41</v>
      </c>
    </row>
    <row r="10" spans="2:12">
      <c r="B10" t="s">
        <v>42</v>
      </c>
      <c r="C10">
        <f>C5</f>
        <v>0</v>
      </c>
      <c r="D10">
        <f t="shared" ref="D10:H10" si="1">D5</f>
        <v>1</v>
      </c>
      <c r="E10">
        <f t="shared" si="1"/>
        <v>2</v>
      </c>
      <c r="F10">
        <f t="shared" si="1"/>
        <v>3</v>
      </c>
      <c r="G10">
        <f t="shared" si="1"/>
        <v>4</v>
      </c>
      <c r="H10">
        <f t="shared" si="1"/>
        <v>5</v>
      </c>
    </row>
    <row r="11" spans="2:12">
      <c r="B11" t="s">
        <v>43</v>
      </c>
      <c r="C11" s="1">
        <f>SUM('Anlæg B'!D22:D25)</f>
        <v>0</v>
      </c>
      <c r="D11" s="1">
        <f>SUM('Anlæg B'!E22:E25)+'Anlæg B'!$B$13*'Anlæg B'!$B$3*Kurs!$C$2</f>
        <v>0</v>
      </c>
      <c r="E11" s="1">
        <f>SUM('Anlæg B'!F22:F25)+'Anlæg B'!$B$13*'Anlæg B'!$B$3*Kurs!$C$2</f>
        <v>0</v>
      </c>
      <c r="F11" s="1">
        <f>SUM('Anlæg B'!G22:G25)+'Anlæg B'!$B$13*'Anlæg B'!$B$3*Kurs!$C$2</f>
        <v>0</v>
      </c>
      <c r="G11" s="1">
        <f>SUM('Anlæg B'!H22:H25)+'Anlæg B'!$B$13*'Anlæg B'!$B$3*Kurs!$C$2</f>
        <v>0</v>
      </c>
      <c r="H11" s="1">
        <f>SUM('Anlæg B'!I22:I25)+'Anlæg B'!$B$13*'Anlæg B'!$B$3*Kurs!$C$2</f>
        <v>0</v>
      </c>
    </row>
    <row r="12" spans="2:12">
      <c r="B12" t="s">
        <v>44</v>
      </c>
      <c r="C12" s="1">
        <f>NPV('Anlæg B'!B11,Kurs!D11:H11)+Kurs!C11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D162"/>
  <sheetViews>
    <sheetView tabSelected="1" topLeftCell="Q16" zoomScale="84" zoomScaleNormal="80" workbookViewId="0">
      <selection activeCell="AA40" sqref="AA40"/>
    </sheetView>
  </sheetViews>
  <sheetFormatPr baseColWidth="10" defaultColWidth="8.83203125" defaultRowHeight="16"/>
  <cols>
    <col min="9" max="9" width="3.33203125" customWidth="1"/>
    <col min="10" max="10" width="2" customWidth="1"/>
    <col min="12" max="12" width="8.33203125" bestFit="1" customWidth="1"/>
    <col min="13" max="13" width="20.5" bestFit="1" customWidth="1"/>
    <col min="14" max="14" width="11.5" bestFit="1" customWidth="1"/>
    <col min="19" max="19" width="1.6640625" customWidth="1"/>
    <col min="20" max="20" width="1.5" customWidth="1"/>
    <col min="21" max="21" width="30.33203125" customWidth="1"/>
    <col min="22" max="22" width="14.1640625" customWidth="1"/>
    <col min="23" max="23" width="15.1640625" bestFit="1" customWidth="1"/>
    <col min="25" max="25" width="3.5" customWidth="1"/>
    <col min="26" max="26" width="1.6640625" customWidth="1"/>
    <col min="27" max="27" width="28.33203125" bestFit="1" customWidth="1"/>
  </cols>
  <sheetData>
    <row r="2" spans="2:30">
      <c r="B2" s="10" t="s">
        <v>51</v>
      </c>
    </row>
    <row r="4" spans="2:30">
      <c r="B4" s="11"/>
      <c r="C4" s="185" t="s">
        <v>52</v>
      </c>
      <c r="D4" s="185"/>
      <c r="E4" s="185" t="s">
        <v>53</v>
      </c>
      <c r="F4" s="185"/>
      <c r="G4" s="185" t="s">
        <v>54</v>
      </c>
      <c r="H4" s="186"/>
      <c r="K4" s="12"/>
      <c r="L4" s="29" t="s">
        <v>450</v>
      </c>
      <c r="M4" s="29" t="s">
        <v>451</v>
      </c>
      <c r="N4" s="29" t="s">
        <v>452</v>
      </c>
      <c r="O4" s="13"/>
      <c r="P4" s="29" t="s">
        <v>450</v>
      </c>
      <c r="Q4" s="29" t="s">
        <v>451</v>
      </c>
      <c r="R4" s="29" t="s">
        <v>452</v>
      </c>
    </row>
    <row r="5" spans="2:30" ht="34">
      <c r="B5" s="14"/>
      <c r="C5" s="15" t="s">
        <v>58</v>
      </c>
      <c r="D5" s="15" t="s">
        <v>59</v>
      </c>
      <c r="E5" s="15" t="s">
        <v>58</v>
      </c>
      <c r="F5" s="15" t="s">
        <v>59</v>
      </c>
      <c r="G5" s="15" t="s">
        <v>58</v>
      </c>
      <c r="H5" s="16" t="s">
        <v>59</v>
      </c>
      <c r="K5" s="17"/>
      <c r="L5" s="187" t="s">
        <v>60</v>
      </c>
      <c r="M5" s="188"/>
      <c r="N5" s="188"/>
      <c r="O5" s="18"/>
      <c r="P5" s="188" t="s">
        <v>61</v>
      </c>
      <c r="Q5" s="188"/>
      <c r="R5" s="189"/>
      <c r="U5" s="19"/>
      <c r="V5" s="20" t="s">
        <v>62</v>
      </c>
      <c r="W5" s="21" t="s">
        <v>63</v>
      </c>
      <c r="X5" s="21"/>
      <c r="AA5" s="22" t="s">
        <v>64</v>
      </c>
      <c r="AB5" s="23" t="str">
        <f>AA6</f>
        <v>Østbank A/S</v>
      </c>
      <c r="AC5" s="23" t="str">
        <f>AA7</f>
        <v>Vestbank A/S</v>
      </c>
      <c r="AD5" s="24" t="str">
        <f>AA8</f>
        <v>Landsbanken A/S</v>
      </c>
    </row>
    <row r="6" spans="2:30">
      <c r="B6" s="25">
        <v>2001</v>
      </c>
      <c r="C6" s="26">
        <v>204.6</v>
      </c>
      <c r="D6" s="26">
        <v>2.5</v>
      </c>
      <c r="E6" s="26">
        <v>27.5</v>
      </c>
      <c r="F6" s="26">
        <v>0.9</v>
      </c>
      <c r="G6" s="26">
        <v>1632</v>
      </c>
      <c r="H6" s="27">
        <v>51</v>
      </c>
      <c r="K6" s="28"/>
      <c r="L6" s="29" t="s">
        <v>65</v>
      </c>
      <c r="M6" s="29" t="s">
        <v>65</v>
      </c>
      <c r="N6" s="29" t="s">
        <v>65</v>
      </c>
      <c r="O6" s="30"/>
      <c r="P6" s="29" t="s">
        <v>65</v>
      </c>
      <c r="Q6" s="29" t="s">
        <v>65</v>
      </c>
      <c r="R6" s="31" t="s">
        <v>65</v>
      </c>
      <c r="T6" s="32" t="s">
        <v>66</v>
      </c>
      <c r="U6" s="33" t="s">
        <v>67</v>
      </c>
      <c r="V6" s="34">
        <f>V38</f>
        <v>3.3346153846153868E-3</v>
      </c>
      <c r="W6" s="34">
        <f>V39</f>
        <v>3.4671184752026872E-2</v>
      </c>
      <c r="AA6" s="35" t="str">
        <f>C4</f>
        <v>Østbank A/S</v>
      </c>
      <c r="AB6" s="36">
        <f>V40</f>
        <v>1.2020910521091809E-3</v>
      </c>
      <c r="AC6" s="36">
        <f>AB7</f>
        <v>3.5919387344913171E-4</v>
      </c>
      <c r="AD6" s="37">
        <f>W43</f>
        <v>4.0096468982630275E-5</v>
      </c>
    </row>
    <row r="7" spans="2:30">
      <c r="B7" s="38">
        <v>2002</v>
      </c>
      <c r="C7" s="39">
        <v>220.3</v>
      </c>
      <c r="D7" s="39">
        <v>4.5</v>
      </c>
      <c r="E7" s="39">
        <v>29.6</v>
      </c>
      <c r="F7" s="39">
        <v>0.9</v>
      </c>
      <c r="G7" s="39">
        <v>1669</v>
      </c>
      <c r="H7" s="40">
        <v>53</v>
      </c>
      <c r="K7" t="s">
        <v>294</v>
      </c>
      <c r="L7">
        <v>1.84E-2</v>
      </c>
      <c r="M7">
        <v>5.4300000000000001E-2</v>
      </c>
      <c r="N7">
        <v>2.9399999999999999E-2</v>
      </c>
      <c r="O7" s="42"/>
      <c r="P7" s="41">
        <f>L7+1</f>
        <v>1.0184</v>
      </c>
      <c r="Q7" s="41">
        <f t="shared" ref="Q7:R20" si="0">M7+1</f>
        <v>1.0543</v>
      </c>
      <c r="R7" s="43">
        <f t="shared" si="0"/>
        <v>1.0294000000000001</v>
      </c>
      <c r="U7" s="44" t="s">
        <v>68</v>
      </c>
      <c r="V7" s="41">
        <f>V38*W11+W38*W12</f>
        <v>4.1746794871794883E-3</v>
      </c>
      <c r="W7" s="34">
        <f>(W11^2*V40+W12^2*W40+2*W11*W12*V43)^(1/2)</f>
        <v>3.2155871132402959E-2</v>
      </c>
      <c r="AA7" s="35" t="str">
        <f>E4</f>
        <v>Vestbank A/S</v>
      </c>
      <c r="AB7" s="36">
        <f>V43</f>
        <v>3.5919387344913171E-4</v>
      </c>
      <c r="AC7" s="36">
        <f>W40</f>
        <v>2.2155213941273785E-3</v>
      </c>
      <c r="AD7" s="37">
        <f>X43</f>
        <v>-2.799058325062034E-4</v>
      </c>
    </row>
    <row r="8" spans="2:30">
      <c r="B8" s="38">
        <v>2003</v>
      </c>
      <c r="C8" s="39">
        <v>220.2</v>
      </c>
      <c r="D8" s="39">
        <v>5.6</v>
      </c>
      <c r="E8" s="39">
        <v>30</v>
      </c>
      <c r="F8" s="39">
        <v>0.8</v>
      </c>
      <c r="G8" s="39">
        <v>1590.6</v>
      </c>
      <c r="H8" s="40">
        <v>55.2</v>
      </c>
      <c r="K8" t="s">
        <v>295</v>
      </c>
      <c r="L8">
        <v>-1.9800000000000002E-2</v>
      </c>
      <c r="M8">
        <v>-4.9599999999999998E-2</v>
      </c>
      <c r="N8">
        <v>1.4500000000000001E-2</v>
      </c>
      <c r="O8" s="42"/>
      <c r="P8" s="41">
        <f t="shared" ref="P8:P21" si="1">L8+1</f>
        <v>0.98019999999999996</v>
      </c>
      <c r="Q8" s="41">
        <f t="shared" si="0"/>
        <v>0.95040000000000002</v>
      </c>
      <c r="R8" s="43">
        <f t="shared" si="0"/>
        <v>1.0145</v>
      </c>
      <c r="U8" s="44" t="s">
        <v>69</v>
      </c>
      <c r="V8" s="34">
        <f>V38*X11+X38*X13</f>
        <v>4.2855769230769249E-3</v>
      </c>
      <c r="W8" s="34">
        <f>(X11^2*V40+X13^2*X40+2*X11*X13*W43)^(1/2)</f>
        <v>2.9594067632210532E-2</v>
      </c>
      <c r="AA8" s="45" t="str">
        <f>G4</f>
        <v>Landsbanken A/S</v>
      </c>
      <c r="AB8" s="46">
        <f>AD6</f>
        <v>4.0096468982630275E-5</v>
      </c>
      <c r="AC8" s="46">
        <f>AD7</f>
        <v>-2.799058325062034E-4</v>
      </c>
      <c r="AD8" s="47">
        <f>X40</f>
        <v>2.2209513660049634E-3</v>
      </c>
    </row>
    <row r="9" spans="2:30">
      <c r="B9" s="38">
        <v>2004</v>
      </c>
      <c r="C9" s="39">
        <v>226.2</v>
      </c>
      <c r="D9" s="39">
        <v>5.6</v>
      </c>
      <c r="E9" s="39">
        <v>30.8</v>
      </c>
      <c r="F9" s="39">
        <v>0.8</v>
      </c>
      <c r="G9" s="39">
        <v>1804.6</v>
      </c>
      <c r="H9" s="40">
        <v>57.4</v>
      </c>
      <c r="K9" t="s">
        <v>296</v>
      </c>
      <c r="L9">
        <v>-7.3499999999999996E-2</v>
      </c>
      <c r="M9">
        <v>-2E-3</v>
      </c>
      <c r="N9">
        <v>-4.41E-2</v>
      </c>
      <c r="O9" s="42"/>
      <c r="P9" s="41">
        <f t="shared" si="1"/>
        <v>0.92649999999999999</v>
      </c>
      <c r="Q9" s="41">
        <f t="shared" si="0"/>
        <v>0.998</v>
      </c>
      <c r="R9" s="43">
        <f t="shared" si="0"/>
        <v>0.95589999999999997</v>
      </c>
      <c r="AA9" s="48"/>
      <c r="AB9" s="49"/>
      <c r="AC9" s="49"/>
      <c r="AD9" s="50"/>
    </row>
    <row r="10" spans="2:30">
      <c r="B10" s="38">
        <v>2005</v>
      </c>
      <c r="C10" s="39">
        <v>263</v>
      </c>
      <c r="D10" s="39">
        <v>5.8</v>
      </c>
      <c r="E10" s="39">
        <v>37.200000000000003</v>
      </c>
      <c r="F10" s="39">
        <v>0.8</v>
      </c>
      <c r="G10" s="39">
        <v>2172.6999999999998</v>
      </c>
      <c r="H10" s="40">
        <v>59.7</v>
      </c>
      <c r="K10" t="s">
        <v>297</v>
      </c>
      <c r="L10">
        <v>-2.47E-2</v>
      </c>
      <c r="M10">
        <v>2.9399999999999999E-2</v>
      </c>
      <c r="N10">
        <v>0.1275</v>
      </c>
      <c r="O10" s="42"/>
      <c r="P10" s="41">
        <f t="shared" si="1"/>
        <v>0.97530000000000006</v>
      </c>
      <c r="Q10" s="41">
        <f t="shared" si="0"/>
        <v>1.0294000000000001</v>
      </c>
      <c r="R10" s="43">
        <f t="shared" si="0"/>
        <v>1.1274999999999999</v>
      </c>
      <c r="U10" s="51" t="s">
        <v>50</v>
      </c>
      <c r="V10" s="52" t="s">
        <v>70</v>
      </c>
      <c r="W10" s="52" t="s">
        <v>71</v>
      </c>
      <c r="X10" s="52" t="s">
        <v>72</v>
      </c>
      <c r="AA10" s="49"/>
      <c r="AB10" s="49"/>
      <c r="AC10" s="49"/>
      <c r="AD10" s="50"/>
    </row>
    <row r="11" spans="2:30">
      <c r="B11" s="38">
        <v>2006</v>
      </c>
      <c r="C11" s="39">
        <v>246.6</v>
      </c>
      <c r="D11" s="39">
        <v>5.8</v>
      </c>
      <c r="E11" s="39">
        <v>34.799999999999997</v>
      </c>
      <c r="F11" s="39">
        <v>1</v>
      </c>
      <c r="G11" s="39">
        <v>2385.3000000000002</v>
      </c>
      <c r="H11" s="40">
        <v>62</v>
      </c>
      <c r="K11" t="s">
        <v>298</v>
      </c>
      <c r="L11">
        <v>-1.8100000000000002E-2</v>
      </c>
      <c r="M11">
        <v>0.1077</v>
      </c>
      <c r="N11">
        <v>-6.7999999999999991E-2</v>
      </c>
      <c r="O11" s="42"/>
      <c r="P11" s="41">
        <f t="shared" si="1"/>
        <v>0.9819</v>
      </c>
      <c r="Q11" s="41">
        <f t="shared" si="0"/>
        <v>1.1076999999999999</v>
      </c>
      <c r="R11" s="43">
        <f t="shared" si="0"/>
        <v>0.93200000000000005</v>
      </c>
      <c r="U11" s="53" t="s">
        <v>55</v>
      </c>
      <c r="V11" s="54">
        <v>1</v>
      </c>
      <c r="W11" s="54">
        <v>0.5</v>
      </c>
      <c r="X11" s="54">
        <v>0.5</v>
      </c>
      <c r="AA11" s="55" t="s">
        <v>73</v>
      </c>
      <c r="AB11" s="56">
        <f>AA12</f>
        <v>0.5</v>
      </c>
      <c r="AC11" s="56">
        <f>AA13</f>
        <v>0.5</v>
      </c>
      <c r="AD11" s="57">
        <f>AA14</f>
        <v>0</v>
      </c>
    </row>
    <row r="12" spans="2:30">
      <c r="B12" s="38">
        <v>2007</v>
      </c>
      <c r="C12" s="39">
        <v>286.39999999999998</v>
      </c>
      <c r="D12" s="39">
        <v>5.8</v>
      </c>
      <c r="E12" s="39">
        <v>39.1</v>
      </c>
      <c r="F12" s="39">
        <v>1</v>
      </c>
      <c r="G12" s="39">
        <v>2581.5</v>
      </c>
      <c r="H12" s="40">
        <v>64.5</v>
      </c>
      <c r="K12" t="s">
        <v>299</v>
      </c>
      <c r="L12">
        <v>2.6099999999999998E-2</v>
      </c>
      <c r="M12">
        <v>1.3899999999999999E-2</v>
      </c>
      <c r="N12">
        <v>-7.7000000000000002E-3</v>
      </c>
      <c r="O12" s="42"/>
      <c r="P12" s="41">
        <f t="shared" si="1"/>
        <v>1.0261</v>
      </c>
      <c r="Q12" s="41">
        <f t="shared" si="0"/>
        <v>1.0139</v>
      </c>
      <c r="R12" s="43">
        <f t="shared" si="0"/>
        <v>0.99229999999999996</v>
      </c>
      <c r="U12" s="44" t="s">
        <v>56</v>
      </c>
      <c r="V12" s="54">
        <v>0</v>
      </c>
      <c r="W12" s="54">
        <v>0.5</v>
      </c>
      <c r="X12" s="54">
        <v>0</v>
      </c>
      <c r="AA12" s="35">
        <v>0.5</v>
      </c>
      <c r="AB12" s="36">
        <f>AB11*$AA$12*AB6</f>
        <v>3.0052276302729522E-4</v>
      </c>
      <c r="AC12" s="36">
        <f>AC11*$AA$12*AC6</f>
        <v>8.9798468362282927E-5</v>
      </c>
      <c r="AD12" s="37">
        <f t="shared" ref="AD12" si="2">AD11*$AA$12*AD6</f>
        <v>0</v>
      </c>
    </row>
    <row r="13" spans="2:30">
      <c r="B13" s="38">
        <v>2008</v>
      </c>
      <c r="C13" s="39">
        <v>329.6</v>
      </c>
      <c r="D13" s="39">
        <v>5.8</v>
      </c>
      <c r="E13" s="39">
        <v>43.7</v>
      </c>
      <c r="F13" s="39">
        <v>1</v>
      </c>
      <c r="G13" s="39">
        <v>2061.9</v>
      </c>
      <c r="H13" s="40">
        <v>67.099999999999994</v>
      </c>
      <c r="K13" t="s">
        <v>300</v>
      </c>
      <c r="L13">
        <v>8.8000000000000005E-3</v>
      </c>
      <c r="M13">
        <v>2.5499999999999998E-2</v>
      </c>
      <c r="N13">
        <v>6.1200000000000004E-2</v>
      </c>
      <c r="O13" s="42"/>
      <c r="P13" s="41">
        <f t="shared" si="1"/>
        <v>1.0087999999999999</v>
      </c>
      <c r="Q13" s="41">
        <f t="shared" si="0"/>
        <v>1.0255000000000001</v>
      </c>
      <c r="R13" s="43">
        <f t="shared" si="0"/>
        <v>1.0611999999999999</v>
      </c>
      <c r="U13" s="44" t="s">
        <v>57</v>
      </c>
      <c r="V13" s="54">
        <f>1-V11-V12</f>
        <v>0</v>
      </c>
      <c r="W13" s="54">
        <f t="shared" ref="W13:X13" si="3">1-W11-W12</f>
        <v>0</v>
      </c>
      <c r="X13" s="54">
        <f t="shared" si="3"/>
        <v>0.5</v>
      </c>
      <c r="AA13" s="35">
        <v>0.5</v>
      </c>
      <c r="AB13" s="36">
        <f>$AA$13*AB11*AB7</f>
        <v>8.9798468362282927E-5</v>
      </c>
      <c r="AC13" s="36">
        <f t="shared" ref="AC13:AD13" si="4">$AA$13*AC11*AC7</f>
        <v>5.5388034853184464E-4</v>
      </c>
      <c r="AD13" s="37">
        <f t="shared" si="4"/>
        <v>0</v>
      </c>
    </row>
    <row r="14" spans="2:30">
      <c r="B14" s="38">
        <v>2009</v>
      </c>
      <c r="C14" s="39">
        <v>322.8</v>
      </c>
      <c r="D14" s="39">
        <v>5.4</v>
      </c>
      <c r="E14" s="39">
        <v>42.9</v>
      </c>
      <c r="F14" s="39">
        <v>1.2</v>
      </c>
      <c r="G14" s="39">
        <v>1883.3</v>
      </c>
      <c r="H14" s="40">
        <v>69.8</v>
      </c>
      <c r="K14" t="s">
        <v>301</v>
      </c>
      <c r="L14">
        <v>1.61E-2</v>
      </c>
      <c r="M14">
        <v>4.2599999999999999E-2</v>
      </c>
      <c r="N14">
        <v>1.7299999999999999E-2</v>
      </c>
      <c r="O14" s="42"/>
      <c r="P14" s="41">
        <f t="shared" si="1"/>
        <v>1.0161</v>
      </c>
      <c r="Q14" s="41">
        <f t="shared" si="0"/>
        <v>1.0426</v>
      </c>
      <c r="R14" s="43">
        <f t="shared" si="0"/>
        <v>1.0173000000000001</v>
      </c>
      <c r="AA14" s="45">
        <f>1-AA12-AA13</f>
        <v>0</v>
      </c>
      <c r="AB14" s="46">
        <f>$AA$14*AB11*AB8</f>
        <v>0</v>
      </c>
      <c r="AC14" s="46">
        <f t="shared" ref="AC14:AD14" si="5">$AA$14*AC11*AC8</f>
        <v>0</v>
      </c>
      <c r="AD14" s="47">
        <f t="shared" si="5"/>
        <v>0</v>
      </c>
    </row>
    <row r="15" spans="2:30">
      <c r="B15" s="38">
        <v>2010</v>
      </c>
      <c r="C15" s="39">
        <v>287.89999999999998</v>
      </c>
      <c r="D15" s="39">
        <v>5.4</v>
      </c>
      <c r="E15" s="39">
        <v>39.6</v>
      </c>
      <c r="F15" s="39">
        <v>1.2</v>
      </c>
      <c r="G15" s="39">
        <v>1637.3</v>
      </c>
      <c r="H15" s="40">
        <v>72.599999999999994</v>
      </c>
      <c r="K15" t="s">
        <v>302</v>
      </c>
      <c r="L15">
        <v>7.9200000000000007E-2</v>
      </c>
      <c r="M15">
        <v>-4.24E-2</v>
      </c>
      <c r="N15">
        <v>4.8899999999999999E-2</v>
      </c>
      <c r="O15" s="42"/>
      <c r="P15" s="41">
        <f t="shared" si="1"/>
        <v>1.0791999999999999</v>
      </c>
      <c r="Q15" s="41">
        <f t="shared" si="0"/>
        <v>0.95760000000000001</v>
      </c>
      <c r="R15" s="43">
        <f t="shared" si="0"/>
        <v>1.0488999999999999</v>
      </c>
    </row>
    <row r="16" spans="2:30">
      <c r="B16" s="38">
        <v>2011</v>
      </c>
      <c r="C16" s="39">
        <v>291</v>
      </c>
      <c r="D16" s="39">
        <v>7.5</v>
      </c>
      <c r="E16" s="39">
        <v>37.700000000000003</v>
      </c>
      <c r="F16" s="39">
        <v>0</v>
      </c>
      <c r="G16" s="39">
        <v>1857.6</v>
      </c>
      <c r="H16" s="40">
        <v>75.5</v>
      </c>
      <c r="K16" t="s">
        <v>303</v>
      </c>
      <c r="L16">
        <v>6.3999999999999994E-3</v>
      </c>
      <c r="M16">
        <v>-5.2999999999999999E-2</v>
      </c>
      <c r="N16">
        <v>-1.5099999999999999E-2</v>
      </c>
      <c r="O16" s="42"/>
      <c r="P16" s="41">
        <f t="shared" si="1"/>
        <v>1.0064</v>
      </c>
      <c r="Q16" s="41">
        <f t="shared" si="0"/>
        <v>0.94699999999999995</v>
      </c>
      <c r="R16" s="43">
        <f t="shared" si="0"/>
        <v>0.9849</v>
      </c>
      <c r="U16" s="58" t="s">
        <v>74</v>
      </c>
      <c r="V16" s="59">
        <v>2015</v>
      </c>
    </row>
    <row r="17" spans="2:30">
      <c r="B17" s="38">
        <v>2012</v>
      </c>
      <c r="C17" s="39">
        <v>264.10000000000002</v>
      </c>
      <c r="D17" s="39">
        <v>7.5</v>
      </c>
      <c r="E17" s="39">
        <v>34.700000000000003</v>
      </c>
      <c r="F17" s="39">
        <v>0</v>
      </c>
      <c r="G17" s="39">
        <v>1966.6</v>
      </c>
      <c r="H17" s="40">
        <v>78.5</v>
      </c>
      <c r="K17" t="s">
        <v>304</v>
      </c>
      <c r="L17">
        <v>5.5900000000000005E-2</v>
      </c>
      <c r="M17">
        <v>0.1149</v>
      </c>
      <c r="N17">
        <v>1.14E-2</v>
      </c>
      <c r="O17" s="42"/>
      <c r="P17" s="41">
        <f t="shared" si="1"/>
        <v>1.0559000000000001</v>
      </c>
      <c r="Q17" s="41">
        <f t="shared" si="0"/>
        <v>1.1149</v>
      </c>
      <c r="R17" s="43">
        <f t="shared" si="0"/>
        <v>1.0114000000000001</v>
      </c>
      <c r="U17" s="60" t="s">
        <v>75</v>
      </c>
      <c r="V17" s="61">
        <f>V20/(V18-V19)</f>
        <v>46.333333333333329</v>
      </c>
      <c r="AA17" s="62" t="s">
        <v>76</v>
      </c>
      <c r="AB17" s="190">
        <f>SUM(AB12:AD14)</f>
        <v>1.0340000482837058E-3</v>
      </c>
      <c r="AC17" s="191"/>
      <c r="AD17" s="192"/>
    </row>
    <row r="18" spans="2:30">
      <c r="B18" s="38">
        <v>2013</v>
      </c>
      <c r="C18" s="39">
        <v>291</v>
      </c>
      <c r="D18" s="39">
        <v>7.5</v>
      </c>
      <c r="E18" s="39">
        <v>38.4</v>
      </c>
      <c r="F18" s="39">
        <v>1.2</v>
      </c>
      <c r="G18" s="39">
        <v>2031.1</v>
      </c>
      <c r="H18" s="40">
        <v>81.7</v>
      </c>
      <c r="K18" t="s">
        <v>305</v>
      </c>
      <c r="L18">
        <v>-3.6999999999999997E-3</v>
      </c>
      <c r="M18">
        <v>0</v>
      </c>
      <c r="N18">
        <v>-3.1E-2</v>
      </c>
      <c r="O18" s="42"/>
      <c r="P18" s="41">
        <f t="shared" si="1"/>
        <v>0.99629999999999996</v>
      </c>
      <c r="Q18" s="41">
        <f t="shared" si="0"/>
        <v>1</v>
      </c>
      <c r="R18" s="43">
        <f t="shared" si="0"/>
        <v>0.96899999999999997</v>
      </c>
      <c r="U18" s="63" t="s">
        <v>77</v>
      </c>
      <c r="V18" s="64">
        <v>0.08</v>
      </c>
      <c r="AA18" s="65" t="s">
        <v>78</v>
      </c>
      <c r="AB18" s="182">
        <f>SQRT(AB17)</f>
        <v>3.2155871132402959E-2</v>
      </c>
      <c r="AC18" s="183"/>
      <c r="AD18" s="184"/>
    </row>
    <row r="19" spans="2:30">
      <c r="B19" s="38">
        <v>2014</v>
      </c>
      <c r="C19" s="39">
        <v>314.60000000000002</v>
      </c>
      <c r="D19" s="39">
        <v>0</v>
      </c>
      <c r="E19" s="39">
        <v>39.6</v>
      </c>
      <c r="F19" s="39">
        <v>1.3</v>
      </c>
      <c r="G19" s="39">
        <v>2281.5</v>
      </c>
      <c r="H19" s="40">
        <v>84.9</v>
      </c>
      <c r="K19" t="s">
        <v>306</v>
      </c>
      <c r="L19">
        <v>-1.7400000000000002E-2</v>
      </c>
      <c r="M19">
        <v>-9.0399999999999994E-2</v>
      </c>
      <c r="N19">
        <v>3.32E-2</v>
      </c>
      <c r="O19" s="42"/>
      <c r="P19" s="41">
        <f t="shared" si="1"/>
        <v>0.98260000000000003</v>
      </c>
      <c r="Q19" s="41">
        <f t="shared" si="0"/>
        <v>0.90959999999999996</v>
      </c>
      <c r="R19" s="43">
        <f t="shared" si="0"/>
        <v>1.0331999999999999</v>
      </c>
      <c r="U19" s="63" t="s">
        <v>79</v>
      </c>
      <c r="V19" s="64">
        <v>0.05</v>
      </c>
    </row>
    <row r="20" spans="2:30">
      <c r="B20" s="66">
        <v>2015</v>
      </c>
      <c r="C20" s="67">
        <v>365.8</v>
      </c>
      <c r="D20" s="67">
        <v>0</v>
      </c>
      <c r="E20" s="67">
        <v>44</v>
      </c>
      <c r="F20" s="67">
        <v>1.3</v>
      </c>
      <c r="G20" s="67">
        <v>2548.8000000000002</v>
      </c>
      <c r="H20" s="68">
        <v>88.3</v>
      </c>
      <c r="K20" t="s">
        <v>307</v>
      </c>
      <c r="L20">
        <v>3.6400000000000002E-2</v>
      </c>
      <c r="M20">
        <v>3.61E-2</v>
      </c>
      <c r="N20">
        <v>1.6399999999999998E-2</v>
      </c>
      <c r="O20" s="42"/>
      <c r="P20" s="41">
        <f t="shared" si="1"/>
        <v>1.0364</v>
      </c>
      <c r="Q20" s="41">
        <f t="shared" si="0"/>
        <v>1.0361</v>
      </c>
      <c r="R20" s="43">
        <f t="shared" si="0"/>
        <v>1.0164</v>
      </c>
      <c r="U20" s="69" t="s">
        <v>80</v>
      </c>
      <c r="V20" s="70">
        <v>1.39</v>
      </c>
    </row>
    <row r="21" spans="2:30">
      <c r="K21" t="s">
        <v>308</v>
      </c>
      <c r="L21">
        <v>-1.4899999999999998E-2</v>
      </c>
      <c r="M21">
        <v>1.8599999999999998E-2</v>
      </c>
      <c r="N21">
        <v>4.0000000000000002E-4</v>
      </c>
      <c r="O21" s="42"/>
      <c r="P21" s="41">
        <f t="shared" si="1"/>
        <v>0.98509999999999998</v>
      </c>
      <c r="Q21" s="41">
        <f t="shared" ref="Q21:Q84" si="6">M21+1</f>
        <v>1.0185999999999999</v>
      </c>
      <c r="R21" s="43">
        <f t="shared" ref="R21:R84" si="7">N21+1</f>
        <v>1.0004</v>
      </c>
      <c r="U21" s="71" t="s">
        <v>81</v>
      </c>
      <c r="V21" s="72">
        <f>V27/(1+V23)+V28/(1+V23)^2+V22/(1+V23)^2</f>
        <v>2382.0834816660731</v>
      </c>
    </row>
    <row r="22" spans="2:30">
      <c r="B22" t="s">
        <v>82</v>
      </c>
      <c r="K22" t="s">
        <v>309</v>
      </c>
      <c r="L22">
        <v>7.9299999999999995E-2</v>
      </c>
      <c r="M22">
        <v>6.0899999999999996E-2</v>
      </c>
      <c r="N22">
        <v>9.0000000000000011E-3</v>
      </c>
      <c r="O22" s="42"/>
      <c r="P22" s="41">
        <f t="shared" ref="P22:P85" si="8">L22+1</f>
        <v>1.0792999999999999</v>
      </c>
      <c r="Q22" s="41">
        <f t="shared" si="6"/>
        <v>1.0609</v>
      </c>
      <c r="R22" s="43">
        <f t="shared" si="7"/>
        <v>1.0089999999999999</v>
      </c>
      <c r="U22" s="75" t="s">
        <v>84</v>
      </c>
      <c r="V22" s="76">
        <f>V29/(V23-V25)</f>
        <v>2483.6240000000003</v>
      </c>
    </row>
    <row r="23" spans="2:30">
      <c r="K23" t="s">
        <v>310</v>
      </c>
      <c r="L23">
        <v>-1.7900000000000003E-2</v>
      </c>
      <c r="M23">
        <v>-2.41E-2</v>
      </c>
      <c r="N23">
        <v>-3.7499999999999999E-2</v>
      </c>
      <c r="O23" s="42"/>
      <c r="P23" s="41">
        <f t="shared" si="8"/>
        <v>0.98209999999999997</v>
      </c>
      <c r="Q23" s="41">
        <f t="shared" si="6"/>
        <v>0.97589999999999999</v>
      </c>
      <c r="R23" s="43">
        <f t="shared" si="7"/>
        <v>0.96250000000000002</v>
      </c>
      <c r="U23" s="63" t="s">
        <v>77</v>
      </c>
      <c r="V23" s="64">
        <v>0.06</v>
      </c>
    </row>
    <row r="24" spans="2:30">
      <c r="K24" t="s">
        <v>311</v>
      </c>
      <c r="L24">
        <v>2.0999999999999999E-3</v>
      </c>
      <c r="M24">
        <v>-4.4499999999999998E-2</v>
      </c>
      <c r="N24">
        <v>-1.7600000000000001E-2</v>
      </c>
      <c r="O24" s="42"/>
      <c r="P24" s="41">
        <f t="shared" si="8"/>
        <v>1.0021</v>
      </c>
      <c r="Q24" s="41">
        <f t="shared" si="6"/>
        <v>0.95550000000000002</v>
      </c>
      <c r="R24" s="43">
        <f t="shared" si="7"/>
        <v>0.98240000000000005</v>
      </c>
      <c r="U24" s="63" t="s">
        <v>87</v>
      </c>
      <c r="V24" s="64">
        <v>0.04</v>
      </c>
    </row>
    <row r="25" spans="2:30">
      <c r="K25" t="s">
        <v>312</v>
      </c>
      <c r="L25">
        <v>-4.0399999999999998E-2</v>
      </c>
      <c r="M25">
        <v>-5.62E-2</v>
      </c>
      <c r="N25">
        <v>1.5600000000000001E-2</v>
      </c>
      <c r="O25" s="42"/>
      <c r="P25" s="41">
        <f t="shared" si="8"/>
        <v>0.95960000000000001</v>
      </c>
      <c r="Q25" s="41">
        <f t="shared" si="6"/>
        <v>0.94379999999999997</v>
      </c>
      <c r="R25" s="43">
        <f t="shared" si="7"/>
        <v>1.0156000000000001</v>
      </c>
      <c r="U25" s="63" t="s">
        <v>89</v>
      </c>
      <c r="V25" s="64">
        <v>0.02</v>
      </c>
    </row>
    <row r="26" spans="2:30">
      <c r="K26" t="s">
        <v>313</v>
      </c>
      <c r="L26">
        <v>8.3000000000000004E-2</v>
      </c>
      <c r="M26">
        <v>-3.5000000000000001E-3</v>
      </c>
      <c r="N26">
        <v>-2.8E-3</v>
      </c>
      <c r="O26" s="42"/>
      <c r="P26" s="41">
        <f t="shared" si="8"/>
        <v>1.083</v>
      </c>
      <c r="Q26" s="41">
        <f t="shared" si="6"/>
        <v>0.99650000000000005</v>
      </c>
      <c r="R26" s="43">
        <f t="shared" si="7"/>
        <v>0.99719999999999998</v>
      </c>
      <c r="U26" s="63" t="s">
        <v>80</v>
      </c>
      <c r="V26" s="78"/>
    </row>
    <row r="27" spans="2:30">
      <c r="K27" t="s">
        <v>314</v>
      </c>
      <c r="L27">
        <v>4.6900000000000004E-2</v>
      </c>
      <c r="M27">
        <v>-2.6600000000000002E-2</v>
      </c>
      <c r="N27">
        <v>-3.3099999999999997E-2</v>
      </c>
      <c r="O27" s="42"/>
      <c r="P27" s="41">
        <f t="shared" si="8"/>
        <v>1.0468999999999999</v>
      </c>
      <c r="Q27" s="41">
        <f t="shared" si="6"/>
        <v>0.97340000000000004</v>
      </c>
      <c r="R27" s="43">
        <f t="shared" si="7"/>
        <v>0.96689999999999998</v>
      </c>
      <c r="U27" s="80" t="s">
        <v>91</v>
      </c>
      <c r="V27" s="81">
        <v>91.85</v>
      </c>
    </row>
    <row r="28" spans="2:30">
      <c r="K28" t="s">
        <v>315</v>
      </c>
      <c r="L28">
        <v>-1.9200000000000002E-2</v>
      </c>
      <c r="M28">
        <v>-7.0000000000000007E-2</v>
      </c>
      <c r="N28">
        <v>4.99E-2</v>
      </c>
      <c r="O28" s="42"/>
      <c r="P28" s="41">
        <f t="shared" si="8"/>
        <v>0.98080000000000001</v>
      </c>
      <c r="Q28" s="41">
        <f t="shared" si="6"/>
        <v>0.92999999999999994</v>
      </c>
      <c r="R28" s="43">
        <f t="shared" si="7"/>
        <v>1.0499000000000001</v>
      </c>
      <c r="U28" s="80" t="s">
        <v>95</v>
      </c>
      <c r="V28" s="81">
        <f>V27*(1+V24)</f>
        <v>95.524000000000001</v>
      </c>
    </row>
    <row r="29" spans="2:30">
      <c r="K29" t="s">
        <v>316</v>
      </c>
      <c r="L29">
        <v>5.2000000000000005E-2</v>
      </c>
      <c r="M29">
        <v>9.7599999999999992E-2</v>
      </c>
      <c r="N29">
        <v>-3.3399999999999999E-2</v>
      </c>
      <c r="O29" s="42"/>
      <c r="P29" s="41">
        <f t="shared" si="8"/>
        <v>1.052</v>
      </c>
      <c r="Q29" s="41">
        <f t="shared" si="6"/>
        <v>1.0975999999999999</v>
      </c>
      <c r="R29" s="43">
        <f t="shared" si="7"/>
        <v>0.96660000000000001</v>
      </c>
      <c r="U29" s="84" t="s">
        <v>97</v>
      </c>
      <c r="V29" s="70">
        <f>V27*(1+V24)^2</f>
        <v>99.34496</v>
      </c>
    </row>
    <row r="30" spans="2:30">
      <c r="K30" t="s">
        <v>317</v>
      </c>
      <c r="L30">
        <v>1.89E-2</v>
      </c>
      <c r="M30">
        <v>3.73E-2</v>
      </c>
      <c r="N30">
        <v>3.8400000000000004E-2</v>
      </c>
      <c r="O30" s="42"/>
      <c r="P30" s="41">
        <f t="shared" si="8"/>
        <v>1.0188999999999999</v>
      </c>
      <c r="Q30" s="41">
        <f t="shared" si="6"/>
        <v>1.0373000000000001</v>
      </c>
      <c r="R30" s="43">
        <f t="shared" si="7"/>
        <v>1.0384</v>
      </c>
    </row>
    <row r="31" spans="2:30">
      <c r="K31" t="s">
        <v>318</v>
      </c>
      <c r="L31">
        <v>-6.4299999999999996E-2</v>
      </c>
      <c r="M31">
        <v>-4.8800000000000003E-2</v>
      </c>
      <c r="N31">
        <v>-3.1200000000000002E-2</v>
      </c>
      <c r="O31" s="42"/>
      <c r="P31" s="41">
        <f t="shared" si="8"/>
        <v>0.93569999999999998</v>
      </c>
      <c r="Q31" s="41">
        <f t="shared" si="6"/>
        <v>0.95120000000000005</v>
      </c>
      <c r="R31" s="43">
        <f t="shared" si="7"/>
        <v>0.96879999999999999</v>
      </c>
    </row>
    <row r="32" spans="2:30">
      <c r="K32" t="s">
        <v>319</v>
      </c>
      <c r="L32">
        <v>-3.1299999999999994E-2</v>
      </c>
      <c r="M32">
        <v>-1.3299999999999999E-2</v>
      </c>
      <c r="N32">
        <v>-4.9599999999999998E-2</v>
      </c>
      <c r="O32" s="42"/>
      <c r="P32" s="41">
        <f t="shared" si="8"/>
        <v>0.96870000000000001</v>
      </c>
      <c r="Q32" s="41">
        <f t="shared" si="6"/>
        <v>0.98670000000000002</v>
      </c>
      <c r="R32" s="43">
        <f t="shared" si="7"/>
        <v>0.95040000000000002</v>
      </c>
    </row>
    <row r="33" spans="11:24">
      <c r="K33" t="s">
        <v>320</v>
      </c>
      <c r="L33">
        <v>-1.47E-2</v>
      </c>
      <c r="M33">
        <v>6.9999999999999988E-4</v>
      </c>
      <c r="N33">
        <v>3.7000000000000002E-3</v>
      </c>
      <c r="O33" s="42"/>
      <c r="P33" s="41">
        <f t="shared" si="8"/>
        <v>0.98529999999999995</v>
      </c>
      <c r="Q33" s="41">
        <f t="shared" si="6"/>
        <v>1.0006999999999999</v>
      </c>
      <c r="R33" s="43">
        <f t="shared" si="7"/>
        <v>1.0037</v>
      </c>
    </row>
    <row r="34" spans="11:24">
      <c r="K34" t="s">
        <v>321</v>
      </c>
      <c r="L34">
        <v>-1.17E-2</v>
      </c>
      <c r="M34">
        <v>-1.3999999999999999E-2</v>
      </c>
      <c r="N34">
        <v>9.06E-2</v>
      </c>
      <c r="O34" s="42"/>
      <c r="P34" s="41">
        <f t="shared" si="8"/>
        <v>0.98829999999999996</v>
      </c>
      <c r="Q34" s="41">
        <f t="shared" si="6"/>
        <v>0.98599999999999999</v>
      </c>
      <c r="R34" s="43">
        <f t="shared" si="7"/>
        <v>1.0906</v>
      </c>
    </row>
    <row r="35" spans="11:24">
      <c r="K35" t="s">
        <v>322</v>
      </c>
      <c r="L35">
        <v>-8.5599999999999996E-2</v>
      </c>
      <c r="M35">
        <v>6.7199999999999996E-2</v>
      </c>
      <c r="N35">
        <v>-6.2199999999999998E-2</v>
      </c>
      <c r="O35" s="42"/>
      <c r="P35" s="41">
        <f t="shared" si="8"/>
        <v>0.91439999999999999</v>
      </c>
      <c r="Q35" s="41">
        <f t="shared" si="6"/>
        <v>1.0671999999999999</v>
      </c>
      <c r="R35" s="43">
        <f t="shared" si="7"/>
        <v>0.93779999999999997</v>
      </c>
    </row>
    <row r="36" spans="11:24">
      <c r="K36" t="s">
        <v>323</v>
      </c>
      <c r="L36">
        <v>-3.39E-2</v>
      </c>
      <c r="M36">
        <v>-4.0399999999999998E-2</v>
      </c>
      <c r="N36">
        <v>-1.6400000000000001E-2</v>
      </c>
      <c r="O36" s="42"/>
      <c r="P36" s="41">
        <f t="shared" si="8"/>
        <v>0.96609999999999996</v>
      </c>
      <c r="Q36" s="41">
        <f t="shared" si="6"/>
        <v>0.95960000000000001</v>
      </c>
      <c r="R36" s="43">
        <f t="shared" si="7"/>
        <v>0.98360000000000003</v>
      </c>
      <c r="U36" s="73" t="s">
        <v>83</v>
      </c>
      <c r="V36" s="74">
        <f>PRODUCT(P7:P162)</f>
        <v>1.531868300623231</v>
      </c>
      <c r="W36" s="74">
        <f>PRODUCT(Q7:Q162)</f>
        <v>1.8416400136202637</v>
      </c>
      <c r="X36" s="74">
        <f>PRODUCT(R7:R162)</f>
        <v>1.9068348045800163</v>
      </c>
    </row>
    <row r="37" spans="11:24">
      <c r="K37" t="s">
        <v>324</v>
      </c>
      <c r="L37">
        <v>4.0800000000000003E-2</v>
      </c>
      <c r="M37">
        <v>-5.6300000000000003E-2</v>
      </c>
      <c r="N37">
        <v>-1.2999999999999999E-3</v>
      </c>
      <c r="O37" s="42"/>
      <c r="P37" s="41">
        <f t="shared" si="8"/>
        <v>1.0407999999999999</v>
      </c>
      <c r="Q37" s="41">
        <f t="shared" si="6"/>
        <v>0.94369999999999998</v>
      </c>
      <c r="R37" s="43">
        <f t="shared" si="7"/>
        <v>0.99870000000000003</v>
      </c>
      <c r="U37" s="73" t="s">
        <v>85</v>
      </c>
      <c r="V37" s="77">
        <f>PRODUCT(P7:P162)^(1/(COUNT(P7:P167)))-1</f>
        <v>2.737638596894687E-3</v>
      </c>
      <c r="W37" s="77">
        <f>PRODUCT(Q7:Q167)^(1/COUNT(Q7:Q167))-1</f>
        <v>3.9221361798129628E-3</v>
      </c>
      <c r="X37" s="77">
        <f>PRODUCT(R7:R167)^(1/COUNT(R7:R167))-1</f>
        <v>4.1460371360890758E-3</v>
      </c>
    </row>
    <row r="38" spans="11:24">
      <c r="K38" t="s">
        <v>325</v>
      </c>
      <c r="L38">
        <v>-6.8999999999999999E-3</v>
      </c>
      <c r="M38">
        <v>-3.6999999999999998E-2</v>
      </c>
      <c r="N38">
        <v>-5.1999999999999998E-2</v>
      </c>
      <c r="O38" s="42"/>
      <c r="P38" s="41">
        <f t="shared" si="8"/>
        <v>0.99309999999999998</v>
      </c>
      <c r="Q38" s="41">
        <f t="shared" si="6"/>
        <v>0.96299999999999997</v>
      </c>
      <c r="R38" s="43">
        <f t="shared" si="7"/>
        <v>0.94799999999999995</v>
      </c>
      <c r="U38" s="73" t="s">
        <v>86</v>
      </c>
      <c r="V38" s="77">
        <f>AVERAGE(L7:L167)</f>
        <v>3.3346153846153868E-3</v>
      </c>
      <c r="W38" s="77">
        <f>AVERAGE(M7:M167)</f>
        <v>5.0147435897435894E-3</v>
      </c>
      <c r="X38" s="77">
        <f>AVERAGE(N7:N167)</f>
        <v>5.2365384615384635E-3</v>
      </c>
    </row>
    <row r="39" spans="11:24">
      <c r="K39" t="s">
        <v>326</v>
      </c>
      <c r="L39">
        <v>3.1E-2</v>
      </c>
      <c r="M39">
        <v>3.0499999999999999E-2</v>
      </c>
      <c r="N39">
        <v>7.3999999999999995E-3</v>
      </c>
      <c r="O39" s="42"/>
      <c r="P39" s="41">
        <f t="shared" si="8"/>
        <v>1.0309999999999999</v>
      </c>
      <c r="Q39" s="41">
        <f t="shared" si="6"/>
        <v>1.0305</v>
      </c>
      <c r="R39" s="43">
        <f t="shared" si="7"/>
        <v>1.0074000000000001</v>
      </c>
      <c r="U39" s="73" t="s">
        <v>88</v>
      </c>
      <c r="V39" s="77">
        <f>_xlfn.STDEV.S(P7:P167)</f>
        <v>3.4671184752026872E-2</v>
      </c>
      <c r="W39" s="77">
        <f>_xlfn.STDEV.S(Q7:Q167)</f>
        <v>4.7069325405484391E-2</v>
      </c>
      <c r="X39" s="77">
        <f>_xlfn.STDEV.S(R7:R167)</f>
        <v>4.7126970685637787E-2</v>
      </c>
    </row>
    <row r="40" spans="11:24">
      <c r="K40" t="s">
        <v>327</v>
      </c>
      <c r="L40">
        <v>-1.46E-2</v>
      </c>
      <c r="M40">
        <v>-6.3399999999999998E-2</v>
      </c>
      <c r="N40">
        <v>-1.95E-2</v>
      </c>
      <c r="O40" s="42"/>
      <c r="P40" s="41">
        <f t="shared" si="8"/>
        <v>0.98540000000000005</v>
      </c>
      <c r="Q40" s="41">
        <f t="shared" si="6"/>
        <v>0.93659999999999999</v>
      </c>
      <c r="R40" s="43">
        <f t="shared" si="7"/>
        <v>0.98050000000000004</v>
      </c>
      <c r="U40" s="73" t="s">
        <v>90</v>
      </c>
      <c r="V40" s="77">
        <f>_xlfn.VAR.S(P7:P167)</f>
        <v>1.2020910521091809E-3</v>
      </c>
      <c r="W40" s="77">
        <f>_xlfn.VAR.S(Q7:Q167)</f>
        <v>2.2155213941273785E-3</v>
      </c>
      <c r="X40" s="77">
        <f>_xlfn.VAR.S(R7:R167)</f>
        <v>2.2209513660049634E-3</v>
      </c>
    </row>
    <row r="41" spans="11:24">
      <c r="K41" t="s">
        <v>328</v>
      </c>
      <c r="L41">
        <v>1.77E-2</v>
      </c>
      <c r="M41">
        <v>5.5899999999999998E-2</v>
      </c>
      <c r="N41">
        <v>3.1099999999999999E-2</v>
      </c>
      <c r="O41" s="42"/>
      <c r="P41" s="41">
        <f t="shared" si="8"/>
        <v>1.0177</v>
      </c>
      <c r="Q41" s="41">
        <f t="shared" si="6"/>
        <v>1.0559000000000001</v>
      </c>
      <c r="R41" s="43">
        <f t="shared" si="7"/>
        <v>1.0310999999999999</v>
      </c>
      <c r="U41" s="79"/>
      <c r="V41" s="77"/>
      <c r="W41" s="77"/>
      <c r="X41" s="77"/>
    </row>
    <row r="42" spans="11:24">
      <c r="K42" t="s">
        <v>329</v>
      </c>
      <c r="L42">
        <v>3.4700000000000002E-2</v>
      </c>
      <c r="M42">
        <v>3.2000000000000001E-2</v>
      </c>
      <c r="N42">
        <v>-2.9100000000000001E-2</v>
      </c>
      <c r="O42" s="42"/>
      <c r="P42" s="41">
        <f t="shared" si="8"/>
        <v>1.0347</v>
      </c>
      <c r="Q42" s="41">
        <f t="shared" si="6"/>
        <v>1.032</v>
      </c>
      <c r="R42" s="43">
        <f t="shared" si="7"/>
        <v>0.97089999999999999</v>
      </c>
      <c r="U42" s="79"/>
      <c r="V42" s="82" t="s">
        <v>92</v>
      </c>
      <c r="W42" s="82" t="s">
        <v>93</v>
      </c>
      <c r="X42" s="82" t="s">
        <v>94</v>
      </c>
    </row>
    <row r="43" spans="11:24">
      <c r="K43" t="s">
        <v>330</v>
      </c>
      <c r="L43">
        <v>1.1900000000000001E-2</v>
      </c>
      <c r="M43">
        <v>3.9399999999999998E-2</v>
      </c>
      <c r="N43">
        <v>6.0900000000000003E-2</v>
      </c>
      <c r="O43" s="42"/>
      <c r="P43" s="41">
        <f t="shared" si="8"/>
        <v>1.0119</v>
      </c>
      <c r="Q43" s="41">
        <f t="shared" si="6"/>
        <v>1.0394000000000001</v>
      </c>
      <c r="R43" s="43">
        <f t="shared" si="7"/>
        <v>1.0609</v>
      </c>
      <c r="U43" s="73" t="s">
        <v>96</v>
      </c>
      <c r="V43" s="83">
        <f>_xlfn.COVARIANCE.S(L7:L167,M7:M167)</f>
        <v>3.5919387344913171E-4</v>
      </c>
      <c r="W43" s="83">
        <f>_xlfn.COVARIANCE.S(L7:L167,N7:N167)</f>
        <v>4.0096468982630275E-5</v>
      </c>
      <c r="X43" s="83">
        <f>_xlfn.COVARIANCE.S(M7:M167,N7:N167)</f>
        <v>-2.799058325062034E-4</v>
      </c>
    </row>
    <row r="44" spans="11:24">
      <c r="K44" t="s">
        <v>331</v>
      </c>
      <c r="L44">
        <v>-2.53E-2</v>
      </c>
      <c r="M44">
        <v>3.7000000000000002E-3</v>
      </c>
      <c r="N44">
        <v>1.9999999999999993E-4</v>
      </c>
      <c r="O44" s="42"/>
      <c r="P44" s="41">
        <f t="shared" si="8"/>
        <v>0.97470000000000001</v>
      </c>
      <c r="Q44" s="41">
        <f t="shared" si="6"/>
        <v>1.0037</v>
      </c>
      <c r="R44" s="43">
        <f t="shared" si="7"/>
        <v>1.0002</v>
      </c>
      <c r="U44" s="73" t="s">
        <v>98</v>
      </c>
      <c r="V44" s="83">
        <f>CORREL(L7:L167,M7:M167)</f>
        <v>0.22010112596532744</v>
      </c>
      <c r="W44" s="83">
        <f>CORREL(L7:L167,N7:N167)</f>
        <v>2.4539625039409305E-2</v>
      </c>
      <c r="X44" s="83">
        <f>CORREL(M7:M167,N7:N167)</f>
        <v>-0.12618404633291566</v>
      </c>
    </row>
    <row r="45" spans="11:24">
      <c r="K45" t="s">
        <v>332</v>
      </c>
      <c r="L45">
        <v>-1.6400000000000001E-2</v>
      </c>
      <c r="M45">
        <v>1.43E-2</v>
      </c>
      <c r="N45">
        <v>4.6700000000000005E-2</v>
      </c>
      <c r="O45" s="42"/>
      <c r="P45" s="41">
        <f t="shared" si="8"/>
        <v>0.98360000000000003</v>
      </c>
      <c r="Q45" s="41">
        <f t="shared" si="6"/>
        <v>1.0143</v>
      </c>
      <c r="R45" s="43">
        <f t="shared" si="7"/>
        <v>1.0467</v>
      </c>
      <c r="V45" s="41"/>
      <c r="W45" s="41"/>
      <c r="X45" s="41"/>
    </row>
    <row r="46" spans="11:24" ht="19">
      <c r="K46" t="s">
        <v>333</v>
      </c>
      <c r="L46">
        <v>-6.1299999999999993E-2</v>
      </c>
      <c r="M46">
        <v>2.1100000000000001E-2</v>
      </c>
      <c r="N46">
        <v>-9.7999999999999997E-3</v>
      </c>
      <c r="O46" s="42"/>
      <c r="P46" s="41">
        <f t="shared" si="8"/>
        <v>0.93869999999999998</v>
      </c>
      <c r="Q46" s="41">
        <f t="shared" si="6"/>
        <v>1.0210999999999999</v>
      </c>
      <c r="R46" s="43">
        <f t="shared" si="7"/>
        <v>0.99019999999999997</v>
      </c>
      <c r="U46" s="85" t="s">
        <v>99</v>
      </c>
    </row>
    <row r="47" spans="11:24" ht="19">
      <c r="K47" t="s">
        <v>334</v>
      </c>
      <c r="L47">
        <v>-5.8999999999999997E-2</v>
      </c>
      <c r="M47">
        <v>1.3600000000000001E-2</v>
      </c>
      <c r="N47">
        <v>-2.4E-2</v>
      </c>
      <c r="O47" s="42"/>
      <c r="P47" s="41">
        <f t="shared" si="8"/>
        <v>0.94100000000000006</v>
      </c>
      <c r="Q47" s="41">
        <f t="shared" si="6"/>
        <v>1.0136000000000001</v>
      </c>
      <c r="R47" s="43">
        <f t="shared" si="7"/>
        <v>0.97599999999999998</v>
      </c>
      <c r="U47" s="85" t="s">
        <v>100</v>
      </c>
    </row>
    <row r="48" spans="11:24">
      <c r="K48" t="s">
        <v>335</v>
      </c>
      <c r="L48">
        <v>-1.9400000000000001E-2</v>
      </c>
      <c r="M48">
        <v>-1.8E-3</v>
      </c>
      <c r="N48">
        <v>2.92E-2</v>
      </c>
      <c r="O48" s="42"/>
      <c r="P48" s="41">
        <f t="shared" si="8"/>
        <v>0.98060000000000003</v>
      </c>
      <c r="Q48" s="41">
        <f t="shared" si="6"/>
        <v>0.99819999999999998</v>
      </c>
      <c r="R48" s="43">
        <f t="shared" si="7"/>
        <v>1.0291999999999999</v>
      </c>
    </row>
    <row r="49" spans="11:18">
      <c r="K49" t="s">
        <v>336</v>
      </c>
      <c r="L49">
        <v>1.77E-2</v>
      </c>
      <c r="M49">
        <v>-1.8000000000000002E-2</v>
      </c>
      <c r="N49">
        <v>-3.8899999999999997E-2</v>
      </c>
      <c r="O49" s="42"/>
      <c r="P49" s="41">
        <f t="shared" si="8"/>
        <v>1.0177</v>
      </c>
      <c r="Q49" s="41">
        <f t="shared" si="6"/>
        <v>0.98199999999999998</v>
      </c>
      <c r="R49" s="43">
        <f t="shared" si="7"/>
        <v>0.96109999999999995</v>
      </c>
    </row>
    <row r="50" spans="11:18">
      <c r="K50" t="s">
        <v>337</v>
      </c>
      <c r="L50">
        <v>1.4E-3</v>
      </c>
      <c r="M50">
        <v>2.2099999999999998E-2</v>
      </c>
      <c r="N50">
        <v>2.07E-2</v>
      </c>
      <c r="O50" s="42"/>
      <c r="P50" s="41">
        <f t="shared" si="8"/>
        <v>1.0014000000000001</v>
      </c>
      <c r="Q50" s="41">
        <f t="shared" si="6"/>
        <v>1.0221</v>
      </c>
      <c r="R50" s="43">
        <f t="shared" si="7"/>
        <v>1.0206999999999999</v>
      </c>
    </row>
    <row r="51" spans="11:18">
      <c r="K51" t="s">
        <v>338</v>
      </c>
      <c r="L51">
        <v>-1.1599999999999999E-2</v>
      </c>
      <c r="M51">
        <v>1.9199999999999998E-2</v>
      </c>
      <c r="N51">
        <v>-0.1003</v>
      </c>
      <c r="O51" s="42"/>
      <c r="P51" s="41">
        <f t="shared" si="8"/>
        <v>0.98839999999999995</v>
      </c>
      <c r="Q51" s="41">
        <f t="shared" si="6"/>
        <v>1.0192000000000001</v>
      </c>
      <c r="R51" s="43">
        <f t="shared" si="7"/>
        <v>0.89969999999999994</v>
      </c>
    </row>
    <row r="52" spans="11:18">
      <c r="K52" t="s">
        <v>339</v>
      </c>
      <c r="L52">
        <v>-4.9399999999999999E-2</v>
      </c>
      <c r="M52">
        <v>-4.1099999999999998E-2</v>
      </c>
      <c r="N52">
        <v>2.1899999999999999E-2</v>
      </c>
      <c r="O52" s="42"/>
      <c r="P52" s="41">
        <f t="shared" si="8"/>
        <v>0.9506</v>
      </c>
      <c r="Q52" s="41">
        <f t="shared" si="6"/>
        <v>0.95889999999999997</v>
      </c>
      <c r="R52" s="43">
        <f t="shared" si="7"/>
        <v>1.0219</v>
      </c>
    </row>
    <row r="53" spans="11:18">
      <c r="K53" t="s">
        <v>340</v>
      </c>
      <c r="L53">
        <v>-4.2900000000000001E-2</v>
      </c>
      <c r="M53">
        <v>-3.95E-2</v>
      </c>
      <c r="N53">
        <v>7.8E-2</v>
      </c>
      <c r="O53" s="42"/>
      <c r="P53" s="41">
        <f t="shared" si="8"/>
        <v>0.95709999999999995</v>
      </c>
      <c r="Q53" s="41">
        <f t="shared" si="6"/>
        <v>0.96050000000000002</v>
      </c>
      <c r="R53" s="43">
        <f t="shared" si="7"/>
        <v>1.0780000000000001</v>
      </c>
    </row>
    <row r="54" spans="11:18">
      <c r="K54" t="s">
        <v>341</v>
      </c>
      <c r="L54">
        <v>-1.6400000000000001E-2</v>
      </c>
      <c r="M54">
        <v>-1.9E-2</v>
      </c>
      <c r="N54">
        <v>4.7999999999999996E-3</v>
      </c>
      <c r="O54" s="42"/>
      <c r="P54" s="41">
        <f t="shared" si="8"/>
        <v>0.98360000000000003</v>
      </c>
      <c r="Q54" s="41">
        <f t="shared" si="6"/>
        <v>0.98099999999999998</v>
      </c>
      <c r="R54" s="43">
        <f t="shared" si="7"/>
        <v>1.0047999999999999</v>
      </c>
    </row>
    <row r="55" spans="11:18">
      <c r="K55" t="s">
        <v>342</v>
      </c>
      <c r="L55">
        <v>4.0000000000000018E-4</v>
      </c>
      <c r="M55">
        <v>-6.0000000000000006E-4</v>
      </c>
      <c r="N55">
        <v>1.61E-2</v>
      </c>
      <c r="O55" s="42"/>
      <c r="P55" s="41">
        <f t="shared" si="8"/>
        <v>1.0004</v>
      </c>
      <c r="Q55" s="41">
        <f t="shared" si="6"/>
        <v>0.99939999999999996</v>
      </c>
      <c r="R55" s="43">
        <f t="shared" si="7"/>
        <v>1.0161</v>
      </c>
    </row>
    <row r="56" spans="11:18">
      <c r="K56" t="s">
        <v>343</v>
      </c>
      <c r="L56">
        <v>-4.9999999999999992E-3</v>
      </c>
      <c r="M56">
        <v>-6.3399999999999998E-2</v>
      </c>
      <c r="N56">
        <v>-3.3E-3</v>
      </c>
      <c r="O56" s="42"/>
      <c r="P56" s="41">
        <f t="shared" si="8"/>
        <v>0.995</v>
      </c>
      <c r="Q56" s="41">
        <f t="shared" si="6"/>
        <v>0.93659999999999999</v>
      </c>
      <c r="R56" s="43">
        <f t="shared" si="7"/>
        <v>0.99670000000000003</v>
      </c>
    </row>
    <row r="57" spans="11:18">
      <c r="K57" t="s">
        <v>344</v>
      </c>
      <c r="L57">
        <v>-3.8899999999999997E-2</v>
      </c>
      <c r="M57">
        <v>-2.8300000000000002E-2</v>
      </c>
      <c r="N57">
        <v>-2.24E-2</v>
      </c>
      <c r="O57" s="42"/>
      <c r="P57" s="41">
        <f t="shared" si="8"/>
        <v>0.96109999999999995</v>
      </c>
      <c r="Q57" s="41">
        <f t="shared" si="6"/>
        <v>0.97170000000000001</v>
      </c>
      <c r="R57" s="43">
        <f t="shared" si="7"/>
        <v>0.97760000000000002</v>
      </c>
    </row>
    <row r="58" spans="11:18">
      <c r="K58" t="s">
        <v>345</v>
      </c>
      <c r="L58">
        <v>2.3899999999999998E-2</v>
      </c>
      <c r="M58">
        <v>9.2600000000000002E-2</v>
      </c>
      <c r="N58">
        <v>-2.2000000000000001E-3</v>
      </c>
      <c r="O58" s="42"/>
      <c r="P58" s="41">
        <f t="shared" si="8"/>
        <v>1.0239</v>
      </c>
      <c r="Q58" s="41">
        <f t="shared" si="6"/>
        <v>1.0926</v>
      </c>
      <c r="R58" s="43">
        <f t="shared" si="7"/>
        <v>0.99780000000000002</v>
      </c>
    </row>
    <row r="59" spans="11:18">
      <c r="K59" t="s">
        <v>346</v>
      </c>
      <c r="L59">
        <v>-8.48E-2</v>
      </c>
      <c r="M59">
        <v>1.78E-2</v>
      </c>
      <c r="N59">
        <v>-3.5799999999999998E-2</v>
      </c>
      <c r="O59" s="42"/>
      <c r="P59" s="41">
        <f t="shared" si="8"/>
        <v>0.91520000000000001</v>
      </c>
      <c r="Q59" s="41">
        <f t="shared" si="6"/>
        <v>1.0178</v>
      </c>
      <c r="R59" s="43">
        <f t="shared" si="7"/>
        <v>0.96419999999999995</v>
      </c>
    </row>
    <row r="60" spans="11:18">
      <c r="K60" t="s">
        <v>347</v>
      </c>
      <c r="L60">
        <v>-1.0199999999999999E-2</v>
      </c>
      <c r="M60">
        <v>1.4200000000000001E-2</v>
      </c>
      <c r="N60">
        <v>-4.3399999999999994E-2</v>
      </c>
      <c r="O60" s="42"/>
      <c r="P60" s="41">
        <f t="shared" si="8"/>
        <v>0.98980000000000001</v>
      </c>
      <c r="Q60" s="41">
        <f t="shared" si="6"/>
        <v>1.0142</v>
      </c>
      <c r="R60" s="43">
        <f t="shared" si="7"/>
        <v>0.95660000000000001</v>
      </c>
    </row>
    <row r="61" spans="11:18">
      <c r="K61" t="s">
        <v>348</v>
      </c>
      <c r="L61">
        <v>-4.0599999999999997E-2</v>
      </c>
      <c r="M61">
        <v>2.53E-2</v>
      </c>
      <c r="N61">
        <v>-8.5400000000000004E-2</v>
      </c>
      <c r="O61" s="42"/>
      <c r="P61" s="41">
        <f t="shared" si="8"/>
        <v>0.95940000000000003</v>
      </c>
      <c r="Q61" s="41">
        <f t="shared" si="6"/>
        <v>1.0253000000000001</v>
      </c>
      <c r="R61" s="43">
        <f t="shared" si="7"/>
        <v>0.91459999999999997</v>
      </c>
    </row>
    <row r="62" spans="11:18">
      <c r="K62" t="s">
        <v>349</v>
      </c>
      <c r="L62">
        <v>5.3999999999999999E-2</v>
      </c>
      <c r="M62">
        <v>-2.8799999999999999E-2</v>
      </c>
      <c r="N62">
        <v>-9.4199999999999992E-2</v>
      </c>
      <c r="O62" s="42"/>
      <c r="P62" s="41">
        <f t="shared" si="8"/>
        <v>1.054</v>
      </c>
      <c r="Q62" s="41">
        <f t="shared" si="6"/>
        <v>0.97119999999999995</v>
      </c>
      <c r="R62" s="43">
        <f t="shared" si="7"/>
        <v>0.90580000000000005</v>
      </c>
    </row>
    <row r="63" spans="11:18">
      <c r="K63" t="s">
        <v>350</v>
      </c>
      <c r="L63">
        <v>8.5000000000000006E-3</v>
      </c>
      <c r="M63">
        <v>2.0199999999999999E-2</v>
      </c>
      <c r="N63">
        <v>6.6799999999999998E-2</v>
      </c>
      <c r="O63" s="42"/>
      <c r="P63" s="41">
        <f t="shared" si="8"/>
        <v>1.0085</v>
      </c>
      <c r="Q63" s="41">
        <f t="shared" si="6"/>
        <v>1.0202</v>
      </c>
      <c r="R63" s="43">
        <f t="shared" si="7"/>
        <v>1.0668</v>
      </c>
    </row>
    <row r="64" spans="11:18">
      <c r="K64" t="s">
        <v>351</v>
      </c>
      <c r="L64">
        <v>-2.0999999999999999E-3</v>
      </c>
      <c r="M64">
        <v>3.3099999999999997E-2</v>
      </c>
      <c r="N64">
        <v>5.1900000000000002E-2</v>
      </c>
      <c r="O64" s="42"/>
      <c r="P64" s="41">
        <f t="shared" si="8"/>
        <v>0.99790000000000001</v>
      </c>
      <c r="Q64" s="41">
        <f t="shared" si="6"/>
        <v>1.0330999999999999</v>
      </c>
      <c r="R64" s="43">
        <f t="shared" si="7"/>
        <v>1.0519000000000001</v>
      </c>
    </row>
    <row r="65" spans="11:18">
      <c r="K65" t="s">
        <v>352</v>
      </c>
      <c r="L65">
        <v>1.83E-2</v>
      </c>
      <c r="M65">
        <v>4.7999999999999996E-3</v>
      </c>
      <c r="N65">
        <v>-3.7199999999999997E-2</v>
      </c>
      <c r="O65" s="42"/>
      <c r="P65" s="41">
        <f t="shared" si="8"/>
        <v>1.0183</v>
      </c>
      <c r="Q65" s="41">
        <f t="shared" si="6"/>
        <v>1.0047999999999999</v>
      </c>
      <c r="R65" s="43">
        <f t="shared" si="7"/>
        <v>0.96279999999999999</v>
      </c>
    </row>
    <row r="66" spans="11:18">
      <c r="K66" t="s">
        <v>353</v>
      </c>
      <c r="L66">
        <v>1.8699999999999998E-2</v>
      </c>
      <c r="M66">
        <v>1.3000000000000001E-2</v>
      </c>
      <c r="N66">
        <v>-9.7900000000000001E-2</v>
      </c>
      <c r="O66" s="42"/>
      <c r="P66" s="41">
        <f t="shared" si="8"/>
        <v>1.0186999999999999</v>
      </c>
      <c r="Q66" s="41">
        <f t="shared" si="6"/>
        <v>1.0129999999999999</v>
      </c>
      <c r="R66" s="43">
        <f t="shared" si="7"/>
        <v>0.90210000000000001</v>
      </c>
    </row>
    <row r="67" spans="11:18">
      <c r="K67" t="s">
        <v>354</v>
      </c>
      <c r="L67">
        <v>-1.1099999999999999E-2</v>
      </c>
      <c r="M67">
        <v>4.7300000000000002E-2</v>
      </c>
      <c r="N67">
        <v>9.7000000000000003E-3</v>
      </c>
      <c r="O67" s="42"/>
      <c r="P67" s="41">
        <f t="shared" si="8"/>
        <v>0.9889</v>
      </c>
      <c r="Q67" s="41">
        <f t="shared" si="6"/>
        <v>1.0472999999999999</v>
      </c>
      <c r="R67" s="43">
        <f t="shared" si="7"/>
        <v>1.0097</v>
      </c>
    </row>
    <row r="68" spans="11:18">
      <c r="K68" t="s">
        <v>355</v>
      </c>
      <c r="L68">
        <v>6.2000000000000006E-3</v>
      </c>
      <c r="M68">
        <v>-2.8900000000000002E-2</v>
      </c>
      <c r="N68">
        <v>1.8499999999999999E-2</v>
      </c>
      <c r="O68" s="42"/>
      <c r="P68" s="41">
        <f t="shared" si="8"/>
        <v>1.0062</v>
      </c>
      <c r="Q68" s="41">
        <f t="shared" si="6"/>
        <v>0.97109999999999996</v>
      </c>
      <c r="R68" s="43">
        <f t="shared" si="7"/>
        <v>1.0185</v>
      </c>
    </row>
    <row r="69" spans="11:18">
      <c r="K69" t="s">
        <v>356</v>
      </c>
      <c r="L69">
        <v>-5.7000000000000002E-3</v>
      </c>
      <c r="M69">
        <v>5.2900000000000003E-2</v>
      </c>
      <c r="N69">
        <v>-2.9600000000000001E-2</v>
      </c>
      <c r="O69" s="42"/>
      <c r="P69" s="41">
        <f t="shared" si="8"/>
        <v>0.99429999999999996</v>
      </c>
      <c r="Q69" s="41">
        <f t="shared" si="6"/>
        <v>1.0528999999999999</v>
      </c>
      <c r="R69" s="43">
        <f t="shared" si="7"/>
        <v>0.97040000000000004</v>
      </c>
    </row>
    <row r="70" spans="11:18">
      <c r="K70" t="s">
        <v>357</v>
      </c>
      <c r="L70">
        <v>4.0000000000000001E-3</v>
      </c>
      <c r="M70">
        <v>1.09E-2</v>
      </c>
      <c r="N70">
        <v>-1.38E-2</v>
      </c>
      <c r="O70" s="42"/>
      <c r="P70" s="41">
        <f t="shared" si="8"/>
        <v>1.004</v>
      </c>
      <c r="Q70" s="41">
        <f t="shared" si="6"/>
        <v>1.0108999999999999</v>
      </c>
      <c r="R70" s="43">
        <f t="shared" si="7"/>
        <v>0.98619999999999997</v>
      </c>
    </row>
    <row r="71" spans="11:18">
      <c r="K71" t="s">
        <v>358</v>
      </c>
      <c r="L71">
        <v>1.06E-2</v>
      </c>
      <c r="M71">
        <v>2.0899999999999998E-2</v>
      </c>
      <c r="N71">
        <v>4.8800000000000003E-2</v>
      </c>
      <c r="O71" s="42"/>
      <c r="P71" s="41">
        <f t="shared" si="8"/>
        <v>1.0105999999999999</v>
      </c>
      <c r="Q71" s="41">
        <f t="shared" si="6"/>
        <v>1.0208999999999999</v>
      </c>
      <c r="R71" s="43">
        <f t="shared" si="7"/>
        <v>1.0488</v>
      </c>
    </row>
    <row r="72" spans="11:18">
      <c r="K72" t="s">
        <v>359</v>
      </c>
      <c r="L72">
        <v>2.46E-2</v>
      </c>
      <c r="M72">
        <v>5.6500000000000002E-2</v>
      </c>
      <c r="N72">
        <v>2.4499999999999997E-2</v>
      </c>
      <c r="O72" s="42"/>
      <c r="P72" s="41">
        <f t="shared" si="8"/>
        <v>1.0246</v>
      </c>
      <c r="Q72" s="41">
        <f t="shared" si="6"/>
        <v>1.0565</v>
      </c>
      <c r="R72" s="43">
        <f t="shared" si="7"/>
        <v>1.0245</v>
      </c>
    </row>
    <row r="73" spans="11:18">
      <c r="K73" t="s">
        <v>360</v>
      </c>
      <c r="L73">
        <v>0.04</v>
      </c>
      <c r="M73">
        <v>-2.1500000000000002E-2</v>
      </c>
      <c r="N73">
        <v>-2.75E-2</v>
      </c>
      <c r="O73" s="42"/>
      <c r="P73" s="41">
        <f t="shared" si="8"/>
        <v>1.04</v>
      </c>
      <c r="Q73" s="41">
        <f t="shared" si="6"/>
        <v>0.97850000000000004</v>
      </c>
      <c r="R73" s="43">
        <f t="shared" si="7"/>
        <v>0.97250000000000003</v>
      </c>
    </row>
    <row r="74" spans="11:18">
      <c r="K74" t="s">
        <v>361</v>
      </c>
      <c r="L74">
        <v>0.03</v>
      </c>
      <c r="M74">
        <v>5.2400000000000002E-2</v>
      </c>
      <c r="N74">
        <v>4.7200000000000006E-2</v>
      </c>
      <c r="O74" s="42"/>
      <c r="P74" s="41">
        <f t="shared" si="8"/>
        <v>1.03</v>
      </c>
      <c r="Q74" s="41">
        <f t="shared" si="6"/>
        <v>1.0524</v>
      </c>
      <c r="R74" s="43">
        <f t="shared" si="7"/>
        <v>1.0471999999999999</v>
      </c>
    </row>
    <row r="75" spans="11:18">
      <c r="K75" t="s">
        <v>362</v>
      </c>
      <c r="L75">
        <v>-6.7999999999999988E-3</v>
      </c>
      <c r="M75">
        <v>-5.1000000000000004E-3</v>
      </c>
      <c r="N75">
        <v>8.2000000000000007E-3</v>
      </c>
      <c r="O75" s="42"/>
      <c r="P75" s="41">
        <f t="shared" si="8"/>
        <v>0.99319999999999997</v>
      </c>
      <c r="Q75" s="41">
        <f t="shared" si="6"/>
        <v>0.99490000000000001</v>
      </c>
      <c r="R75" s="43">
        <f t="shared" si="7"/>
        <v>1.0082</v>
      </c>
    </row>
    <row r="76" spans="11:18">
      <c r="K76" t="s">
        <v>363</v>
      </c>
      <c r="L76">
        <v>1.7499999999999998E-2</v>
      </c>
      <c r="M76">
        <v>-2.4199999999999999E-2</v>
      </c>
      <c r="N76">
        <v>-4.5999999999999999E-2</v>
      </c>
      <c r="O76" s="42"/>
      <c r="P76" s="41">
        <f t="shared" si="8"/>
        <v>1.0175000000000001</v>
      </c>
      <c r="Q76" s="41">
        <f t="shared" si="6"/>
        <v>0.9758</v>
      </c>
      <c r="R76" s="43">
        <f t="shared" si="7"/>
        <v>0.95399999999999996</v>
      </c>
    </row>
    <row r="77" spans="11:18">
      <c r="K77" t="s">
        <v>364</v>
      </c>
      <c r="L77">
        <v>0.03</v>
      </c>
      <c r="M77">
        <v>1.7599999999999998E-2</v>
      </c>
      <c r="N77">
        <v>-7.8899999999999998E-2</v>
      </c>
      <c r="O77" s="42"/>
      <c r="P77" s="41">
        <f t="shared" si="8"/>
        <v>1.03</v>
      </c>
      <c r="Q77" s="41">
        <f t="shared" si="6"/>
        <v>1.0176000000000001</v>
      </c>
      <c r="R77" s="43">
        <f t="shared" si="7"/>
        <v>0.92110000000000003</v>
      </c>
    </row>
    <row r="78" spans="11:18">
      <c r="K78" t="s">
        <v>365</v>
      </c>
      <c r="L78">
        <v>1.7600000000000001E-2</v>
      </c>
      <c r="M78">
        <v>-1.4200000000000001E-2</v>
      </c>
      <c r="N78">
        <v>-1.3099999999999999E-2</v>
      </c>
      <c r="O78" s="42"/>
      <c r="P78" s="41">
        <f t="shared" si="8"/>
        <v>1.0176000000000001</v>
      </c>
      <c r="Q78" s="41">
        <f t="shared" si="6"/>
        <v>0.98580000000000001</v>
      </c>
      <c r="R78" s="43">
        <f t="shared" si="7"/>
        <v>0.9869</v>
      </c>
    </row>
    <row r="79" spans="11:18">
      <c r="K79" t="s">
        <v>366</v>
      </c>
      <c r="L79">
        <v>2.2599999999999999E-2</v>
      </c>
      <c r="M79">
        <v>1.9799999999999998E-2</v>
      </c>
      <c r="N79">
        <v>-3.95E-2</v>
      </c>
      <c r="O79" s="42"/>
      <c r="P79" s="41">
        <f t="shared" si="8"/>
        <v>1.0226</v>
      </c>
      <c r="Q79" s="41">
        <f t="shared" si="6"/>
        <v>1.0198</v>
      </c>
      <c r="R79" s="43">
        <f t="shared" si="7"/>
        <v>0.96050000000000002</v>
      </c>
    </row>
    <row r="80" spans="11:18">
      <c r="K80" t="s">
        <v>367</v>
      </c>
      <c r="L80">
        <v>-4.5100000000000001E-2</v>
      </c>
      <c r="M80">
        <v>-6.0999999999999999E-2</v>
      </c>
      <c r="N80">
        <v>6.8699999999999997E-2</v>
      </c>
      <c r="O80" s="42"/>
      <c r="P80" s="41">
        <f t="shared" si="8"/>
        <v>0.95489999999999997</v>
      </c>
      <c r="Q80" s="41">
        <f t="shared" si="6"/>
        <v>0.93900000000000006</v>
      </c>
      <c r="R80" s="43">
        <f t="shared" si="7"/>
        <v>1.0687</v>
      </c>
    </row>
    <row r="81" spans="11:18">
      <c r="K81" t="s">
        <v>368</v>
      </c>
      <c r="L81">
        <v>-3.0999999999999999E-3</v>
      </c>
      <c r="M81">
        <v>-2.9400000000000003E-2</v>
      </c>
      <c r="N81">
        <v>2.6499999999999999E-2</v>
      </c>
      <c r="O81" s="42"/>
      <c r="P81" s="41">
        <f t="shared" si="8"/>
        <v>0.99690000000000001</v>
      </c>
      <c r="Q81" s="41">
        <f t="shared" si="6"/>
        <v>0.97060000000000002</v>
      </c>
      <c r="R81" s="43">
        <f t="shared" si="7"/>
        <v>1.0265</v>
      </c>
    </row>
    <row r="82" spans="11:18">
      <c r="K82" t="s">
        <v>369</v>
      </c>
      <c r="L82">
        <v>2.6099999999999998E-2</v>
      </c>
      <c r="M82">
        <v>-3.3300000000000003E-2</v>
      </c>
      <c r="N82">
        <v>-6.13E-2</v>
      </c>
      <c r="O82" s="42"/>
      <c r="P82" s="41">
        <f t="shared" si="8"/>
        <v>1.0261</v>
      </c>
      <c r="Q82" s="41">
        <f t="shared" si="6"/>
        <v>0.9667</v>
      </c>
      <c r="R82" s="43">
        <f t="shared" si="7"/>
        <v>0.93869999999999998</v>
      </c>
    </row>
    <row r="83" spans="11:18">
      <c r="K83" t="s">
        <v>370</v>
      </c>
      <c r="L83">
        <v>7.0599999999999996E-2</v>
      </c>
      <c r="M83">
        <v>-1.1900000000000001E-2</v>
      </c>
      <c r="N83">
        <v>-2.9000000000000001E-2</v>
      </c>
      <c r="O83" s="42"/>
      <c r="P83" s="41">
        <f t="shared" si="8"/>
        <v>1.0706</v>
      </c>
      <c r="Q83" s="41">
        <f t="shared" si="6"/>
        <v>0.98809999999999998</v>
      </c>
      <c r="R83" s="43">
        <f t="shared" si="7"/>
        <v>0.97099999999999997</v>
      </c>
    </row>
    <row r="84" spans="11:18">
      <c r="K84" t="s">
        <v>371</v>
      </c>
      <c r="L84">
        <v>-4.0599999999999997E-2</v>
      </c>
      <c r="M84">
        <v>2.6199999999999998E-2</v>
      </c>
      <c r="N84">
        <v>3.1600000000000003E-2</v>
      </c>
      <c r="O84" s="42"/>
      <c r="P84" s="41">
        <f t="shared" si="8"/>
        <v>0.95940000000000003</v>
      </c>
      <c r="Q84" s="41">
        <f t="shared" si="6"/>
        <v>1.0262</v>
      </c>
      <c r="R84" s="43">
        <f t="shared" si="7"/>
        <v>1.0316000000000001</v>
      </c>
    </row>
    <row r="85" spans="11:18">
      <c r="K85" t="s">
        <v>372</v>
      </c>
      <c r="L85">
        <v>2.0199999999999999E-2</v>
      </c>
      <c r="M85">
        <v>1.09E-2</v>
      </c>
      <c r="N85">
        <v>-1.29E-2</v>
      </c>
      <c r="O85" s="42"/>
      <c r="P85" s="41">
        <f t="shared" si="8"/>
        <v>1.0202</v>
      </c>
      <c r="Q85" s="41">
        <f t="shared" ref="Q85:Q148" si="9">M85+1</f>
        <v>1.0108999999999999</v>
      </c>
      <c r="R85" s="43">
        <f t="shared" ref="R85:R148" si="10">N85+1</f>
        <v>0.98709999999999998</v>
      </c>
    </row>
    <row r="86" spans="11:18">
      <c r="K86" t="s">
        <v>373</v>
      </c>
      <c r="L86">
        <v>2.9699999999999997E-2</v>
      </c>
      <c r="M86">
        <v>6.0000000000000006E-4</v>
      </c>
      <c r="N86">
        <v>4.5999999999999999E-2</v>
      </c>
      <c r="O86" s="42"/>
      <c r="P86" s="41">
        <f t="shared" ref="P86:P149" si="11">L86+1</f>
        <v>1.0297000000000001</v>
      </c>
      <c r="Q86" s="41">
        <f t="shared" si="9"/>
        <v>1.0005999999999999</v>
      </c>
      <c r="R86" s="43">
        <f t="shared" si="10"/>
        <v>1.046</v>
      </c>
    </row>
    <row r="87" spans="11:18">
      <c r="K87" t="s">
        <v>374</v>
      </c>
      <c r="L87">
        <v>-1.9900000000000001E-2</v>
      </c>
      <c r="M87">
        <v>5.4100000000000002E-2</v>
      </c>
      <c r="N87">
        <v>-2.9899999999999999E-2</v>
      </c>
      <c r="O87" s="42"/>
      <c r="P87" s="41">
        <f t="shared" si="11"/>
        <v>0.98009999999999997</v>
      </c>
      <c r="Q87" s="41">
        <f t="shared" si="9"/>
        <v>1.0541</v>
      </c>
      <c r="R87" s="43">
        <f t="shared" si="10"/>
        <v>0.97009999999999996</v>
      </c>
    </row>
    <row r="88" spans="11:18">
      <c r="K88" t="s">
        <v>375</v>
      </c>
      <c r="L88">
        <v>-1.72E-2</v>
      </c>
      <c r="M88">
        <v>-7.9600000000000004E-2</v>
      </c>
      <c r="N88">
        <v>-1.49E-2</v>
      </c>
      <c r="O88" s="42"/>
      <c r="P88" s="41">
        <f t="shared" si="11"/>
        <v>0.98280000000000001</v>
      </c>
      <c r="Q88" s="41">
        <f t="shared" si="9"/>
        <v>0.9204</v>
      </c>
      <c r="R88" s="43">
        <f t="shared" si="10"/>
        <v>0.98509999999999998</v>
      </c>
    </row>
    <row r="89" spans="11:18">
      <c r="K89" t="s">
        <v>376</v>
      </c>
      <c r="L89">
        <v>-6.6699999999999995E-2</v>
      </c>
      <c r="M89">
        <v>4.3699999999999996E-2</v>
      </c>
      <c r="N89">
        <v>-3.8099999999999995E-2</v>
      </c>
      <c r="O89" s="42"/>
      <c r="P89" s="41">
        <f t="shared" si="11"/>
        <v>0.93330000000000002</v>
      </c>
      <c r="Q89" s="41">
        <f t="shared" si="9"/>
        <v>1.0437000000000001</v>
      </c>
      <c r="R89" s="43">
        <f t="shared" si="10"/>
        <v>0.96189999999999998</v>
      </c>
    </row>
    <row r="90" spans="11:18">
      <c r="K90" t="s">
        <v>377</v>
      </c>
      <c r="L90">
        <v>-5.3999999999999999E-2</v>
      </c>
      <c r="M90">
        <v>-1.2799999999999999E-2</v>
      </c>
      <c r="N90">
        <v>1.09E-2</v>
      </c>
      <c r="O90" s="42"/>
      <c r="P90" s="41">
        <f t="shared" si="11"/>
        <v>0.94599999999999995</v>
      </c>
      <c r="Q90" s="41">
        <f t="shared" si="9"/>
        <v>0.98719999999999997</v>
      </c>
      <c r="R90" s="43">
        <f t="shared" si="10"/>
        <v>1.0108999999999999</v>
      </c>
    </row>
    <row r="91" spans="11:18">
      <c r="K91" t="s">
        <v>378</v>
      </c>
      <c r="L91">
        <v>3.2199999999999999E-2</v>
      </c>
      <c r="M91">
        <v>-2.69E-2</v>
      </c>
      <c r="N91">
        <v>1.6E-2</v>
      </c>
      <c r="O91" s="42"/>
      <c r="P91" s="41">
        <f t="shared" si="11"/>
        <v>1.0322</v>
      </c>
      <c r="Q91" s="41">
        <f t="shared" si="9"/>
        <v>0.97309999999999997</v>
      </c>
      <c r="R91" s="43">
        <f t="shared" si="10"/>
        <v>1.016</v>
      </c>
    </row>
    <row r="92" spans="11:18">
      <c r="K92" t="s">
        <v>379</v>
      </c>
      <c r="L92">
        <v>1.1000000000000001E-3</v>
      </c>
      <c r="M92">
        <v>5.6000000000000001E-2</v>
      </c>
      <c r="N92">
        <v>9.4E-2</v>
      </c>
      <c r="O92" s="42"/>
      <c r="P92" s="41">
        <f t="shared" si="11"/>
        <v>1.0011000000000001</v>
      </c>
      <c r="Q92" s="41">
        <f t="shared" si="9"/>
        <v>1.056</v>
      </c>
      <c r="R92" s="43">
        <f t="shared" si="10"/>
        <v>1.0940000000000001</v>
      </c>
    </row>
    <row r="93" spans="11:18">
      <c r="K93" t="s">
        <v>380</v>
      </c>
      <c r="L93">
        <v>1.34E-2</v>
      </c>
      <c r="M93">
        <v>-3.9800000000000002E-2</v>
      </c>
      <c r="N93">
        <v>6.4100000000000004E-2</v>
      </c>
      <c r="O93" s="42"/>
      <c r="P93" s="41">
        <f t="shared" si="11"/>
        <v>1.0134000000000001</v>
      </c>
      <c r="Q93" s="41">
        <f t="shared" si="9"/>
        <v>0.96019999999999994</v>
      </c>
      <c r="R93" s="43">
        <f t="shared" si="10"/>
        <v>1.0641</v>
      </c>
    </row>
    <row r="94" spans="11:18">
      <c r="K94" t="s">
        <v>381</v>
      </c>
      <c r="L94">
        <v>1.37E-2</v>
      </c>
      <c r="M94">
        <v>-4.4299999999999999E-2</v>
      </c>
      <c r="N94">
        <v>-5.5899999999999998E-2</v>
      </c>
      <c r="O94" s="42"/>
      <c r="P94" s="41">
        <f t="shared" si="11"/>
        <v>1.0137</v>
      </c>
      <c r="Q94" s="41">
        <f t="shared" si="9"/>
        <v>0.95569999999999999</v>
      </c>
      <c r="R94" s="43">
        <f t="shared" si="10"/>
        <v>0.94410000000000005</v>
      </c>
    </row>
    <row r="95" spans="11:18">
      <c r="K95" t="s">
        <v>382</v>
      </c>
      <c r="L95">
        <v>6.6999999999999994E-3</v>
      </c>
      <c r="M95">
        <v>4.9299999999999997E-2</v>
      </c>
      <c r="N95">
        <v>8.9999999999999998E-4</v>
      </c>
      <c r="O95" s="42"/>
      <c r="P95" s="41">
        <f t="shared" si="11"/>
        <v>1.0066999999999999</v>
      </c>
      <c r="Q95" s="41">
        <f t="shared" si="9"/>
        <v>1.0492999999999999</v>
      </c>
      <c r="R95" s="43">
        <f t="shared" si="10"/>
        <v>1.0008999999999999</v>
      </c>
    </row>
    <row r="96" spans="11:18">
      <c r="K96" t="s">
        <v>383</v>
      </c>
      <c r="L96">
        <v>3.4500000000000003E-2</v>
      </c>
      <c r="M96">
        <v>2.7299999999999998E-2</v>
      </c>
      <c r="N96">
        <v>-4.4399999999999995E-2</v>
      </c>
      <c r="O96" s="42"/>
      <c r="P96" s="41">
        <f t="shared" si="11"/>
        <v>1.0345</v>
      </c>
      <c r="Q96" s="41">
        <f t="shared" si="9"/>
        <v>1.0273000000000001</v>
      </c>
      <c r="R96" s="43">
        <f t="shared" si="10"/>
        <v>0.9556</v>
      </c>
    </row>
    <row r="97" spans="11:18">
      <c r="K97" t="s">
        <v>384</v>
      </c>
      <c r="L97">
        <v>-1.0499999999999999E-2</v>
      </c>
      <c r="M97">
        <v>-2.6200000000000001E-2</v>
      </c>
      <c r="N97">
        <v>6.5600000000000006E-2</v>
      </c>
      <c r="O97" s="42"/>
      <c r="P97" s="41">
        <f t="shared" si="11"/>
        <v>0.98950000000000005</v>
      </c>
      <c r="Q97" s="41">
        <f t="shared" si="9"/>
        <v>0.9738</v>
      </c>
      <c r="R97" s="43">
        <f t="shared" si="10"/>
        <v>1.0656000000000001</v>
      </c>
    </row>
    <row r="98" spans="11:18">
      <c r="K98" t="s">
        <v>385</v>
      </c>
      <c r="L98">
        <v>-1.6500000000000001E-2</v>
      </c>
      <c r="M98">
        <v>-1.0000000000000005E-4</v>
      </c>
      <c r="N98">
        <v>8.9999999999999998E-4</v>
      </c>
      <c r="O98" s="42"/>
      <c r="P98" s="41">
        <f t="shared" si="11"/>
        <v>0.98350000000000004</v>
      </c>
      <c r="Q98" s="41">
        <f t="shared" si="9"/>
        <v>0.99990000000000001</v>
      </c>
      <c r="R98" s="43">
        <f t="shared" si="10"/>
        <v>1.0008999999999999</v>
      </c>
    </row>
    <row r="99" spans="11:18">
      <c r="K99" t="s">
        <v>386</v>
      </c>
      <c r="L99">
        <v>-4.1099999999999998E-2</v>
      </c>
      <c r="M99">
        <v>2.3999999999999998E-3</v>
      </c>
      <c r="N99">
        <v>5.7999999999999996E-3</v>
      </c>
      <c r="O99" s="42"/>
      <c r="P99" s="41">
        <f t="shared" si="11"/>
        <v>0.95889999999999997</v>
      </c>
      <c r="Q99" s="41">
        <f t="shared" si="9"/>
        <v>1.0024</v>
      </c>
      <c r="R99" s="43">
        <f t="shared" si="10"/>
        <v>1.0058</v>
      </c>
    </row>
    <row r="100" spans="11:18">
      <c r="K100" t="s">
        <v>387</v>
      </c>
      <c r="L100">
        <v>-4.3799999999999999E-2</v>
      </c>
      <c r="M100">
        <v>5.3199999999999997E-2</v>
      </c>
      <c r="N100">
        <v>-4.6799999999999994E-2</v>
      </c>
      <c r="O100" s="42"/>
      <c r="P100" s="41">
        <f t="shared" si="11"/>
        <v>0.95620000000000005</v>
      </c>
      <c r="Q100" s="41">
        <f t="shared" si="9"/>
        <v>1.0531999999999999</v>
      </c>
      <c r="R100" s="43">
        <f t="shared" si="10"/>
        <v>0.95320000000000005</v>
      </c>
    </row>
    <row r="101" spans="11:18">
      <c r="K101" t="s">
        <v>388</v>
      </c>
      <c r="L101">
        <v>-2.81E-2</v>
      </c>
      <c r="M101">
        <v>-1.0599999999999998E-2</v>
      </c>
      <c r="N101">
        <v>-5.4099999999999995E-2</v>
      </c>
      <c r="O101" s="42"/>
      <c r="P101" s="41">
        <f t="shared" si="11"/>
        <v>0.97189999999999999</v>
      </c>
      <c r="Q101" s="41">
        <f t="shared" si="9"/>
        <v>0.98940000000000006</v>
      </c>
      <c r="R101" s="43">
        <f t="shared" si="10"/>
        <v>0.94589999999999996</v>
      </c>
    </row>
    <row r="102" spans="11:18">
      <c r="K102" t="s">
        <v>389</v>
      </c>
      <c r="L102">
        <v>-4.58E-2</v>
      </c>
      <c r="M102">
        <v>3.3500000000000002E-2</v>
      </c>
      <c r="N102">
        <v>2.41E-2</v>
      </c>
      <c r="O102" s="42"/>
      <c r="P102" s="41">
        <f t="shared" si="11"/>
        <v>0.95420000000000005</v>
      </c>
      <c r="Q102" s="41">
        <f t="shared" si="9"/>
        <v>1.0335000000000001</v>
      </c>
      <c r="R102" s="43">
        <f t="shared" si="10"/>
        <v>1.0241</v>
      </c>
    </row>
    <row r="103" spans="11:18">
      <c r="K103" t="s">
        <v>390</v>
      </c>
      <c r="L103">
        <v>3.5300000000000005E-2</v>
      </c>
      <c r="M103">
        <v>3.44E-2</v>
      </c>
      <c r="N103">
        <v>3.1600000000000003E-2</v>
      </c>
      <c r="O103" s="42"/>
      <c r="P103" s="41">
        <f t="shared" si="11"/>
        <v>1.0353000000000001</v>
      </c>
      <c r="Q103" s="41">
        <f t="shared" si="9"/>
        <v>1.0344</v>
      </c>
      <c r="R103" s="43">
        <f t="shared" si="10"/>
        <v>1.0316000000000001</v>
      </c>
    </row>
    <row r="104" spans="11:18">
      <c r="K104" t="s">
        <v>391</v>
      </c>
      <c r="L104">
        <v>4.1399999999999999E-2</v>
      </c>
      <c r="M104">
        <v>-3.2099999999999997E-2</v>
      </c>
      <c r="N104">
        <v>-0.02</v>
      </c>
      <c r="O104" s="42"/>
      <c r="P104" s="41">
        <f t="shared" si="11"/>
        <v>1.0414000000000001</v>
      </c>
      <c r="Q104" s="41">
        <f t="shared" si="9"/>
        <v>0.96789999999999998</v>
      </c>
      <c r="R104" s="43">
        <f t="shared" si="10"/>
        <v>0.98</v>
      </c>
    </row>
    <row r="105" spans="11:18">
      <c r="K105" t="s">
        <v>392</v>
      </c>
      <c r="L105">
        <v>3.8800000000000001E-2</v>
      </c>
      <c r="M105">
        <v>-3.6799999999999999E-2</v>
      </c>
      <c r="N105">
        <v>4.0400000000000005E-2</v>
      </c>
      <c r="O105" s="42"/>
      <c r="P105" s="41">
        <f t="shared" si="11"/>
        <v>1.0387999999999999</v>
      </c>
      <c r="Q105" s="41">
        <f t="shared" si="9"/>
        <v>0.96320000000000006</v>
      </c>
      <c r="R105" s="43">
        <f t="shared" si="10"/>
        <v>1.0404</v>
      </c>
    </row>
    <row r="106" spans="11:18">
      <c r="K106" t="s">
        <v>393</v>
      </c>
      <c r="L106">
        <v>1.2800000000000001E-2</v>
      </c>
      <c r="M106">
        <v>3.0399999999999996E-2</v>
      </c>
      <c r="N106">
        <v>-1.46E-2</v>
      </c>
      <c r="O106" s="42"/>
      <c r="P106" s="41">
        <f t="shared" si="11"/>
        <v>1.0127999999999999</v>
      </c>
      <c r="Q106" s="41">
        <f t="shared" si="9"/>
        <v>1.0304</v>
      </c>
      <c r="R106" s="43">
        <f t="shared" si="10"/>
        <v>0.98540000000000005</v>
      </c>
    </row>
    <row r="107" spans="11:18">
      <c r="K107" t="s">
        <v>394</v>
      </c>
      <c r="L107">
        <v>3.7500000000000006E-2</v>
      </c>
      <c r="M107">
        <v>0.10389999999999999</v>
      </c>
      <c r="N107">
        <v>-2.0000000000000001E-4</v>
      </c>
      <c r="O107" s="42"/>
      <c r="P107" s="41">
        <f t="shared" si="11"/>
        <v>1.0375000000000001</v>
      </c>
      <c r="Q107" s="41">
        <f t="shared" si="9"/>
        <v>1.1038999999999999</v>
      </c>
      <c r="R107" s="43">
        <f t="shared" si="10"/>
        <v>0.99980000000000002</v>
      </c>
    </row>
    <row r="108" spans="11:18">
      <c r="K108" t="s">
        <v>395</v>
      </c>
      <c r="L108">
        <v>4.5700000000000005E-2</v>
      </c>
      <c r="M108">
        <v>-4.7300000000000002E-2</v>
      </c>
      <c r="N108">
        <v>-8.3999999999999995E-3</v>
      </c>
      <c r="O108" s="42"/>
      <c r="P108" s="41">
        <f t="shared" si="11"/>
        <v>1.0457000000000001</v>
      </c>
      <c r="Q108" s="41">
        <f t="shared" si="9"/>
        <v>0.95269999999999999</v>
      </c>
      <c r="R108" s="43">
        <f t="shared" si="10"/>
        <v>0.99160000000000004</v>
      </c>
    </row>
    <row r="109" spans="11:18">
      <c r="K109" t="s">
        <v>396</v>
      </c>
      <c r="L109">
        <v>-1.66E-2</v>
      </c>
      <c r="M109">
        <v>-5.8500000000000003E-2</v>
      </c>
      <c r="N109">
        <v>-3.6499999999999998E-2</v>
      </c>
      <c r="O109" s="42"/>
      <c r="P109" s="41">
        <f t="shared" si="11"/>
        <v>0.98340000000000005</v>
      </c>
      <c r="Q109" s="41">
        <f t="shared" si="9"/>
        <v>0.9415</v>
      </c>
      <c r="R109" s="43">
        <f t="shared" si="10"/>
        <v>0.96350000000000002</v>
      </c>
    </row>
    <row r="110" spans="11:18">
      <c r="K110" t="s">
        <v>397</v>
      </c>
      <c r="L110">
        <v>-2.3999999999999998E-3</v>
      </c>
      <c r="M110">
        <v>-2.6800000000000001E-2</v>
      </c>
      <c r="N110">
        <v>5.4999999999999997E-3</v>
      </c>
      <c r="O110" s="42"/>
      <c r="P110" s="41">
        <f t="shared" si="11"/>
        <v>0.99760000000000004</v>
      </c>
      <c r="Q110" s="41">
        <f t="shared" si="9"/>
        <v>0.97319999999999995</v>
      </c>
      <c r="R110" s="43">
        <f t="shared" si="10"/>
        <v>1.0055000000000001</v>
      </c>
    </row>
    <row r="111" spans="11:18">
      <c r="K111" t="s">
        <v>398</v>
      </c>
      <c r="L111">
        <v>-1.7600000000000001E-2</v>
      </c>
      <c r="M111">
        <v>-2.47E-2</v>
      </c>
      <c r="N111">
        <v>7.5999999999999998E-2</v>
      </c>
      <c r="O111" s="42"/>
      <c r="P111" s="41">
        <f t="shared" si="11"/>
        <v>0.98240000000000005</v>
      </c>
      <c r="Q111" s="41">
        <f t="shared" si="9"/>
        <v>0.97530000000000006</v>
      </c>
      <c r="R111" s="43">
        <f t="shared" si="10"/>
        <v>1.0760000000000001</v>
      </c>
    </row>
    <row r="112" spans="11:18">
      <c r="K112" t="s">
        <v>399</v>
      </c>
      <c r="L112">
        <v>5.4000000000000003E-3</v>
      </c>
      <c r="M112">
        <v>4.9399999999999999E-2</v>
      </c>
      <c r="N112">
        <v>-6.4100000000000004E-2</v>
      </c>
      <c r="O112" s="42"/>
      <c r="P112" s="41">
        <f t="shared" si="11"/>
        <v>1.0054000000000001</v>
      </c>
      <c r="Q112" s="41">
        <f t="shared" si="9"/>
        <v>1.0493999999999999</v>
      </c>
      <c r="R112" s="43">
        <f t="shared" si="10"/>
        <v>0.93589999999999995</v>
      </c>
    </row>
    <row r="113" spans="11:18">
      <c r="K113" t="s">
        <v>400</v>
      </c>
      <c r="L113">
        <v>3.9400000000000004E-2</v>
      </c>
      <c r="M113">
        <v>0.11840000000000001</v>
      </c>
      <c r="N113">
        <v>-2.81E-2</v>
      </c>
      <c r="O113" s="42"/>
      <c r="P113" s="41">
        <f t="shared" si="11"/>
        <v>1.0394000000000001</v>
      </c>
      <c r="Q113" s="41">
        <f t="shared" si="9"/>
        <v>1.1184000000000001</v>
      </c>
      <c r="R113" s="43">
        <f t="shared" si="10"/>
        <v>0.97189999999999999</v>
      </c>
    </row>
    <row r="114" spans="11:18">
      <c r="K114" t="s">
        <v>401</v>
      </c>
      <c r="L114">
        <v>-3.1099999999999999E-2</v>
      </c>
      <c r="M114">
        <v>2.5999999999999999E-2</v>
      </c>
      <c r="N114">
        <v>3.7400000000000003E-2</v>
      </c>
      <c r="O114" s="42"/>
      <c r="P114" s="41">
        <f t="shared" si="11"/>
        <v>0.96889999999999998</v>
      </c>
      <c r="Q114" s="41">
        <f t="shared" si="9"/>
        <v>1.026</v>
      </c>
      <c r="R114" s="43">
        <f t="shared" si="10"/>
        <v>1.0374000000000001</v>
      </c>
    </row>
    <row r="115" spans="11:18">
      <c r="K115" t="s">
        <v>402</v>
      </c>
      <c r="L115">
        <v>8.9999999999999993E-3</v>
      </c>
      <c r="M115">
        <v>2.2499999999999999E-2</v>
      </c>
      <c r="N115">
        <v>-7.1999999999999998E-3</v>
      </c>
      <c r="O115" s="42"/>
      <c r="P115" s="41">
        <f t="shared" si="11"/>
        <v>1.0089999999999999</v>
      </c>
      <c r="Q115" s="41">
        <f t="shared" si="9"/>
        <v>1.0225</v>
      </c>
      <c r="R115" s="43">
        <f t="shared" si="10"/>
        <v>0.99280000000000002</v>
      </c>
    </row>
    <row r="116" spans="11:18">
      <c r="K116" t="s">
        <v>403</v>
      </c>
      <c r="L116">
        <v>-1.4299999999999998E-2</v>
      </c>
      <c r="M116">
        <v>3.1899999999999998E-2</v>
      </c>
      <c r="N116">
        <v>-6.8000000000000005E-3</v>
      </c>
      <c r="O116" s="42"/>
      <c r="P116" s="41">
        <f t="shared" si="11"/>
        <v>0.98570000000000002</v>
      </c>
      <c r="Q116" s="41">
        <f t="shared" si="9"/>
        <v>1.0319</v>
      </c>
      <c r="R116" s="43">
        <f t="shared" si="10"/>
        <v>0.99319999999999997</v>
      </c>
    </row>
    <row r="117" spans="11:18">
      <c r="K117" t="s">
        <v>404</v>
      </c>
      <c r="L117">
        <v>-2.2800000000000001E-2</v>
      </c>
      <c r="M117">
        <v>-6.59E-2</v>
      </c>
      <c r="N117">
        <v>8.5000000000000006E-2</v>
      </c>
      <c r="O117" s="42"/>
      <c r="P117" s="41">
        <f t="shared" si="11"/>
        <v>0.97719999999999996</v>
      </c>
      <c r="Q117" s="41">
        <f t="shared" si="9"/>
        <v>0.93410000000000004</v>
      </c>
      <c r="R117" s="43">
        <f t="shared" si="10"/>
        <v>1.085</v>
      </c>
    </row>
    <row r="118" spans="11:18">
      <c r="K118" t="s">
        <v>405</v>
      </c>
      <c r="L118">
        <v>1.8099999999999998E-2</v>
      </c>
      <c r="M118">
        <v>5.2900000000000003E-2</v>
      </c>
      <c r="N118">
        <v>0.1048</v>
      </c>
      <c r="O118" s="42"/>
      <c r="P118" s="41">
        <f t="shared" si="11"/>
        <v>1.0181</v>
      </c>
      <c r="Q118" s="41">
        <f t="shared" si="9"/>
        <v>1.0528999999999999</v>
      </c>
      <c r="R118" s="43">
        <f t="shared" si="10"/>
        <v>1.1048</v>
      </c>
    </row>
    <row r="119" spans="11:18">
      <c r="K119" t="s">
        <v>406</v>
      </c>
      <c r="L119">
        <v>8.9999999999999993E-3</v>
      </c>
      <c r="M119">
        <v>9.6299999999999997E-2</v>
      </c>
      <c r="N119">
        <v>3.9699999999999999E-2</v>
      </c>
      <c r="O119" s="42"/>
      <c r="P119" s="41">
        <f t="shared" si="11"/>
        <v>1.0089999999999999</v>
      </c>
      <c r="Q119" s="41">
        <f t="shared" si="9"/>
        <v>1.0963000000000001</v>
      </c>
      <c r="R119" s="43">
        <f t="shared" si="10"/>
        <v>1.0397000000000001</v>
      </c>
    </row>
    <row r="120" spans="11:18">
      <c r="K120" t="s">
        <v>407</v>
      </c>
      <c r="L120">
        <v>-3.5499999999999997E-2</v>
      </c>
      <c r="M120">
        <v>-2.1100000000000001E-2</v>
      </c>
      <c r="N120">
        <v>7.5900000000000009E-2</v>
      </c>
      <c r="O120" s="42"/>
      <c r="P120" s="41">
        <f t="shared" si="11"/>
        <v>0.96450000000000002</v>
      </c>
      <c r="Q120" s="41">
        <f t="shared" si="9"/>
        <v>0.97889999999999999</v>
      </c>
      <c r="R120" s="43">
        <f t="shared" si="10"/>
        <v>1.0759000000000001</v>
      </c>
    </row>
    <row r="121" spans="11:18">
      <c r="K121" t="s">
        <v>408</v>
      </c>
      <c r="L121">
        <v>5.91E-2</v>
      </c>
      <c r="M121">
        <v>1.4100000000000001E-2</v>
      </c>
      <c r="N121">
        <v>3.9600000000000003E-2</v>
      </c>
      <c r="O121" s="42"/>
      <c r="P121" s="41">
        <f t="shared" si="11"/>
        <v>1.0590999999999999</v>
      </c>
      <c r="Q121" s="41">
        <f t="shared" si="9"/>
        <v>1.0141</v>
      </c>
      <c r="R121" s="43">
        <f t="shared" si="10"/>
        <v>1.0396000000000001</v>
      </c>
    </row>
    <row r="122" spans="11:18">
      <c r="K122" t="s">
        <v>409</v>
      </c>
      <c r="L122">
        <v>1.0400000000000001E-2</v>
      </c>
      <c r="M122">
        <v>-7.0099999999999996E-2</v>
      </c>
      <c r="N122">
        <v>7.6899999999999996E-2</v>
      </c>
      <c r="O122" s="42"/>
      <c r="P122" s="41">
        <f t="shared" si="11"/>
        <v>1.0104</v>
      </c>
      <c r="Q122" s="41">
        <f t="shared" si="9"/>
        <v>0.92989999999999995</v>
      </c>
      <c r="R122" s="43">
        <f t="shared" si="10"/>
        <v>1.0769</v>
      </c>
    </row>
    <row r="123" spans="11:18">
      <c r="K123" t="s">
        <v>410</v>
      </c>
      <c r="L123">
        <v>5.6400000000000006E-2</v>
      </c>
      <c r="M123">
        <v>-3.85E-2</v>
      </c>
      <c r="N123">
        <v>-2.5100000000000001E-2</v>
      </c>
      <c r="O123" s="42"/>
      <c r="P123" s="41">
        <f t="shared" si="11"/>
        <v>1.0564</v>
      </c>
      <c r="Q123" s="41">
        <f t="shared" si="9"/>
        <v>0.96150000000000002</v>
      </c>
      <c r="R123" s="43">
        <f t="shared" si="10"/>
        <v>0.97489999999999999</v>
      </c>
    </row>
    <row r="124" spans="11:18">
      <c r="K124" t="s">
        <v>411</v>
      </c>
      <c r="L124">
        <v>-8.9999999999999976E-4</v>
      </c>
      <c r="M124">
        <v>2.87E-2</v>
      </c>
      <c r="N124">
        <v>3.0999999999999996E-2</v>
      </c>
      <c r="O124" s="42"/>
      <c r="P124" s="41">
        <f t="shared" si="11"/>
        <v>0.99909999999999999</v>
      </c>
      <c r="Q124" s="41">
        <f t="shared" si="9"/>
        <v>1.0286999999999999</v>
      </c>
      <c r="R124" s="43">
        <f t="shared" si="10"/>
        <v>1.0309999999999999</v>
      </c>
    </row>
    <row r="125" spans="11:18">
      <c r="K125" t="s">
        <v>412</v>
      </c>
      <c r="L125">
        <v>-4.1099999999999998E-2</v>
      </c>
      <c r="M125">
        <v>-2.81E-2</v>
      </c>
      <c r="N125">
        <v>3.3800000000000004E-2</v>
      </c>
      <c r="O125" s="42"/>
      <c r="P125" s="41">
        <f t="shared" si="11"/>
        <v>0.95889999999999997</v>
      </c>
      <c r="Q125" s="41">
        <f t="shared" si="9"/>
        <v>0.97189999999999999</v>
      </c>
      <c r="R125" s="43">
        <f t="shared" si="10"/>
        <v>1.0338000000000001</v>
      </c>
    </row>
    <row r="126" spans="11:18">
      <c r="K126" t="s">
        <v>413</v>
      </c>
      <c r="L126">
        <v>4.6100000000000002E-2</v>
      </c>
      <c r="M126">
        <v>-1.8000000000000002E-2</v>
      </c>
      <c r="N126">
        <v>-2.98E-2</v>
      </c>
      <c r="O126" s="42"/>
      <c r="P126" s="41">
        <f t="shared" si="11"/>
        <v>1.0461</v>
      </c>
      <c r="Q126" s="41">
        <f t="shared" si="9"/>
        <v>0.98199999999999998</v>
      </c>
      <c r="R126" s="43">
        <f t="shared" si="10"/>
        <v>0.97019999999999995</v>
      </c>
    </row>
    <row r="127" spans="11:18">
      <c r="K127" t="s">
        <v>414</v>
      </c>
      <c r="L127">
        <v>-2.9999999999999992E-4</v>
      </c>
      <c r="M127">
        <v>1.5899999999999997E-2</v>
      </c>
      <c r="N127">
        <v>-2.46E-2</v>
      </c>
      <c r="O127" s="42"/>
      <c r="P127" s="41">
        <f t="shared" si="11"/>
        <v>0.99970000000000003</v>
      </c>
      <c r="Q127" s="41">
        <f t="shared" si="9"/>
        <v>1.0159</v>
      </c>
      <c r="R127" s="43">
        <f t="shared" si="10"/>
        <v>0.97540000000000004</v>
      </c>
    </row>
    <row r="128" spans="11:18">
      <c r="K128" t="s">
        <v>415</v>
      </c>
      <c r="L128">
        <v>2.47E-2</v>
      </c>
      <c r="M128">
        <v>2.8899999999999999E-2</v>
      </c>
      <c r="N128">
        <v>4.6700000000000005E-2</v>
      </c>
      <c r="O128" s="42"/>
      <c r="P128" s="41">
        <f t="shared" si="11"/>
        <v>1.0246999999999999</v>
      </c>
      <c r="Q128" s="41">
        <f t="shared" si="9"/>
        <v>1.0288999999999999</v>
      </c>
      <c r="R128" s="43">
        <f t="shared" si="10"/>
        <v>1.0467</v>
      </c>
    </row>
    <row r="129" spans="11:18">
      <c r="K129" t="s">
        <v>416</v>
      </c>
      <c r="L129">
        <v>-2.12E-2</v>
      </c>
      <c r="M129">
        <v>-1.3600000000000001E-2</v>
      </c>
      <c r="N129">
        <v>-1.9E-2</v>
      </c>
      <c r="O129" s="42"/>
      <c r="P129" s="41">
        <f t="shared" si="11"/>
        <v>0.9788</v>
      </c>
      <c r="Q129" s="41">
        <f t="shared" si="9"/>
        <v>0.98639999999999994</v>
      </c>
      <c r="R129" s="43">
        <f t="shared" si="10"/>
        <v>0.98099999999999998</v>
      </c>
    </row>
    <row r="130" spans="11:18">
      <c r="K130" t="s">
        <v>417</v>
      </c>
      <c r="L130">
        <v>4.82E-2</v>
      </c>
      <c r="M130">
        <v>1.6500000000000001E-2</v>
      </c>
      <c r="N130">
        <v>4.3000000000000003E-2</v>
      </c>
      <c r="O130" s="42"/>
      <c r="P130" s="41">
        <f t="shared" si="11"/>
        <v>1.0482</v>
      </c>
      <c r="Q130" s="41">
        <f t="shared" si="9"/>
        <v>1.0165</v>
      </c>
      <c r="R130" s="43">
        <f t="shared" si="10"/>
        <v>1.0429999999999999</v>
      </c>
    </row>
    <row r="131" spans="11:18">
      <c r="K131" t="s">
        <v>418</v>
      </c>
      <c r="L131">
        <v>-2.29E-2</v>
      </c>
      <c r="M131">
        <v>2.1700000000000001E-2</v>
      </c>
      <c r="N131">
        <v>2.9499999999999998E-2</v>
      </c>
      <c r="O131" s="42"/>
      <c r="P131" s="41">
        <f t="shared" si="11"/>
        <v>0.97709999999999997</v>
      </c>
      <c r="Q131" s="41">
        <f t="shared" si="9"/>
        <v>1.0217000000000001</v>
      </c>
      <c r="R131" s="43">
        <f t="shared" si="10"/>
        <v>1.0295000000000001</v>
      </c>
    </row>
    <row r="132" spans="11:18">
      <c r="K132" t="s">
        <v>419</v>
      </c>
      <c r="L132">
        <v>2.2099999999999998E-2</v>
      </c>
      <c r="M132">
        <v>-1.1800000000000001E-2</v>
      </c>
      <c r="N132">
        <v>1.78E-2</v>
      </c>
      <c r="O132" s="42"/>
      <c r="P132" s="41">
        <f t="shared" si="11"/>
        <v>1.0221</v>
      </c>
      <c r="Q132" s="41">
        <f t="shared" si="9"/>
        <v>0.98819999999999997</v>
      </c>
      <c r="R132" s="43">
        <f t="shared" si="10"/>
        <v>1.0178</v>
      </c>
    </row>
    <row r="133" spans="11:18">
      <c r="K133" t="s">
        <v>420</v>
      </c>
      <c r="L133">
        <v>5.5E-2</v>
      </c>
      <c r="M133">
        <v>-6.1999999999999998E-3</v>
      </c>
      <c r="N133">
        <v>-9.8999999999999991E-3</v>
      </c>
      <c r="O133" s="42"/>
      <c r="P133" s="41">
        <f t="shared" si="11"/>
        <v>1.0549999999999999</v>
      </c>
      <c r="Q133" s="41">
        <f t="shared" si="9"/>
        <v>0.99380000000000002</v>
      </c>
      <c r="R133" s="43">
        <f t="shared" si="10"/>
        <v>0.99009999999999998</v>
      </c>
    </row>
    <row r="134" spans="11:18">
      <c r="K134" t="s">
        <v>421</v>
      </c>
      <c r="L134">
        <v>5.2500000000000005E-2</v>
      </c>
      <c r="M134">
        <v>3.6799999999999999E-2</v>
      </c>
      <c r="N134">
        <v>-0.112</v>
      </c>
      <c r="O134" s="42"/>
      <c r="P134" s="41">
        <f t="shared" si="11"/>
        <v>1.0525</v>
      </c>
      <c r="Q134" s="41">
        <f t="shared" si="9"/>
        <v>1.0367999999999999</v>
      </c>
      <c r="R134" s="43">
        <f t="shared" si="10"/>
        <v>0.88800000000000001</v>
      </c>
    </row>
    <row r="135" spans="11:18">
      <c r="K135" t="s">
        <v>422</v>
      </c>
      <c r="L135">
        <v>-1.3699999999999999E-2</v>
      </c>
      <c r="M135">
        <v>-7.7799999999999994E-2</v>
      </c>
      <c r="N135">
        <v>6.0200000000000004E-2</v>
      </c>
      <c r="O135" s="42"/>
      <c r="P135" s="41">
        <f t="shared" si="11"/>
        <v>0.98629999999999995</v>
      </c>
      <c r="Q135" s="41">
        <f t="shared" si="9"/>
        <v>0.92220000000000002</v>
      </c>
      <c r="R135" s="43">
        <f t="shared" si="10"/>
        <v>1.0602</v>
      </c>
    </row>
    <row r="136" spans="11:18">
      <c r="K136" t="s">
        <v>423</v>
      </c>
      <c r="L136">
        <v>4.58E-2</v>
      </c>
      <c r="M136">
        <v>4.3999999999999997E-2</v>
      </c>
      <c r="N136">
        <v>4.5400000000000003E-2</v>
      </c>
      <c r="O136" s="42"/>
      <c r="P136" s="41">
        <f t="shared" si="11"/>
        <v>1.0458000000000001</v>
      </c>
      <c r="Q136" s="41">
        <f t="shared" si="9"/>
        <v>1.044</v>
      </c>
      <c r="R136" s="43">
        <f t="shared" si="10"/>
        <v>1.0454000000000001</v>
      </c>
    </row>
    <row r="137" spans="11:18">
      <c r="K137" t="s">
        <v>424</v>
      </c>
      <c r="L137">
        <v>-4.9999999999999992E-3</v>
      </c>
      <c r="M137">
        <v>-7.5999999999999998E-2</v>
      </c>
      <c r="N137">
        <v>2.18E-2</v>
      </c>
      <c r="O137" s="42"/>
      <c r="P137" s="41">
        <f t="shared" si="11"/>
        <v>0.995</v>
      </c>
      <c r="Q137" s="41">
        <f t="shared" si="9"/>
        <v>0.92400000000000004</v>
      </c>
      <c r="R137" s="43">
        <f t="shared" si="10"/>
        <v>1.0218</v>
      </c>
    </row>
    <row r="138" spans="11:18">
      <c r="K138" t="s">
        <v>425</v>
      </c>
      <c r="L138">
        <v>-2.0200000000000003E-2</v>
      </c>
      <c r="M138">
        <v>-4.3400000000000001E-2</v>
      </c>
      <c r="N138">
        <v>-2.2000000000000001E-3</v>
      </c>
      <c r="O138" s="42"/>
      <c r="P138" s="41">
        <f t="shared" si="11"/>
        <v>0.9798</v>
      </c>
      <c r="Q138" s="41">
        <f t="shared" si="9"/>
        <v>0.95660000000000001</v>
      </c>
      <c r="R138" s="43">
        <f t="shared" si="10"/>
        <v>0.99780000000000002</v>
      </c>
    </row>
    <row r="139" spans="11:18">
      <c r="K139" t="s">
        <v>426</v>
      </c>
      <c r="L139">
        <v>1.2500000000000001E-2</v>
      </c>
      <c r="M139">
        <v>-1.38E-2</v>
      </c>
      <c r="N139">
        <v>6.2600000000000003E-2</v>
      </c>
      <c r="O139" s="42"/>
      <c r="P139" s="41">
        <f t="shared" si="11"/>
        <v>1.0125</v>
      </c>
      <c r="Q139" s="41">
        <f t="shared" si="9"/>
        <v>0.98619999999999997</v>
      </c>
      <c r="R139" s="43">
        <f t="shared" si="10"/>
        <v>1.0626</v>
      </c>
    </row>
    <row r="140" spans="11:18">
      <c r="K140" t="s">
        <v>427</v>
      </c>
      <c r="L140">
        <v>-1.2E-2</v>
      </c>
      <c r="M140">
        <v>1.1800000000000001E-2</v>
      </c>
      <c r="N140">
        <v>2.07E-2</v>
      </c>
      <c r="O140" s="42"/>
      <c r="P140" s="41">
        <f t="shared" si="11"/>
        <v>0.98799999999999999</v>
      </c>
      <c r="Q140" s="41">
        <f t="shared" si="9"/>
        <v>1.0118</v>
      </c>
      <c r="R140" s="43">
        <f t="shared" si="10"/>
        <v>1.0206999999999999</v>
      </c>
    </row>
    <row r="141" spans="11:18">
      <c r="K141" t="s">
        <v>428</v>
      </c>
      <c r="L141">
        <v>-5.4399999999999997E-2</v>
      </c>
      <c r="M141">
        <v>-5.4300000000000001E-2</v>
      </c>
      <c r="N141">
        <v>3.0799999999999998E-2</v>
      </c>
      <c r="O141" s="42"/>
      <c r="P141" s="41">
        <f t="shared" si="11"/>
        <v>0.9456</v>
      </c>
      <c r="Q141" s="41">
        <f t="shared" si="9"/>
        <v>0.94569999999999999</v>
      </c>
      <c r="R141" s="43">
        <f t="shared" si="10"/>
        <v>1.0307999999999999</v>
      </c>
    </row>
    <row r="142" spans="11:18">
      <c r="K142" t="s">
        <v>429</v>
      </c>
      <c r="L142">
        <v>2.3299999999999998E-2</v>
      </c>
      <c r="M142">
        <v>8.6699999999999999E-2</v>
      </c>
      <c r="N142">
        <v>-1.52E-2</v>
      </c>
      <c r="O142" s="42"/>
      <c r="P142" s="41">
        <f t="shared" si="11"/>
        <v>1.0233000000000001</v>
      </c>
      <c r="Q142" s="41">
        <f t="shared" si="9"/>
        <v>1.0867</v>
      </c>
      <c r="R142" s="43">
        <f t="shared" si="10"/>
        <v>0.98480000000000001</v>
      </c>
    </row>
    <row r="143" spans="11:18">
      <c r="K143" t="s">
        <v>430</v>
      </c>
      <c r="L143">
        <v>-3.2500000000000001E-2</v>
      </c>
      <c r="M143">
        <v>-0.1237</v>
      </c>
      <c r="N143">
        <v>-9.7999999999999997E-3</v>
      </c>
      <c r="O143" s="42"/>
      <c r="P143" s="41">
        <f t="shared" si="11"/>
        <v>0.96750000000000003</v>
      </c>
      <c r="Q143" s="41">
        <f t="shared" si="9"/>
        <v>0.87629999999999997</v>
      </c>
      <c r="R143" s="43">
        <f t="shared" si="10"/>
        <v>0.99019999999999997</v>
      </c>
    </row>
    <row r="144" spans="11:18">
      <c r="K144" t="s">
        <v>431</v>
      </c>
      <c r="L144">
        <v>1.78E-2</v>
      </c>
      <c r="M144">
        <v>-1.0499999999999999E-2</v>
      </c>
      <c r="N144">
        <v>-1.8E-3</v>
      </c>
      <c r="O144" s="42"/>
      <c r="P144" s="41">
        <f t="shared" si="11"/>
        <v>1.0178</v>
      </c>
      <c r="Q144" s="41">
        <f t="shared" si="9"/>
        <v>0.98950000000000005</v>
      </c>
      <c r="R144" s="43">
        <f t="shared" si="10"/>
        <v>0.99819999999999998</v>
      </c>
    </row>
    <row r="145" spans="11:18">
      <c r="K145" t="s">
        <v>432</v>
      </c>
      <c r="L145">
        <v>-3.1799999999999995E-2</v>
      </c>
      <c r="M145">
        <v>4.1999999999999996E-2</v>
      </c>
      <c r="N145">
        <v>-7.4899999999999994E-2</v>
      </c>
      <c r="O145" s="42"/>
      <c r="P145" s="41">
        <f t="shared" si="11"/>
        <v>0.96819999999999995</v>
      </c>
      <c r="Q145" s="41">
        <f t="shared" si="9"/>
        <v>1.042</v>
      </c>
      <c r="R145" s="43">
        <f t="shared" si="10"/>
        <v>0.92510000000000003</v>
      </c>
    </row>
    <row r="146" spans="11:18">
      <c r="K146" t="s">
        <v>433</v>
      </c>
      <c r="L146">
        <v>3.2000000000000002E-3</v>
      </c>
      <c r="M146">
        <v>3.8800000000000001E-2</v>
      </c>
      <c r="N146">
        <v>2.3699999999999999E-2</v>
      </c>
      <c r="O146" s="42"/>
      <c r="P146" s="41">
        <f t="shared" si="11"/>
        <v>1.0032000000000001</v>
      </c>
      <c r="Q146" s="41">
        <f t="shared" si="9"/>
        <v>1.0387999999999999</v>
      </c>
      <c r="R146" s="43">
        <f t="shared" si="10"/>
        <v>1.0237000000000001</v>
      </c>
    </row>
    <row r="147" spans="11:18">
      <c r="K147" t="s">
        <v>434</v>
      </c>
      <c r="L147">
        <v>3.0499999999999999E-2</v>
      </c>
      <c r="M147">
        <v>0.12590000000000001</v>
      </c>
      <c r="N147">
        <v>5.8700000000000002E-2</v>
      </c>
      <c r="O147" s="42"/>
      <c r="P147" s="41">
        <f t="shared" si="11"/>
        <v>1.0305</v>
      </c>
      <c r="Q147" s="41">
        <f t="shared" si="9"/>
        <v>1.1259000000000001</v>
      </c>
      <c r="R147" s="43">
        <f t="shared" si="10"/>
        <v>1.0587</v>
      </c>
    </row>
    <row r="148" spans="11:18">
      <c r="K148" t="s">
        <v>435</v>
      </c>
      <c r="L148">
        <v>-8.8999999999999999E-3</v>
      </c>
      <c r="M148">
        <v>2.0199999999999999E-2</v>
      </c>
      <c r="N148">
        <v>-1.23E-2</v>
      </c>
      <c r="O148" s="42"/>
      <c r="P148" s="41">
        <f t="shared" si="11"/>
        <v>0.99109999999999998</v>
      </c>
      <c r="Q148" s="41">
        <f t="shared" si="9"/>
        <v>1.0202</v>
      </c>
      <c r="R148" s="43">
        <f t="shared" si="10"/>
        <v>0.98770000000000002</v>
      </c>
    </row>
    <row r="149" spans="11:18">
      <c r="K149" t="s">
        <v>436</v>
      </c>
      <c r="L149">
        <v>6.0700000000000004E-2</v>
      </c>
      <c r="M149">
        <v>5.5500000000000001E-2</v>
      </c>
      <c r="N149">
        <v>2.75E-2</v>
      </c>
      <c r="O149" s="42"/>
      <c r="P149" s="41">
        <f t="shared" si="11"/>
        <v>1.0607</v>
      </c>
      <c r="Q149" s="41">
        <f t="shared" ref="Q149:Q162" si="12">M149+1</f>
        <v>1.0555000000000001</v>
      </c>
      <c r="R149" s="43">
        <f t="shared" ref="R149:R162" si="13">N149+1</f>
        <v>1.0275000000000001</v>
      </c>
    </row>
    <row r="150" spans="11:18">
      <c r="K150" t="s">
        <v>437</v>
      </c>
      <c r="L150">
        <v>7.4300000000000005E-2</v>
      </c>
      <c r="M150">
        <v>-1.7000000000000001E-3</v>
      </c>
      <c r="N150">
        <v>7.3000000000000009E-2</v>
      </c>
      <c r="O150" s="42"/>
      <c r="P150" s="41">
        <f t="shared" ref="P150:P162" si="14">L150+1</f>
        <v>1.0743</v>
      </c>
      <c r="Q150" s="41">
        <f t="shared" si="12"/>
        <v>0.99829999999999997</v>
      </c>
      <c r="R150" s="43">
        <f t="shared" si="13"/>
        <v>1.073</v>
      </c>
    </row>
    <row r="151" spans="11:18">
      <c r="K151" t="s">
        <v>438</v>
      </c>
      <c r="L151">
        <v>3.5900000000000001E-2</v>
      </c>
      <c r="M151">
        <v>-4.82E-2</v>
      </c>
      <c r="N151">
        <v>-8.199999999999999E-3</v>
      </c>
      <c r="O151" s="42"/>
      <c r="P151" s="41">
        <f t="shared" si="14"/>
        <v>1.0359</v>
      </c>
      <c r="Q151" s="41">
        <f t="shared" si="12"/>
        <v>0.95179999999999998</v>
      </c>
      <c r="R151" s="43">
        <f t="shared" si="13"/>
        <v>0.99180000000000001</v>
      </c>
    </row>
    <row r="152" spans="11:18">
      <c r="K152" t="s">
        <v>439</v>
      </c>
      <c r="L152">
        <v>-9.4000000000000004E-3</v>
      </c>
      <c r="M152">
        <v>2.7E-2</v>
      </c>
      <c r="N152">
        <v>-4.8099999999999997E-2</v>
      </c>
      <c r="O152" s="42"/>
      <c r="P152" s="41">
        <f t="shared" si="14"/>
        <v>0.99060000000000004</v>
      </c>
      <c r="Q152" s="41">
        <f t="shared" si="12"/>
        <v>1.0269999999999999</v>
      </c>
      <c r="R152" s="43">
        <f t="shared" si="13"/>
        <v>0.95189999999999997</v>
      </c>
    </row>
    <row r="153" spans="11:18">
      <c r="K153" t="s">
        <v>440</v>
      </c>
      <c r="L153">
        <v>3.5300000000000005E-2</v>
      </c>
      <c r="M153">
        <v>6.1999999999999998E-3</v>
      </c>
      <c r="N153">
        <v>0.1003</v>
      </c>
      <c r="O153" s="42"/>
      <c r="P153" s="41">
        <f t="shared" si="14"/>
        <v>1.0353000000000001</v>
      </c>
      <c r="Q153" s="41">
        <f t="shared" si="12"/>
        <v>1.0062</v>
      </c>
      <c r="R153" s="43">
        <f t="shared" si="13"/>
        <v>1.1003000000000001</v>
      </c>
    </row>
    <row r="154" spans="11:18">
      <c r="K154" t="s">
        <v>441</v>
      </c>
      <c r="L154">
        <v>-2.7400000000000001E-2</v>
      </c>
      <c r="M154">
        <v>-5.0000000000000001E-3</v>
      </c>
      <c r="N154">
        <v>-3.6600000000000001E-2</v>
      </c>
      <c r="O154" s="42"/>
      <c r="P154" s="41">
        <f t="shared" si="14"/>
        <v>0.97260000000000002</v>
      </c>
      <c r="Q154" s="41">
        <f t="shared" si="12"/>
        <v>0.995</v>
      </c>
      <c r="R154" s="43">
        <f t="shared" si="13"/>
        <v>0.96340000000000003</v>
      </c>
    </row>
    <row r="155" spans="11:18">
      <c r="K155" t="s">
        <v>442</v>
      </c>
      <c r="L155">
        <v>3.3399999999999999E-2</v>
      </c>
      <c r="M155">
        <v>-4.2099999999999999E-2</v>
      </c>
      <c r="N155">
        <v>6.4500000000000002E-2</v>
      </c>
      <c r="O155" s="42"/>
      <c r="P155" s="41">
        <f t="shared" si="14"/>
        <v>1.0334000000000001</v>
      </c>
      <c r="Q155" s="41">
        <f t="shared" si="12"/>
        <v>0.95789999999999997</v>
      </c>
      <c r="R155" s="43">
        <f t="shared" si="13"/>
        <v>1.0645</v>
      </c>
    </row>
    <row r="156" spans="11:18">
      <c r="K156" t="s">
        <v>443</v>
      </c>
      <c r="L156">
        <v>5.8200000000000002E-2</v>
      </c>
      <c r="M156">
        <v>9.35E-2</v>
      </c>
      <c r="N156">
        <v>4.0000000000000001E-3</v>
      </c>
      <c r="O156" s="42"/>
      <c r="P156" s="41">
        <f t="shared" si="14"/>
        <v>1.0582</v>
      </c>
      <c r="Q156" s="41">
        <f t="shared" si="12"/>
        <v>1.0934999999999999</v>
      </c>
      <c r="R156" s="43">
        <f t="shared" si="13"/>
        <v>1.004</v>
      </c>
    </row>
    <row r="157" spans="11:18">
      <c r="K157" t="s">
        <v>444</v>
      </c>
      <c r="L157">
        <v>5.16E-2</v>
      </c>
      <c r="M157">
        <v>4.0300000000000002E-2</v>
      </c>
      <c r="N157">
        <v>-1.83E-2</v>
      </c>
      <c r="O157" s="42"/>
      <c r="P157" s="41">
        <f t="shared" si="14"/>
        <v>1.0516000000000001</v>
      </c>
      <c r="Q157" s="41">
        <f t="shared" si="12"/>
        <v>1.0403</v>
      </c>
      <c r="R157" s="43">
        <f t="shared" si="13"/>
        <v>0.98170000000000002</v>
      </c>
    </row>
    <row r="158" spans="11:18">
      <c r="K158" t="s">
        <v>445</v>
      </c>
      <c r="L158">
        <v>-3.2799999999999996E-2</v>
      </c>
      <c r="M158">
        <v>-0.1055</v>
      </c>
      <c r="N158">
        <v>0.1837</v>
      </c>
      <c r="O158" s="42"/>
      <c r="P158" s="41">
        <f t="shared" si="14"/>
        <v>0.96720000000000006</v>
      </c>
      <c r="Q158" s="41">
        <f t="shared" si="12"/>
        <v>0.89449999999999996</v>
      </c>
      <c r="R158" s="43">
        <f t="shared" si="13"/>
        <v>1.1837</v>
      </c>
    </row>
    <row r="159" spans="11:18">
      <c r="K159" t="s">
        <v>446</v>
      </c>
      <c r="L159">
        <v>-1.3199999999999998E-2</v>
      </c>
      <c r="M159">
        <v>3.2399999999999998E-2</v>
      </c>
      <c r="N159">
        <v>-5.57E-2</v>
      </c>
      <c r="O159" s="42"/>
      <c r="P159" s="41">
        <f t="shared" si="14"/>
        <v>0.98680000000000001</v>
      </c>
      <c r="Q159" s="41">
        <f t="shared" si="12"/>
        <v>1.0324</v>
      </c>
      <c r="R159" s="43">
        <f t="shared" si="13"/>
        <v>0.94430000000000003</v>
      </c>
    </row>
    <row r="160" spans="11:18">
      <c r="K160" t="s">
        <v>447</v>
      </c>
      <c r="L160">
        <v>-5.4999999999999997E-3</v>
      </c>
      <c r="M160">
        <v>-4.3999999999999994E-3</v>
      </c>
      <c r="N160">
        <v>5.8900000000000001E-2</v>
      </c>
      <c r="O160" s="42"/>
      <c r="P160" s="41">
        <f t="shared" si="14"/>
        <v>0.99450000000000005</v>
      </c>
      <c r="Q160" s="41">
        <f t="shared" si="12"/>
        <v>0.99560000000000004</v>
      </c>
      <c r="R160" s="43">
        <f t="shared" si="13"/>
        <v>1.0589</v>
      </c>
    </row>
    <row r="161" spans="11:18">
      <c r="K161" t="s">
        <v>448</v>
      </c>
      <c r="L161">
        <v>4.2100000000000005E-2</v>
      </c>
      <c r="M161">
        <v>4.3299999999999998E-2</v>
      </c>
      <c r="N161">
        <v>3.85E-2</v>
      </c>
      <c r="O161" s="42"/>
      <c r="P161" s="41">
        <f t="shared" si="14"/>
        <v>1.0421</v>
      </c>
      <c r="Q161" s="41">
        <f t="shared" si="12"/>
        <v>1.0432999999999999</v>
      </c>
      <c r="R161" s="43">
        <f t="shared" si="13"/>
        <v>1.0385</v>
      </c>
    </row>
    <row r="162" spans="11:18">
      <c r="K162" t="s">
        <v>449</v>
      </c>
      <c r="L162">
        <v>1.43E-2</v>
      </c>
      <c r="M162">
        <v>0.1227</v>
      </c>
      <c r="N162">
        <v>-1.5599999999999999E-2</v>
      </c>
      <c r="O162" s="42"/>
      <c r="P162" s="41">
        <f t="shared" si="14"/>
        <v>1.0143</v>
      </c>
      <c r="Q162" s="41">
        <f t="shared" si="12"/>
        <v>1.1227</v>
      </c>
      <c r="R162" s="43">
        <f t="shared" si="13"/>
        <v>0.98440000000000005</v>
      </c>
    </row>
  </sheetData>
  <mergeCells count="7">
    <mergeCell ref="AB18:AD18"/>
    <mergeCell ref="C4:D4"/>
    <mergeCell ref="E4:F4"/>
    <mergeCell ref="G4:H4"/>
    <mergeCell ref="L5:N5"/>
    <mergeCell ref="P5:R5"/>
    <mergeCell ref="AB17:AD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53"/>
  <sheetViews>
    <sheetView topLeftCell="B1" zoomScale="43" workbookViewId="0">
      <selection activeCell="AE13" sqref="AE13"/>
    </sheetView>
  </sheetViews>
  <sheetFormatPr baseColWidth="10" defaultColWidth="8.83203125" defaultRowHeight="16"/>
  <cols>
    <col min="1" max="1" width="36.6640625" style="181" bestFit="1" customWidth="1"/>
    <col min="2" max="2" width="10.83203125" bestFit="1" customWidth="1"/>
    <col min="3" max="3" width="13.5" customWidth="1"/>
    <col min="4" max="4" width="28.83203125" bestFit="1" customWidth="1"/>
    <col min="5" max="5" width="12.1640625" bestFit="1" customWidth="1"/>
    <col min="6" max="6" width="9.1640625" bestFit="1" customWidth="1"/>
    <col min="7" max="7" width="18.1640625" bestFit="1" customWidth="1"/>
    <col min="8" max="8" width="9.1640625" bestFit="1" customWidth="1"/>
    <col min="10" max="11" width="9.1640625" bestFit="1" customWidth="1"/>
    <col min="13" max="13" width="9.1640625" bestFit="1" customWidth="1"/>
    <col min="14" max="14" width="7.6640625" bestFit="1" customWidth="1"/>
    <col min="16" max="16" width="6.6640625" bestFit="1" customWidth="1"/>
    <col min="17" max="17" width="7.6640625" bestFit="1" customWidth="1"/>
    <col min="25" max="25" width="24.1640625" bestFit="1" customWidth="1"/>
    <col min="26" max="26" width="11" bestFit="1" customWidth="1"/>
    <col min="28" max="28" width="24.1640625" bestFit="1" customWidth="1"/>
    <col min="29" max="29" width="11.6640625" bestFit="1" customWidth="1"/>
  </cols>
  <sheetData>
    <row r="1" spans="1:29" ht="17" customHeight="1">
      <c r="A1" s="120" t="s">
        <v>179</v>
      </c>
      <c r="B1" s="121"/>
      <c r="C1" s="122"/>
      <c r="D1" s="122"/>
      <c r="E1" s="122"/>
      <c r="F1" s="122"/>
      <c r="G1" s="122"/>
      <c r="H1" s="123"/>
      <c r="I1" s="123"/>
      <c r="J1" s="123"/>
      <c r="K1" s="123"/>
      <c r="L1" s="122"/>
      <c r="M1" s="122"/>
      <c r="N1" s="122"/>
      <c r="O1" s="122"/>
      <c r="P1" s="122"/>
      <c r="Q1" s="122"/>
    </row>
    <row r="2" spans="1:29">
      <c r="A2" s="122"/>
      <c r="B2" s="121"/>
      <c r="C2" s="122"/>
      <c r="D2" s="122"/>
      <c r="E2" s="122"/>
      <c r="F2" s="122"/>
      <c r="G2" s="122"/>
      <c r="H2" s="123"/>
      <c r="I2" s="123"/>
      <c r="J2" s="123"/>
      <c r="K2" s="123"/>
      <c r="L2" s="122"/>
      <c r="M2" s="122"/>
      <c r="N2" s="122"/>
      <c r="O2" s="122"/>
      <c r="P2" s="122"/>
      <c r="Q2" s="122"/>
    </row>
    <row r="3" spans="1:29">
      <c r="A3" s="124" t="s">
        <v>180</v>
      </c>
      <c r="B3" s="125" t="s">
        <v>181</v>
      </c>
      <c r="C3" s="126"/>
      <c r="D3" s="126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Y3" s="195" t="s">
        <v>277</v>
      </c>
      <c r="Z3" t="s">
        <v>292</v>
      </c>
      <c r="AB3" s="195" t="s">
        <v>277</v>
      </c>
      <c r="AC3" t="s">
        <v>293</v>
      </c>
    </row>
    <row r="4" spans="1:29" ht="17">
      <c r="A4" s="128" t="s">
        <v>182</v>
      </c>
      <c r="B4" s="129">
        <v>500000</v>
      </c>
      <c r="C4" s="126"/>
      <c r="D4" s="193" t="s">
        <v>183</v>
      </c>
      <c r="E4" s="193"/>
      <c r="F4" s="127"/>
      <c r="G4" s="193" t="s">
        <v>184</v>
      </c>
      <c r="H4" s="193"/>
      <c r="I4" s="127"/>
      <c r="J4" s="193" t="s">
        <v>185</v>
      </c>
      <c r="K4" s="193"/>
      <c r="L4" s="127"/>
      <c r="M4" s="193" t="s">
        <v>186</v>
      </c>
      <c r="N4" s="193"/>
      <c r="O4" s="127"/>
      <c r="P4" s="193" t="s">
        <v>187</v>
      </c>
      <c r="Q4" s="193"/>
      <c r="Y4" t="s">
        <v>278</v>
      </c>
      <c r="Z4">
        <v>90</v>
      </c>
      <c r="AB4" t="s">
        <v>278</v>
      </c>
      <c r="AC4">
        <v>110</v>
      </c>
    </row>
    <row r="5" spans="1:29" ht="17">
      <c r="A5" s="128" t="s">
        <v>188</v>
      </c>
      <c r="B5" s="129">
        <v>700000</v>
      </c>
      <c r="C5" s="126"/>
      <c r="E5" s="130">
        <f>B8</f>
        <v>1100000</v>
      </c>
      <c r="F5" s="127"/>
      <c r="G5" s="130">
        <f>B9</f>
        <v>70000</v>
      </c>
      <c r="H5" s="131"/>
      <c r="I5" s="127"/>
      <c r="J5" s="130">
        <f>B6</f>
        <v>800000</v>
      </c>
      <c r="K5" s="131"/>
      <c r="L5" s="127"/>
      <c r="M5" s="130">
        <f>B8</f>
        <v>1100000</v>
      </c>
      <c r="N5" s="132"/>
      <c r="O5" s="127"/>
      <c r="P5" s="133"/>
      <c r="Q5" s="132">
        <f>B4</f>
        <v>500000</v>
      </c>
      <c r="Y5" t="s">
        <v>279</v>
      </c>
      <c r="Z5">
        <v>30</v>
      </c>
      <c r="AB5" t="s">
        <v>279</v>
      </c>
      <c r="AC5">
        <v>30</v>
      </c>
    </row>
    <row r="6" spans="1:29" ht="17">
      <c r="A6" s="128" t="s">
        <v>189</v>
      </c>
      <c r="B6" s="129">
        <v>800000</v>
      </c>
      <c r="C6" s="126"/>
      <c r="D6" s="134"/>
      <c r="E6" s="127"/>
      <c r="F6" s="127"/>
      <c r="G6" s="134"/>
      <c r="H6" s="127"/>
      <c r="I6" s="127"/>
      <c r="J6" s="134"/>
      <c r="K6" s="135">
        <f>B14</f>
        <v>200000</v>
      </c>
      <c r="L6" s="127"/>
      <c r="M6" s="134"/>
      <c r="N6" s="135">
        <f>B10</f>
        <v>600000</v>
      </c>
      <c r="O6" s="127"/>
      <c r="P6" s="134"/>
      <c r="Q6" s="127"/>
      <c r="Y6" t="s">
        <v>280</v>
      </c>
      <c r="Z6">
        <v>0</v>
      </c>
      <c r="AB6" t="s">
        <v>280</v>
      </c>
      <c r="AC6">
        <v>0</v>
      </c>
    </row>
    <row r="7" spans="1:29" ht="17">
      <c r="A7" s="128" t="s">
        <v>190</v>
      </c>
      <c r="B7" s="129">
        <v>300000</v>
      </c>
      <c r="C7" s="126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Y7" t="s">
        <v>281</v>
      </c>
      <c r="Z7">
        <v>40</v>
      </c>
      <c r="AB7" t="s">
        <v>281</v>
      </c>
      <c r="AC7">
        <v>40</v>
      </c>
    </row>
    <row r="8" spans="1:29" ht="17">
      <c r="A8" s="128" t="s">
        <v>191</v>
      </c>
      <c r="B8" s="129">
        <v>1100000</v>
      </c>
      <c r="C8" s="126"/>
      <c r="D8" s="193" t="s">
        <v>192</v>
      </c>
      <c r="E8" s="193"/>
      <c r="F8" s="127"/>
      <c r="G8" s="193" t="s">
        <v>193</v>
      </c>
      <c r="H8" s="193"/>
      <c r="I8" s="127"/>
      <c r="J8" s="193" t="s">
        <v>194</v>
      </c>
      <c r="K8" s="193"/>
      <c r="L8" s="127"/>
      <c r="M8" s="193" t="s">
        <v>195</v>
      </c>
      <c r="N8" s="193"/>
      <c r="O8" s="127"/>
      <c r="P8" s="193" t="s">
        <v>196</v>
      </c>
      <c r="Q8" s="193"/>
      <c r="Y8" t="s">
        <v>282</v>
      </c>
      <c r="Z8">
        <v>20</v>
      </c>
      <c r="AB8" t="s">
        <v>282</v>
      </c>
      <c r="AC8">
        <v>20</v>
      </c>
    </row>
    <row r="9" spans="1:29" ht="17">
      <c r="A9" s="128" t="s">
        <v>197</v>
      </c>
      <c r="B9" s="129">
        <v>70000</v>
      </c>
      <c r="C9" s="126"/>
      <c r="D9" s="130">
        <f>J9-B12</f>
        <v>200000</v>
      </c>
      <c r="E9" s="131"/>
      <c r="F9" s="127"/>
      <c r="G9" s="130">
        <f>B14</f>
        <v>200000</v>
      </c>
      <c r="H9" s="131"/>
      <c r="I9" s="127"/>
      <c r="J9" s="130">
        <f>B7</f>
        <v>300000</v>
      </c>
      <c r="K9" s="131"/>
      <c r="L9" s="127"/>
      <c r="M9" s="130">
        <f>B4</f>
        <v>500000</v>
      </c>
      <c r="N9" s="131"/>
      <c r="O9" s="127"/>
      <c r="Q9" s="130">
        <f>B5</f>
        <v>700000</v>
      </c>
      <c r="Y9" t="s">
        <v>283</v>
      </c>
      <c r="Z9">
        <v>20</v>
      </c>
      <c r="AB9" t="s">
        <v>283</v>
      </c>
      <c r="AC9">
        <v>60</v>
      </c>
    </row>
    <row r="10" spans="1:29" ht="17">
      <c r="A10" s="128" t="s">
        <v>198</v>
      </c>
      <c r="B10" s="129">
        <v>600000</v>
      </c>
      <c r="C10" s="126"/>
      <c r="D10" s="134"/>
      <c r="E10" s="127"/>
      <c r="F10" s="127"/>
      <c r="G10" s="134"/>
      <c r="H10" s="127"/>
      <c r="I10" s="127"/>
      <c r="J10" s="134"/>
      <c r="K10" s="135">
        <f>D9</f>
        <v>200000</v>
      </c>
      <c r="L10" s="127"/>
      <c r="M10" s="136">
        <f>B5</f>
        <v>700000</v>
      </c>
      <c r="N10" s="127"/>
      <c r="O10" s="127"/>
      <c r="P10" s="135">
        <f>N16-G13</f>
        <v>50000</v>
      </c>
      <c r="Y10" t="s">
        <v>284</v>
      </c>
      <c r="Z10">
        <v>50</v>
      </c>
      <c r="AB10" t="s">
        <v>284</v>
      </c>
      <c r="AC10">
        <v>50</v>
      </c>
    </row>
    <row r="11" spans="1:29" ht="28" customHeight="1">
      <c r="A11" s="128" t="s">
        <v>199</v>
      </c>
      <c r="B11" s="129">
        <v>325000</v>
      </c>
      <c r="C11" s="126"/>
      <c r="D11" s="126"/>
      <c r="E11" s="127"/>
      <c r="F11" s="127"/>
      <c r="G11" s="127"/>
      <c r="H11" s="127"/>
      <c r="I11" s="127"/>
      <c r="J11" s="127"/>
      <c r="K11" s="127"/>
      <c r="L11" s="127"/>
      <c r="M11" s="134"/>
      <c r="N11" s="135">
        <f>B6</f>
        <v>800000</v>
      </c>
      <c r="O11" s="127"/>
      <c r="P11" s="127"/>
      <c r="Q11" s="127"/>
      <c r="Y11" t="s">
        <v>285</v>
      </c>
      <c r="Z11">
        <v>150</v>
      </c>
      <c r="AB11" t="s">
        <v>285</v>
      </c>
      <c r="AC11">
        <v>100</v>
      </c>
    </row>
    <row r="12" spans="1:29" ht="17">
      <c r="A12" s="128" t="s">
        <v>200</v>
      </c>
      <c r="B12" s="129">
        <v>100000</v>
      </c>
      <c r="C12" s="126"/>
      <c r="D12" s="193" t="s">
        <v>201</v>
      </c>
      <c r="E12" s="193"/>
      <c r="F12" s="127"/>
      <c r="G12" s="193" t="s">
        <v>202</v>
      </c>
      <c r="H12" s="193"/>
      <c r="I12" s="127"/>
      <c r="J12" s="193" t="s">
        <v>203</v>
      </c>
      <c r="K12" s="193"/>
      <c r="L12" s="127"/>
      <c r="M12" s="134"/>
      <c r="N12" s="137">
        <v>300000</v>
      </c>
      <c r="O12" s="127"/>
      <c r="P12" s="193" t="s">
        <v>204</v>
      </c>
      <c r="Q12" s="193"/>
      <c r="Y12" s="195" t="s">
        <v>286</v>
      </c>
      <c r="Z12">
        <f>SUM(Z4:Z11)</f>
        <v>400</v>
      </c>
      <c r="AB12" s="195" t="s">
        <v>286</v>
      </c>
      <c r="AC12">
        <f>SUM(AC4:AC11)</f>
        <v>410</v>
      </c>
    </row>
    <row r="13" spans="1:29" ht="21" customHeight="1">
      <c r="A13" s="128" t="s">
        <v>205</v>
      </c>
      <c r="B13" s="129">
        <v>120000</v>
      </c>
      <c r="C13" s="126"/>
      <c r="D13" s="130">
        <f>B11/5*4</f>
        <v>260000</v>
      </c>
      <c r="E13" s="131"/>
      <c r="F13" s="127"/>
      <c r="G13" s="130">
        <f>Q9*10%</f>
        <v>70000</v>
      </c>
      <c r="H13" s="131"/>
      <c r="I13" s="127"/>
      <c r="J13" s="130">
        <f>B11-D13</f>
        <v>65000</v>
      </c>
      <c r="K13" s="131"/>
      <c r="L13" s="127"/>
      <c r="M13" s="134"/>
      <c r="N13" s="137">
        <f>B9</f>
        <v>70000</v>
      </c>
      <c r="O13" s="127"/>
      <c r="P13" s="130"/>
      <c r="Q13" s="132"/>
    </row>
    <row r="14" spans="1:29" ht="17">
      <c r="A14" s="128" t="s">
        <v>206</v>
      </c>
      <c r="B14" s="129">
        <f>B6*25%</f>
        <v>200000</v>
      </c>
      <c r="C14" s="126"/>
      <c r="D14" s="136"/>
      <c r="E14" s="127"/>
      <c r="F14" s="127"/>
      <c r="G14" s="134"/>
      <c r="H14" s="127"/>
      <c r="I14" s="127"/>
      <c r="J14" s="134"/>
      <c r="K14" s="127"/>
      <c r="L14" s="127"/>
      <c r="M14" s="136">
        <f>B10</f>
        <v>600000</v>
      </c>
      <c r="N14" s="127"/>
      <c r="O14" s="127"/>
      <c r="P14" s="136"/>
      <c r="Q14" s="135"/>
      <c r="Y14" t="s">
        <v>287</v>
      </c>
      <c r="Z14">
        <v>130</v>
      </c>
      <c r="AB14" t="s">
        <v>287</v>
      </c>
      <c r="AC14">
        <v>160</v>
      </c>
    </row>
    <row r="15" spans="1:29">
      <c r="A15" s="127"/>
      <c r="B15" s="126"/>
      <c r="C15" s="126"/>
      <c r="D15" s="126"/>
      <c r="E15" s="127"/>
      <c r="F15" s="127"/>
      <c r="G15" s="127"/>
      <c r="H15" s="127"/>
      <c r="I15" s="127"/>
      <c r="J15" s="127"/>
      <c r="K15" s="127"/>
      <c r="L15" s="127"/>
      <c r="M15" s="134"/>
      <c r="N15" s="135">
        <f>B11</f>
        <v>325000</v>
      </c>
      <c r="O15" s="127"/>
      <c r="P15" s="122"/>
      <c r="Q15" s="122"/>
      <c r="Y15" t="s">
        <v>288</v>
      </c>
      <c r="Z15">
        <v>210</v>
      </c>
      <c r="AB15" t="s">
        <v>288</v>
      </c>
      <c r="AC15">
        <v>210</v>
      </c>
    </row>
    <row r="16" spans="1:29" ht="17" thickBot="1">
      <c r="A16" s="174" t="s">
        <v>207</v>
      </c>
      <c r="B16" s="139"/>
      <c r="C16" s="122"/>
      <c r="D16" s="138" t="s">
        <v>208</v>
      </c>
      <c r="E16" s="139"/>
      <c r="F16" s="139"/>
      <c r="G16" s="138"/>
      <c r="H16" s="139"/>
      <c r="I16" s="139"/>
      <c r="J16" s="123"/>
      <c r="K16" s="139"/>
      <c r="L16" s="127"/>
      <c r="M16" s="134"/>
      <c r="N16" s="135">
        <f>B13</f>
        <v>120000</v>
      </c>
      <c r="O16" s="127"/>
      <c r="P16" s="122"/>
      <c r="Q16" s="122"/>
      <c r="Y16" t="s">
        <v>204</v>
      </c>
      <c r="Z16">
        <v>30</v>
      </c>
      <c r="AB16" t="s">
        <v>204</v>
      </c>
      <c r="AC16">
        <v>0</v>
      </c>
    </row>
    <row r="17" spans="1:29">
      <c r="A17" s="175" t="str">
        <f>D4</f>
        <v>Omsætning</v>
      </c>
      <c r="B17" s="140">
        <f>E5</f>
        <v>1100000</v>
      </c>
      <c r="C17" s="122"/>
      <c r="D17" s="141" t="s">
        <v>209</v>
      </c>
      <c r="E17" s="142"/>
      <c r="F17" s="142"/>
      <c r="G17" s="143" t="s">
        <v>210</v>
      </c>
      <c r="H17" s="144"/>
      <c r="I17" s="123"/>
      <c r="J17" s="123"/>
      <c r="K17" s="145"/>
      <c r="L17" s="127"/>
      <c r="M17" s="127"/>
      <c r="N17" s="135"/>
      <c r="O17" s="127"/>
      <c r="P17" s="127"/>
      <c r="Q17" s="127"/>
      <c r="Y17" t="s">
        <v>289</v>
      </c>
      <c r="Z17">
        <v>10</v>
      </c>
      <c r="AB17" t="s">
        <v>289</v>
      </c>
      <c r="AC17">
        <v>10</v>
      </c>
    </row>
    <row r="18" spans="1:29">
      <c r="A18" s="176" t="str">
        <f>D8</f>
        <v>Vareforbrug</v>
      </c>
      <c r="B18" s="147">
        <f>-D9</f>
        <v>-200000</v>
      </c>
      <c r="C18" s="122"/>
      <c r="D18" s="148" t="s">
        <v>211</v>
      </c>
      <c r="E18" s="122"/>
      <c r="F18" s="122"/>
      <c r="G18" s="149" t="s">
        <v>212</v>
      </c>
      <c r="H18" s="150"/>
      <c r="I18" s="123"/>
      <c r="J18" s="123"/>
      <c r="K18" s="139"/>
      <c r="L18" s="127"/>
      <c r="M18" s="127"/>
      <c r="N18" s="127"/>
      <c r="O18" s="127"/>
      <c r="P18" s="127"/>
      <c r="Q18" s="127"/>
      <c r="Y18" t="s">
        <v>290</v>
      </c>
      <c r="Z18">
        <v>20</v>
      </c>
      <c r="AB18" t="s">
        <v>290</v>
      </c>
      <c r="AC18">
        <v>30</v>
      </c>
    </row>
    <row r="19" spans="1:29">
      <c r="A19" s="177" t="s">
        <v>213</v>
      </c>
      <c r="B19" s="151">
        <f>SUM(B17:B18)</f>
        <v>900000</v>
      </c>
      <c r="C19" s="122"/>
      <c r="D19" s="152" t="s">
        <v>214</v>
      </c>
      <c r="E19" s="122"/>
      <c r="F19" s="122"/>
      <c r="G19" s="139" t="str">
        <f>P4</f>
        <v>Primo egenkapital</v>
      </c>
      <c r="H19" s="153">
        <f>Q5</f>
        <v>500000</v>
      </c>
      <c r="I19" s="123"/>
      <c r="J19" s="123"/>
      <c r="K19" s="139"/>
      <c r="L19" s="127"/>
      <c r="M19" s="127"/>
      <c r="N19" s="127"/>
      <c r="O19" s="127"/>
      <c r="P19" s="127"/>
      <c r="Q19" s="127"/>
      <c r="Y19" s="195" t="s">
        <v>291</v>
      </c>
      <c r="Z19">
        <f>SUM(Z14:Z18)</f>
        <v>400</v>
      </c>
      <c r="AB19" s="195" t="s">
        <v>291</v>
      </c>
      <c r="AC19">
        <f>SUM(AC14:AC18)</f>
        <v>410</v>
      </c>
    </row>
    <row r="20" spans="1:29">
      <c r="A20" s="178" t="str">
        <f>D12</f>
        <v>Andre eksterne omk.</v>
      </c>
      <c r="B20" s="153">
        <f>-D13</f>
        <v>-260000</v>
      </c>
      <c r="C20" s="122"/>
      <c r="D20" s="152"/>
      <c r="E20" s="122"/>
      <c r="F20" s="122"/>
      <c r="G20" s="154" t="s">
        <v>215</v>
      </c>
      <c r="H20" s="155">
        <f>B26</f>
        <v>300000</v>
      </c>
      <c r="I20" s="123"/>
      <c r="J20" s="123"/>
      <c r="K20" s="127"/>
      <c r="L20" s="127"/>
      <c r="M20" s="127"/>
      <c r="N20" s="127"/>
      <c r="O20" s="127"/>
      <c r="P20" s="127"/>
      <c r="Q20" s="127"/>
    </row>
    <row r="21" spans="1:29">
      <c r="A21" s="176" t="str">
        <f>G4</f>
        <v>Personaleomk.</v>
      </c>
      <c r="B21" s="147">
        <f>-G5</f>
        <v>-70000</v>
      </c>
      <c r="C21" s="122"/>
      <c r="D21" s="148" t="s">
        <v>216</v>
      </c>
      <c r="E21" s="122"/>
      <c r="F21" s="122"/>
      <c r="G21" s="156" t="s">
        <v>217</v>
      </c>
      <c r="H21" s="151">
        <f>SUM(H19:H20)</f>
        <v>800000</v>
      </c>
      <c r="I21" s="123"/>
      <c r="J21" s="123"/>
      <c r="K21" s="139"/>
      <c r="L21" s="127"/>
      <c r="M21" s="127"/>
      <c r="N21" s="127"/>
      <c r="O21" s="127"/>
      <c r="P21" s="127"/>
      <c r="Q21" s="127"/>
    </row>
    <row r="22" spans="1:29">
      <c r="A22" s="177" t="s">
        <v>218</v>
      </c>
      <c r="B22" s="151">
        <f>SUM(B19:B21)</f>
        <v>570000</v>
      </c>
      <c r="C22" s="122"/>
      <c r="D22" s="152" t="str">
        <f>J4</f>
        <v>Produktionsanlæg</v>
      </c>
      <c r="E22" s="122"/>
      <c r="F22" s="157">
        <f>J5-K6</f>
        <v>600000</v>
      </c>
      <c r="G22" s="156"/>
      <c r="H22" s="153"/>
      <c r="I22" s="123"/>
      <c r="J22" s="123"/>
      <c r="K22" s="158"/>
      <c r="L22" s="127"/>
      <c r="M22" s="127"/>
      <c r="N22" s="127"/>
      <c r="O22" s="127"/>
      <c r="P22" s="127"/>
      <c r="Q22" s="127"/>
    </row>
    <row r="23" spans="1:29">
      <c r="A23" s="176" t="str">
        <f>G8</f>
        <v>Afskrivninger</v>
      </c>
      <c r="B23" s="147">
        <f>-G9</f>
        <v>-200000</v>
      </c>
      <c r="C23" s="122"/>
      <c r="D23" s="152"/>
      <c r="E23" s="122"/>
      <c r="F23" s="122"/>
      <c r="G23" s="149"/>
      <c r="H23" s="153"/>
      <c r="I23" s="123"/>
      <c r="J23" s="123"/>
      <c r="K23" s="139"/>
      <c r="L23" s="122"/>
      <c r="M23" s="122"/>
      <c r="N23" s="122"/>
      <c r="O23" s="122"/>
      <c r="P23" s="122"/>
      <c r="Q23" s="122"/>
    </row>
    <row r="24" spans="1:29">
      <c r="A24" s="177" t="s">
        <v>219</v>
      </c>
      <c r="B24" s="151">
        <f>SUM(B22:B23)</f>
        <v>370000</v>
      </c>
      <c r="C24" s="122"/>
      <c r="D24" s="148" t="s">
        <v>220</v>
      </c>
      <c r="E24" s="122"/>
      <c r="F24" s="122"/>
      <c r="G24" s="149" t="s">
        <v>221</v>
      </c>
      <c r="H24" s="153"/>
      <c r="I24" s="123"/>
      <c r="J24" s="123"/>
      <c r="K24" s="139"/>
      <c r="L24" s="122"/>
      <c r="M24" s="122"/>
      <c r="N24" s="122"/>
      <c r="O24" s="122"/>
      <c r="P24" s="122"/>
      <c r="Q24" s="122"/>
    </row>
    <row r="25" spans="1:29" ht="17" thickBot="1">
      <c r="A25" s="179" t="str">
        <f>G12</f>
        <v>Finansielle poster</v>
      </c>
      <c r="B25" s="160">
        <f>-G13</f>
        <v>-70000</v>
      </c>
      <c r="C25" s="122"/>
      <c r="D25" s="146" t="s">
        <v>222</v>
      </c>
      <c r="E25" s="161"/>
      <c r="F25" s="161"/>
      <c r="G25" s="139" t="str">
        <f>P8</f>
        <v>Banklån</v>
      </c>
      <c r="H25" s="153">
        <f>Q9-P10</f>
        <v>650000</v>
      </c>
      <c r="I25" s="123"/>
      <c r="J25" s="123"/>
      <c r="K25" s="139"/>
      <c r="L25" s="122"/>
      <c r="M25" s="122"/>
      <c r="N25" s="122"/>
      <c r="O25" s="122"/>
      <c r="P25" s="122"/>
      <c r="Q25" s="122"/>
    </row>
    <row r="26" spans="1:29">
      <c r="A26" s="180" t="s">
        <v>223</v>
      </c>
      <c r="B26" s="162">
        <f>SUM(B24:B25)</f>
        <v>300000</v>
      </c>
      <c r="C26" s="122"/>
      <c r="D26" s="163" t="s">
        <v>224</v>
      </c>
      <c r="E26" s="122"/>
      <c r="F26" s="164">
        <f>SUM(F22:F25)</f>
        <v>600000</v>
      </c>
      <c r="G26" s="123"/>
      <c r="H26" s="153"/>
      <c r="I26" s="123"/>
      <c r="J26" s="123"/>
      <c r="K26" s="139"/>
      <c r="L26" s="122"/>
      <c r="M26" s="122"/>
      <c r="N26" s="122"/>
      <c r="O26" s="122"/>
      <c r="P26" s="122"/>
      <c r="Q26" s="122"/>
    </row>
    <row r="27" spans="1:29">
      <c r="A27" s="122"/>
      <c r="B27" s="122"/>
      <c r="C27" s="122"/>
      <c r="D27" s="163"/>
      <c r="E27" s="122"/>
      <c r="F27" s="122"/>
      <c r="G27" s="149" t="s">
        <v>225</v>
      </c>
      <c r="H27" s="153"/>
      <c r="I27" s="123"/>
      <c r="J27" s="123"/>
      <c r="K27" s="139"/>
      <c r="L27" s="122"/>
      <c r="M27" s="122"/>
      <c r="N27" s="122"/>
      <c r="O27" s="122"/>
      <c r="P27" s="122"/>
      <c r="Q27" s="122"/>
    </row>
    <row r="28" spans="1:29">
      <c r="A28" s="122"/>
      <c r="B28" s="122"/>
      <c r="C28" s="122"/>
      <c r="D28" s="148" t="s">
        <v>226</v>
      </c>
      <c r="E28" s="122"/>
      <c r="F28" s="122"/>
      <c r="G28" s="139" t="s">
        <v>227</v>
      </c>
      <c r="H28" s="153">
        <f>P13-Q13</f>
        <v>0</v>
      </c>
      <c r="I28" s="123"/>
      <c r="J28" s="123"/>
      <c r="K28" s="139"/>
      <c r="L28" s="122"/>
      <c r="M28" s="122"/>
      <c r="N28" s="122"/>
      <c r="O28" s="122"/>
      <c r="P28" s="122"/>
      <c r="Q28" s="122"/>
    </row>
    <row r="29" spans="1:29">
      <c r="A29" s="122" t="s">
        <v>228</v>
      </c>
      <c r="B29" s="122"/>
      <c r="C29" s="122"/>
      <c r="D29" s="152" t="str">
        <f>J8</f>
        <v>Varelager</v>
      </c>
      <c r="E29" s="139"/>
      <c r="F29" s="139">
        <f>J9-K10</f>
        <v>100000</v>
      </c>
      <c r="G29" s="149"/>
      <c r="H29" s="153"/>
      <c r="I29" s="123"/>
      <c r="J29" s="123"/>
      <c r="K29" s="139"/>
      <c r="L29" s="122"/>
      <c r="M29" s="122"/>
      <c r="N29" s="122"/>
      <c r="O29" s="122"/>
      <c r="P29" s="122"/>
      <c r="Q29" s="122"/>
    </row>
    <row r="30" spans="1:29">
      <c r="A30" s="122" t="s">
        <v>229</v>
      </c>
      <c r="B30" s="122"/>
      <c r="C30" s="122"/>
      <c r="D30" s="152" t="str">
        <f>J12</f>
        <v>Periodeafgrænsningsposter</v>
      </c>
      <c r="E30" s="139"/>
      <c r="F30" s="139">
        <f>J13</f>
        <v>65000</v>
      </c>
      <c r="G30" s="139"/>
      <c r="H30" s="153"/>
      <c r="I30" s="123"/>
      <c r="J30" s="123"/>
      <c r="K30" s="139"/>
      <c r="L30" s="122"/>
      <c r="M30" s="122"/>
      <c r="N30" s="122"/>
      <c r="O30" s="122"/>
      <c r="P30" s="122"/>
      <c r="Q30" s="122"/>
    </row>
    <row r="31" spans="1:29">
      <c r="A31" s="122"/>
      <c r="B31" s="122"/>
      <c r="C31" s="122"/>
      <c r="D31" s="152" t="str">
        <f>M4</f>
        <v>Tilgodehavender</v>
      </c>
      <c r="E31" s="139"/>
      <c r="F31" s="139">
        <f>M5-N6</f>
        <v>500000</v>
      </c>
      <c r="G31" s="139"/>
      <c r="H31" s="153"/>
      <c r="I31" s="123"/>
      <c r="J31" s="123"/>
      <c r="K31" s="139"/>
      <c r="L31" s="122"/>
      <c r="M31" s="122"/>
      <c r="N31" s="122"/>
      <c r="O31" s="122"/>
      <c r="P31" s="122"/>
      <c r="Q31" s="122"/>
    </row>
    <row r="32" spans="1:29">
      <c r="A32" s="122"/>
      <c r="B32" s="122"/>
      <c r="C32" s="122"/>
      <c r="D32" s="146" t="str">
        <f>M8</f>
        <v>Likvider</v>
      </c>
      <c r="E32" s="154"/>
      <c r="F32" s="154">
        <f>SUM(M9:M16)-SUM(N9:N16)</f>
        <v>185000</v>
      </c>
      <c r="G32" s="154"/>
      <c r="H32" s="147"/>
      <c r="I32" s="123"/>
      <c r="J32" s="123"/>
      <c r="K32" s="139"/>
      <c r="L32" s="122"/>
      <c r="M32" s="122"/>
      <c r="N32" s="122"/>
      <c r="O32" s="122"/>
      <c r="P32" s="122"/>
      <c r="Q32" s="122"/>
    </row>
    <row r="33" spans="1:17">
      <c r="A33" s="122"/>
      <c r="B33" s="122"/>
      <c r="C33" s="122"/>
      <c r="D33" s="163" t="s">
        <v>230</v>
      </c>
      <c r="E33" s="139"/>
      <c r="F33" s="158">
        <f>SUM(F29:F32)</f>
        <v>850000</v>
      </c>
      <c r="G33" s="156" t="s">
        <v>231</v>
      </c>
      <c r="H33" s="151">
        <f>SUM(H25:H32)</f>
        <v>650000</v>
      </c>
      <c r="I33" s="123"/>
      <c r="J33" s="123"/>
      <c r="K33" s="139"/>
      <c r="L33" s="122"/>
      <c r="M33" s="122"/>
      <c r="N33" s="122"/>
      <c r="O33" s="122"/>
      <c r="P33" s="122"/>
      <c r="Q33" s="122"/>
    </row>
    <row r="34" spans="1:17" ht="17" thickBot="1">
      <c r="A34" s="122"/>
      <c r="B34" s="122"/>
      <c r="C34" s="122"/>
      <c r="D34" s="159"/>
      <c r="E34" s="165"/>
      <c r="F34" s="165"/>
      <c r="G34" s="165"/>
      <c r="H34" s="166"/>
      <c r="I34" s="123"/>
      <c r="J34" s="123"/>
      <c r="K34" s="139"/>
      <c r="L34" s="122"/>
      <c r="M34" s="122"/>
      <c r="N34" s="122"/>
      <c r="O34" s="122"/>
      <c r="P34" s="122"/>
      <c r="Q34" s="122"/>
    </row>
    <row r="35" spans="1:17">
      <c r="A35" s="122"/>
      <c r="B35" s="122"/>
      <c r="C35" s="122"/>
      <c r="D35" s="158" t="s">
        <v>232</v>
      </c>
      <c r="E35" s="139"/>
      <c r="F35" s="158">
        <f>F26+F33</f>
        <v>1450000</v>
      </c>
      <c r="G35" s="158" t="s">
        <v>233</v>
      </c>
      <c r="H35" s="158">
        <f>H21+H33</f>
        <v>1450000</v>
      </c>
      <c r="I35" s="123"/>
      <c r="J35" s="123"/>
      <c r="K35" s="158"/>
      <c r="L35" s="122"/>
      <c r="M35" s="122"/>
      <c r="N35" s="122"/>
      <c r="O35" s="122"/>
      <c r="P35" s="122"/>
      <c r="Q35" s="122"/>
    </row>
    <row r="36" spans="1:17">
      <c r="A36" s="122"/>
      <c r="B36" s="122"/>
      <c r="C36" s="122"/>
      <c r="D36" s="122"/>
      <c r="E36" s="122"/>
      <c r="F36" s="122"/>
      <c r="G36" s="122"/>
      <c r="H36" s="123"/>
      <c r="I36" s="123"/>
      <c r="J36" s="123"/>
      <c r="K36" s="123"/>
      <c r="L36" s="122"/>
      <c r="M36" s="122"/>
      <c r="N36" s="122"/>
      <c r="O36" s="122"/>
      <c r="P36" s="122"/>
      <c r="Q36" s="122"/>
    </row>
    <row r="37" spans="1:17">
      <c r="A37" s="120" t="s">
        <v>234</v>
      </c>
      <c r="B37" s="122"/>
      <c r="C37" s="122"/>
      <c r="D37" s="122"/>
      <c r="E37" s="122"/>
      <c r="F37" s="122"/>
      <c r="G37" s="122"/>
      <c r="H37" s="123"/>
      <c r="I37" s="123"/>
      <c r="J37" s="123"/>
      <c r="K37" s="123"/>
      <c r="L37" s="122"/>
      <c r="M37" s="122"/>
      <c r="N37" s="122"/>
      <c r="O37" s="122"/>
      <c r="P37" s="122"/>
      <c r="Q37" s="122"/>
    </row>
    <row r="38" spans="1:17">
      <c r="A38" s="167" t="s">
        <v>235</v>
      </c>
      <c r="B38" s="122"/>
      <c r="C38" s="122"/>
      <c r="D38" s="167" t="s">
        <v>236</v>
      </c>
      <c r="E38" s="122"/>
      <c r="F38" s="122"/>
      <c r="G38" s="167" t="s">
        <v>237</v>
      </c>
      <c r="H38" s="123"/>
      <c r="I38" s="123"/>
      <c r="J38" s="123"/>
      <c r="K38" s="123"/>
      <c r="L38" s="122"/>
      <c r="M38" s="122"/>
      <c r="N38" s="122"/>
      <c r="O38" s="122"/>
      <c r="P38" s="122"/>
      <c r="Q38" s="122"/>
    </row>
    <row r="39" spans="1:17">
      <c r="A39" s="168" t="s">
        <v>238</v>
      </c>
      <c r="B39" s="169">
        <f>B26/H21</f>
        <v>0.375</v>
      </c>
      <c r="C39" s="122"/>
      <c r="D39" s="168" t="s">
        <v>239</v>
      </c>
      <c r="E39" s="169" t="e">
        <f>F33/H28</f>
        <v>#DIV/0!</v>
      </c>
      <c r="F39" s="122"/>
      <c r="G39" s="168" t="s">
        <v>240</v>
      </c>
      <c r="H39" s="169">
        <f>H21/F35</f>
        <v>0.55172413793103448</v>
      </c>
      <c r="I39" s="123"/>
      <c r="J39" s="123"/>
      <c r="K39" s="123"/>
      <c r="L39" s="122"/>
      <c r="M39" s="122"/>
      <c r="N39" s="122"/>
      <c r="O39" s="122"/>
      <c r="P39" s="122"/>
      <c r="Q39" s="122"/>
    </row>
    <row r="40" spans="1:17">
      <c r="A40" s="168" t="s">
        <v>241</v>
      </c>
      <c r="B40" s="169">
        <f>B24/F35</f>
        <v>0.25517241379310346</v>
      </c>
      <c r="C40" s="122"/>
      <c r="D40" s="168" t="s">
        <v>242</v>
      </c>
      <c r="E40" s="169" t="e">
        <f>(F30+F31+F32)/H28</f>
        <v>#DIV/0!</v>
      </c>
      <c r="F40" s="122"/>
      <c r="G40" s="122"/>
      <c r="H40" s="123"/>
      <c r="I40" s="123"/>
      <c r="J40" s="123"/>
      <c r="K40" s="123"/>
      <c r="L40" s="122"/>
      <c r="M40" s="122"/>
      <c r="N40" s="122"/>
      <c r="O40" s="122"/>
      <c r="P40" s="122"/>
      <c r="Q40" s="122"/>
    </row>
    <row r="41" spans="1:17">
      <c r="A41" s="168" t="s">
        <v>243</v>
      </c>
      <c r="B41" s="169">
        <f>B24/B17</f>
        <v>0.33636363636363636</v>
      </c>
      <c r="C41" s="122"/>
      <c r="D41" s="122"/>
      <c r="E41" s="122"/>
      <c r="F41" s="122"/>
      <c r="G41" s="122"/>
      <c r="H41" s="123"/>
      <c r="I41" s="123"/>
      <c r="J41" s="123"/>
      <c r="K41" s="123"/>
      <c r="L41" s="122"/>
      <c r="M41" s="122"/>
      <c r="N41" s="122"/>
      <c r="O41" s="122"/>
      <c r="P41" s="122"/>
      <c r="Q41" s="122"/>
    </row>
    <row r="42" spans="1:17">
      <c r="A42" s="168" t="s">
        <v>244</v>
      </c>
      <c r="B42" s="170">
        <f>B17/F35</f>
        <v>0.75862068965517238</v>
      </c>
      <c r="C42" s="122"/>
      <c r="D42" s="122"/>
      <c r="E42" s="122"/>
      <c r="F42" s="122"/>
      <c r="G42" s="122"/>
      <c r="H42" s="123"/>
      <c r="I42" s="123"/>
      <c r="J42" s="123"/>
      <c r="K42" s="123"/>
      <c r="L42" s="122"/>
      <c r="M42" s="122"/>
      <c r="N42" s="122"/>
      <c r="O42" s="122"/>
      <c r="P42" s="122"/>
      <c r="Q42" s="122"/>
    </row>
    <row r="43" spans="1:17">
      <c r="A43" s="168" t="s">
        <v>245</v>
      </c>
      <c r="B43" s="170">
        <f>H33/H21</f>
        <v>0.8125</v>
      </c>
      <c r="C43" s="122"/>
      <c r="D43" s="122"/>
      <c r="E43" s="122"/>
      <c r="F43" s="122"/>
      <c r="G43" s="122"/>
      <c r="H43" s="123"/>
      <c r="I43" s="123"/>
      <c r="J43" s="123"/>
      <c r="K43" s="123"/>
      <c r="L43" s="122"/>
      <c r="M43" s="122"/>
      <c r="N43" s="122"/>
      <c r="O43" s="122"/>
      <c r="P43" s="122"/>
      <c r="Q43" s="122"/>
    </row>
    <row r="44" spans="1:17">
      <c r="A44" s="168" t="s">
        <v>246</v>
      </c>
      <c r="B44" s="169">
        <f>B25/H33</f>
        <v>-0.1076923076923077</v>
      </c>
      <c r="C44" s="122"/>
      <c r="D44" s="122"/>
      <c r="E44" s="122"/>
      <c r="F44" s="122"/>
      <c r="G44" s="122"/>
      <c r="H44" s="123"/>
      <c r="I44" s="123"/>
      <c r="J44" s="123"/>
      <c r="K44" s="123"/>
      <c r="L44" s="122"/>
      <c r="M44" s="122"/>
      <c r="N44" s="122"/>
      <c r="O44" s="122"/>
      <c r="P44" s="122"/>
      <c r="Q44" s="122"/>
    </row>
    <row r="45" spans="1:17">
      <c r="A45" s="122"/>
      <c r="B45" s="171"/>
      <c r="C45" s="122"/>
      <c r="D45" s="122"/>
      <c r="E45" s="122"/>
      <c r="F45" s="122"/>
      <c r="G45" s="122"/>
      <c r="H45" s="123"/>
      <c r="I45" s="123"/>
      <c r="J45" s="123"/>
      <c r="K45" s="123"/>
      <c r="L45" s="122"/>
      <c r="M45" s="122"/>
      <c r="N45" s="122"/>
      <c r="O45" s="122"/>
      <c r="P45" s="122"/>
      <c r="Q45" s="122"/>
    </row>
    <row r="46" spans="1:17">
      <c r="A46" s="167" t="s">
        <v>247</v>
      </c>
      <c r="B46" s="171"/>
      <c r="C46" s="122"/>
      <c r="D46" s="122"/>
      <c r="E46" s="122"/>
      <c r="F46" s="122"/>
      <c r="G46" s="122"/>
      <c r="H46" s="123"/>
      <c r="I46" s="123"/>
      <c r="J46" s="123"/>
      <c r="K46" s="123"/>
      <c r="L46" s="122"/>
      <c r="M46" s="122"/>
      <c r="N46" s="122"/>
      <c r="O46" s="122"/>
      <c r="P46" s="122"/>
      <c r="Q46" s="122"/>
    </row>
    <row r="47" spans="1:17">
      <c r="A47" s="168" t="s">
        <v>248</v>
      </c>
      <c r="B47" s="172">
        <f>F35/H21</f>
        <v>1.8125</v>
      </c>
      <c r="C47" s="122"/>
      <c r="D47" s="122"/>
      <c r="E47" s="122"/>
      <c r="F47" s="122"/>
      <c r="G47" s="122"/>
      <c r="H47" s="123"/>
      <c r="I47" s="123"/>
      <c r="J47" s="123"/>
      <c r="K47" s="123"/>
      <c r="L47" s="122"/>
      <c r="M47" s="122"/>
      <c r="N47" s="122"/>
      <c r="O47" s="122"/>
      <c r="P47" s="122"/>
      <c r="Q47" s="122"/>
    </row>
    <row r="48" spans="1:17">
      <c r="A48" s="168" t="s">
        <v>249</v>
      </c>
      <c r="B48" s="170">
        <f>B26/B24</f>
        <v>0.81081081081081086</v>
      </c>
      <c r="C48" s="122"/>
      <c r="D48" s="122"/>
      <c r="E48" s="122"/>
      <c r="F48" s="122"/>
      <c r="G48" s="122"/>
      <c r="H48" s="123"/>
      <c r="I48" s="123"/>
      <c r="J48" s="123"/>
      <c r="K48" s="123"/>
      <c r="L48" s="122"/>
      <c r="M48" s="122"/>
      <c r="N48" s="122"/>
      <c r="O48" s="122"/>
      <c r="P48" s="122"/>
      <c r="Q48" s="122"/>
    </row>
    <row r="49" spans="1:17">
      <c r="A49" s="168" t="s">
        <v>250</v>
      </c>
      <c r="B49" s="169">
        <f>B41*B42</f>
        <v>0.25517241379310346</v>
      </c>
      <c r="C49" s="122"/>
      <c r="D49" s="122"/>
      <c r="E49" s="122"/>
      <c r="F49" s="122"/>
      <c r="G49" s="122"/>
      <c r="H49" s="123"/>
      <c r="I49" s="123"/>
      <c r="J49" s="123"/>
      <c r="K49" s="123"/>
      <c r="L49" s="122"/>
      <c r="M49" s="122"/>
      <c r="N49" s="122"/>
      <c r="O49" s="122"/>
      <c r="P49" s="122"/>
      <c r="Q49" s="122"/>
    </row>
    <row r="50" spans="1:17">
      <c r="A50" s="168" t="s">
        <v>251</v>
      </c>
      <c r="B50" s="173">
        <f>B40+(B40+B44)*B43</f>
        <v>0.375</v>
      </c>
      <c r="C50" s="122" t="s">
        <v>252</v>
      </c>
      <c r="D50" s="122"/>
      <c r="E50" s="122"/>
      <c r="F50" s="122"/>
      <c r="G50" s="122"/>
      <c r="H50" s="123"/>
      <c r="I50" s="123"/>
      <c r="J50" s="123"/>
      <c r="K50" s="123"/>
      <c r="L50" s="122"/>
      <c r="M50" s="122"/>
      <c r="N50" s="122"/>
      <c r="O50" s="122"/>
      <c r="P50" s="122"/>
      <c r="Q50" s="122"/>
    </row>
    <row r="51" spans="1:17">
      <c r="A51" s="168" t="s">
        <v>253</v>
      </c>
      <c r="B51" s="169">
        <f>B40*B47*B48</f>
        <v>0.37500000000000006</v>
      </c>
      <c r="C51" s="122"/>
      <c r="D51" s="122"/>
      <c r="E51" s="122"/>
      <c r="F51" s="122"/>
      <c r="G51" s="122"/>
      <c r="H51" s="123"/>
      <c r="I51" s="123"/>
      <c r="J51" s="123"/>
      <c r="K51" s="123"/>
      <c r="L51" s="122"/>
      <c r="M51" s="122"/>
      <c r="N51" s="122"/>
      <c r="O51" s="122"/>
      <c r="P51" s="122"/>
      <c r="Q51" s="122"/>
    </row>
    <row r="52" spans="1:17">
      <c r="A52" s="122"/>
      <c r="B52" s="122"/>
      <c r="C52" s="122"/>
      <c r="D52" s="122"/>
      <c r="E52" s="122"/>
      <c r="F52" s="122"/>
      <c r="G52" s="122"/>
      <c r="H52" s="123"/>
      <c r="I52" s="123"/>
      <c r="J52" s="123"/>
      <c r="K52" s="123"/>
      <c r="L52" s="122"/>
      <c r="M52" s="122"/>
      <c r="N52" s="122"/>
      <c r="O52" s="122"/>
      <c r="P52" s="122"/>
      <c r="Q52" s="122"/>
    </row>
    <row r="53" spans="1:17">
      <c r="A53" s="122"/>
      <c r="B53" s="122"/>
      <c r="C53" s="122"/>
      <c r="D53" s="122"/>
      <c r="E53" s="122"/>
      <c r="F53" s="122"/>
      <c r="G53" s="122"/>
      <c r="H53" s="123"/>
      <c r="I53" s="123"/>
      <c r="J53" s="123"/>
      <c r="K53" s="123"/>
      <c r="L53" s="122"/>
      <c r="M53" s="122"/>
      <c r="N53" s="122"/>
      <c r="O53" s="122"/>
      <c r="P53" s="122"/>
      <c r="Q53" s="122"/>
    </row>
  </sheetData>
  <mergeCells count="14">
    <mergeCell ref="D12:E12"/>
    <mergeCell ref="G12:H12"/>
    <mergeCell ref="J12:K12"/>
    <mergeCell ref="P12:Q12"/>
    <mergeCell ref="D4:E4"/>
    <mergeCell ref="G4:H4"/>
    <mergeCell ref="J4:K4"/>
    <mergeCell ref="M4:N4"/>
    <mergeCell ref="P4:Q4"/>
    <mergeCell ref="D8:E8"/>
    <mergeCell ref="G8:H8"/>
    <mergeCell ref="J8:K8"/>
    <mergeCell ref="M8:N8"/>
    <mergeCell ref="P8:Q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Ark1</vt:lpstr>
      <vt:lpstr>Anlæg A</vt:lpstr>
      <vt:lpstr>Anlæg A stigende energipriser </vt:lpstr>
      <vt:lpstr>Anlæg B</vt:lpstr>
      <vt:lpstr>Anlæg B stigende energipris</vt:lpstr>
      <vt:lpstr>Figur diskontering-nutidsværdi</vt:lpstr>
      <vt:lpstr>Kurs</vt:lpstr>
      <vt:lpstr>Aktier</vt:lpstr>
      <vt:lpstr>Regnskab</vt:lpstr>
      <vt:lpstr>Stående lån</vt:lpstr>
      <vt:lpstr>Serielån</vt:lpstr>
      <vt:lpstr>Annuitetslån samt kurs</vt:lpstr>
      <vt:lpstr>Rettevejledninger emner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Ørberg</dc:creator>
  <cp:lastModifiedBy>Magnus Søeberg Hovmand</cp:lastModifiedBy>
  <dcterms:created xsi:type="dcterms:W3CDTF">2018-05-26T10:02:05Z</dcterms:created>
  <dcterms:modified xsi:type="dcterms:W3CDTF">2019-05-26T18:42:21Z</dcterms:modified>
</cp:coreProperties>
</file>