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2. Sem /EØ/Materiale/"/>
    </mc:Choice>
  </mc:AlternateContent>
  <xr:revisionPtr revIDLastSave="0" documentId="13_ncr:1_{0593416E-2DC2-D547-AF54-68299249DE49}" xr6:coauthVersionLast="46" xr6:coauthVersionMax="46" xr10:uidLastSave="{00000000-0000-0000-0000-000000000000}"/>
  <bookViews>
    <workbookView xWindow="0" yWindow="0" windowWidth="25600" windowHeight="16000" firstSheet="2" activeTab="15" xr2:uid="{00000000-000D-0000-FFFF-FFFF00000000}"/>
  </bookViews>
  <sheets>
    <sheet name="Forside" sheetId="17" r:id="rId1"/>
    <sheet name="I1" sheetId="1" r:id="rId2"/>
    <sheet name="I2" sheetId="2" r:id="rId3"/>
    <sheet name="I3" sheetId="3" r:id="rId4"/>
    <sheet name="I4" sheetId="4" r:id="rId5"/>
    <sheet name="I5" sheetId="5" r:id="rId6"/>
    <sheet name="I6" sheetId="6" r:id="rId7"/>
    <sheet name="I7" sheetId="7" r:id="rId8"/>
    <sheet name="I8" sheetId="8" r:id="rId9"/>
    <sheet name="I9" sheetId="9" r:id="rId10"/>
    <sheet name="I10" sheetId="10" r:id="rId11"/>
    <sheet name="I11" sheetId="11" r:id="rId12"/>
    <sheet name="I12" sheetId="12" r:id="rId13"/>
    <sheet name="I13" sheetId="13" r:id="rId14"/>
    <sheet name="I14" sheetId="14" r:id="rId15"/>
    <sheet name="I15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8" l="1"/>
  <c r="B28" i="8"/>
  <c r="B42" i="8"/>
  <c r="B58" i="8"/>
  <c r="D26" i="15"/>
  <c r="E26" i="15"/>
  <c r="F26" i="15"/>
  <c r="G26" i="15"/>
  <c r="H26" i="15"/>
  <c r="I26" i="15"/>
  <c r="J26" i="15"/>
  <c r="K26" i="15"/>
  <c r="L26" i="15"/>
  <c r="C26" i="15"/>
  <c r="C27" i="15"/>
  <c r="B26" i="15"/>
  <c r="C60" i="11"/>
  <c r="D23" i="15"/>
  <c r="E23" i="15"/>
  <c r="E24" i="15" s="1"/>
  <c r="F23" i="15"/>
  <c r="G23" i="15"/>
  <c r="H23" i="15"/>
  <c r="I23" i="15"/>
  <c r="J23" i="15"/>
  <c r="K23" i="15"/>
  <c r="L23" i="15"/>
  <c r="C23" i="15"/>
  <c r="E20" i="15"/>
  <c r="F20" i="15"/>
  <c r="G20" i="15" s="1"/>
  <c r="D20" i="15"/>
  <c r="C20" i="15"/>
  <c r="B27" i="8"/>
  <c r="B44" i="8"/>
  <c r="L24" i="15"/>
  <c r="D24" i="15"/>
  <c r="F24" i="15"/>
  <c r="E22" i="15"/>
  <c r="F22" i="15"/>
  <c r="G22" i="15" s="1"/>
  <c r="H22" i="15" s="1"/>
  <c r="I22" i="15" s="1"/>
  <c r="J22" i="15" s="1"/>
  <c r="K22" i="15" s="1"/>
  <c r="L22" i="15" s="1"/>
  <c r="D22" i="15"/>
  <c r="C22" i="15"/>
  <c r="B20" i="15"/>
  <c r="D21" i="15"/>
  <c r="E21" i="15"/>
  <c r="F21" i="15"/>
  <c r="G21" i="15"/>
  <c r="H21" i="15"/>
  <c r="I21" i="15"/>
  <c r="J21" i="15"/>
  <c r="K21" i="15"/>
  <c r="L21" i="15"/>
  <c r="C21" i="15"/>
  <c r="B31" i="11"/>
  <c r="D19" i="9"/>
  <c r="D15" i="9"/>
  <c r="C19" i="9" s="1"/>
  <c r="C20" i="9"/>
  <c r="C17" i="9"/>
  <c r="C15" i="9"/>
  <c r="F21" i="11"/>
  <c r="C21" i="11"/>
  <c r="D21" i="11"/>
  <c r="E21" i="11"/>
  <c r="D39" i="8"/>
  <c r="E39" i="8"/>
  <c r="F39" i="8"/>
  <c r="G39" i="8"/>
  <c r="G40" i="8" s="1"/>
  <c r="G41" i="8" s="1"/>
  <c r="H39" i="8"/>
  <c r="I39" i="8"/>
  <c r="J39" i="8"/>
  <c r="C39" i="8"/>
  <c r="B56" i="11"/>
  <c r="B63" i="11"/>
  <c r="D61" i="11"/>
  <c r="E61" i="11"/>
  <c r="F61" i="11"/>
  <c r="D62" i="11"/>
  <c r="E62" i="11"/>
  <c r="F62" i="11"/>
  <c r="D58" i="11"/>
  <c r="E58" i="11"/>
  <c r="F58" i="11"/>
  <c r="D59" i="11"/>
  <c r="E59" i="11"/>
  <c r="F59" i="11"/>
  <c r="D60" i="11"/>
  <c r="E60" i="11" s="1"/>
  <c r="F60" i="11" s="1"/>
  <c r="C62" i="11"/>
  <c r="C63" i="11" s="1"/>
  <c r="C61" i="11"/>
  <c r="C59" i="11"/>
  <c r="C58" i="11"/>
  <c r="F57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B26" i="11"/>
  <c r="C25" i="11"/>
  <c r="C24" i="11"/>
  <c r="C23" i="11"/>
  <c r="C22" i="11"/>
  <c r="F20" i="11"/>
  <c r="B19" i="11"/>
  <c r="B27" i="10"/>
  <c r="B26" i="10"/>
  <c r="B28" i="10"/>
  <c r="B29" i="10"/>
  <c r="B25" i="10"/>
  <c r="E15" i="9"/>
  <c r="B58" i="6"/>
  <c r="F9" i="9"/>
  <c r="C16" i="9" s="1"/>
  <c r="H8" i="9"/>
  <c r="I8" i="9"/>
  <c r="J8" i="9"/>
  <c r="K8" i="9"/>
  <c r="L8" i="9"/>
  <c r="M8" i="9"/>
  <c r="N8" i="9"/>
  <c r="O8" i="9"/>
  <c r="P8" i="9"/>
  <c r="G8" i="9"/>
  <c r="F8" i="9"/>
  <c r="F6" i="9"/>
  <c r="F5" i="9"/>
  <c r="B26" i="8"/>
  <c r="D41" i="8"/>
  <c r="H41" i="8"/>
  <c r="C41" i="8"/>
  <c r="B41" i="8"/>
  <c r="J40" i="8"/>
  <c r="J41" i="8" s="1"/>
  <c r="C40" i="8"/>
  <c r="D40" i="8"/>
  <c r="E40" i="8"/>
  <c r="E41" i="8" s="1"/>
  <c r="F40" i="8"/>
  <c r="F41" i="8" s="1"/>
  <c r="H40" i="8"/>
  <c r="I40" i="8"/>
  <c r="I41" i="8" s="1"/>
  <c r="B40" i="8"/>
  <c r="D38" i="8"/>
  <c r="E38" i="8"/>
  <c r="F38" i="8"/>
  <c r="G38" i="8"/>
  <c r="H38" i="8"/>
  <c r="I38" i="8"/>
  <c r="J38" i="8"/>
  <c r="C38" i="8"/>
  <c r="B59" i="6"/>
  <c r="B57" i="6"/>
  <c r="D25" i="8"/>
  <c r="E25" i="8"/>
  <c r="F25" i="8"/>
  <c r="G25" i="8"/>
  <c r="H25" i="8"/>
  <c r="C25" i="8"/>
  <c r="B25" i="8"/>
  <c r="C24" i="8"/>
  <c r="D24" i="8"/>
  <c r="E24" i="8"/>
  <c r="F24" i="8"/>
  <c r="G24" i="8"/>
  <c r="H24" i="8"/>
  <c r="B24" i="8"/>
  <c r="E23" i="8"/>
  <c r="F23" i="8" s="1"/>
  <c r="G23" i="8" s="1"/>
  <c r="H23" i="8" s="1"/>
  <c r="D23" i="8"/>
  <c r="C23" i="8"/>
  <c r="E22" i="8"/>
  <c r="F22" i="8" s="1"/>
  <c r="G22" i="8" s="1"/>
  <c r="H22" i="8" s="1"/>
  <c r="D22" i="8"/>
  <c r="C22" i="8"/>
  <c r="J37" i="8"/>
  <c r="H21" i="8"/>
  <c r="B36" i="8"/>
  <c r="B20" i="8"/>
  <c r="C20" i="7"/>
  <c r="B20" i="7"/>
  <c r="C19" i="7"/>
  <c r="B19" i="7"/>
  <c r="B56" i="6"/>
  <c r="B30" i="6"/>
  <c r="D29" i="6"/>
  <c r="E29" i="6"/>
  <c r="F29" i="6"/>
  <c r="G29" i="6"/>
  <c r="H29" i="6"/>
  <c r="I29" i="6"/>
  <c r="B29" i="6"/>
  <c r="C29" i="6"/>
  <c r="D55" i="6"/>
  <c r="E55" i="6"/>
  <c r="F55" i="6"/>
  <c r="G55" i="6"/>
  <c r="H55" i="6"/>
  <c r="I55" i="6"/>
  <c r="J55" i="6"/>
  <c r="K55" i="6"/>
  <c r="L55" i="6"/>
  <c r="M55" i="6"/>
  <c r="N55" i="6"/>
  <c r="C55" i="6"/>
  <c r="B55" i="6"/>
  <c r="C54" i="6"/>
  <c r="D54" i="6"/>
  <c r="E54" i="6"/>
  <c r="F54" i="6"/>
  <c r="G54" i="6"/>
  <c r="H54" i="6"/>
  <c r="I54" i="6"/>
  <c r="J54" i="6"/>
  <c r="K54" i="6"/>
  <c r="L54" i="6"/>
  <c r="M54" i="6"/>
  <c r="N54" i="6"/>
  <c r="B54" i="6"/>
  <c r="D53" i="6"/>
  <c r="E53" i="6"/>
  <c r="F53" i="6"/>
  <c r="G53" i="6"/>
  <c r="H53" i="6"/>
  <c r="I53" i="6"/>
  <c r="J53" i="6"/>
  <c r="K53" i="6"/>
  <c r="L53" i="6"/>
  <c r="M53" i="6"/>
  <c r="N53" i="6"/>
  <c r="C53" i="6"/>
  <c r="D52" i="6"/>
  <c r="E52" i="6"/>
  <c r="F52" i="6"/>
  <c r="G52" i="6"/>
  <c r="H52" i="6"/>
  <c r="I52" i="6"/>
  <c r="J52" i="6"/>
  <c r="K52" i="6"/>
  <c r="L52" i="6"/>
  <c r="M52" i="6"/>
  <c r="N52" i="6"/>
  <c r="C52" i="6"/>
  <c r="N51" i="6"/>
  <c r="B50" i="6"/>
  <c r="B33" i="6"/>
  <c r="B46" i="2"/>
  <c r="B32" i="6"/>
  <c r="B31" i="6"/>
  <c r="D28" i="6"/>
  <c r="E28" i="6"/>
  <c r="F28" i="6"/>
  <c r="G28" i="6"/>
  <c r="H28" i="6"/>
  <c r="I28" i="6"/>
  <c r="C28" i="6"/>
  <c r="B28" i="6"/>
  <c r="D27" i="6"/>
  <c r="E27" i="6"/>
  <c r="F27" i="6"/>
  <c r="G27" i="6"/>
  <c r="H27" i="6"/>
  <c r="I27" i="6"/>
  <c r="C27" i="6"/>
  <c r="D26" i="6"/>
  <c r="E26" i="6"/>
  <c r="F26" i="6"/>
  <c r="G26" i="6"/>
  <c r="H26" i="6"/>
  <c r="I26" i="6"/>
  <c r="C26" i="6"/>
  <c r="I25" i="6"/>
  <c r="B24" i="6"/>
  <c r="D25" i="4"/>
  <c r="B30" i="4"/>
  <c r="C27" i="4"/>
  <c r="D27" i="4"/>
  <c r="E27" i="4"/>
  <c r="F27" i="4"/>
  <c r="G27" i="4"/>
  <c r="H27" i="4"/>
  <c r="B27" i="4"/>
  <c r="D26" i="4"/>
  <c r="C26" i="4"/>
  <c r="E26" i="4"/>
  <c r="F26" i="4" s="1"/>
  <c r="G26" i="4" s="1"/>
  <c r="H26" i="4" s="1"/>
  <c r="F25" i="4"/>
  <c r="G25" i="4" s="1"/>
  <c r="H25" i="4" s="1"/>
  <c r="E25" i="4"/>
  <c r="C25" i="4"/>
  <c r="H24" i="4"/>
  <c r="D23" i="4"/>
  <c r="C23" i="4"/>
  <c r="B23" i="4"/>
  <c r="F26" i="3"/>
  <c r="G26" i="3" s="1"/>
  <c r="H26" i="3" s="1"/>
  <c r="D25" i="3"/>
  <c r="C25" i="3"/>
  <c r="B23" i="3"/>
  <c r="B28" i="3"/>
  <c r="C27" i="3"/>
  <c r="D27" i="3" s="1"/>
  <c r="E27" i="3" s="1"/>
  <c r="F27" i="3" s="1"/>
  <c r="G27" i="3" s="1"/>
  <c r="H27" i="3" s="1"/>
  <c r="C26" i="3"/>
  <c r="D26" i="3" s="1"/>
  <c r="E26" i="3" s="1"/>
  <c r="F63" i="2"/>
  <c r="E56" i="2"/>
  <c r="C56" i="2"/>
  <c r="D62" i="2"/>
  <c r="D55" i="2"/>
  <c r="E55" i="2"/>
  <c r="F55" i="2"/>
  <c r="G55" i="2"/>
  <c r="C55" i="2"/>
  <c r="D56" i="2" s="1"/>
  <c r="F25" i="3"/>
  <c r="G25" i="3" s="1"/>
  <c r="E25" i="3"/>
  <c r="H24" i="3"/>
  <c r="B56" i="2"/>
  <c r="B55" i="2"/>
  <c r="B38" i="2"/>
  <c r="B13" i="2"/>
  <c r="B30" i="2"/>
  <c r="C29" i="2"/>
  <c r="D29" i="2"/>
  <c r="E29" i="2"/>
  <c r="F29" i="2"/>
  <c r="G29" i="2"/>
  <c r="D25" i="2"/>
  <c r="C28" i="2"/>
  <c r="C26" i="2"/>
  <c r="C25" i="2"/>
  <c r="B29" i="2"/>
  <c r="D28" i="2"/>
  <c r="E28" i="2" s="1"/>
  <c r="F28" i="2" s="1"/>
  <c r="G28" i="2" s="1"/>
  <c r="E27" i="2"/>
  <c r="F27" i="2"/>
  <c r="G27" i="2" s="1"/>
  <c r="D27" i="2"/>
  <c r="C27" i="2"/>
  <c r="B27" i="1"/>
  <c r="E26" i="2"/>
  <c r="F26" i="2"/>
  <c r="G26" i="2" s="1"/>
  <c r="D26" i="2"/>
  <c r="G24" i="2"/>
  <c r="B26" i="1"/>
  <c r="B23" i="2"/>
  <c r="G25" i="1"/>
  <c r="G24" i="1"/>
  <c r="G21" i="1"/>
  <c r="D25" i="1"/>
  <c r="E25" i="1"/>
  <c r="F25" i="1"/>
  <c r="C25" i="1"/>
  <c r="E27" i="15" l="1"/>
  <c r="D27" i="15"/>
  <c r="F63" i="11"/>
  <c r="E63" i="11"/>
  <c r="D63" i="11"/>
  <c r="G24" i="15"/>
  <c r="H20" i="15"/>
  <c r="C24" i="15"/>
  <c r="B64" i="11"/>
  <c r="B43" i="8"/>
  <c r="C26" i="11"/>
  <c r="D26" i="11"/>
  <c r="F26" i="11"/>
  <c r="E26" i="11"/>
  <c r="D16" i="9"/>
  <c r="C28" i="3"/>
  <c r="E28" i="3"/>
  <c r="D28" i="3"/>
  <c r="H25" i="3"/>
  <c r="H28" i="3" s="1"/>
  <c r="G28" i="3"/>
  <c r="F28" i="3"/>
  <c r="F56" i="2"/>
  <c r="G56" i="2" s="1"/>
  <c r="D24" i="1"/>
  <c r="E24" i="1"/>
  <c r="F24" i="1"/>
  <c r="C24" i="1"/>
  <c r="B25" i="1"/>
  <c r="B24" i="1"/>
  <c r="B48" i="11"/>
  <c r="B10" i="11"/>
  <c r="B10" i="3"/>
  <c r="B9" i="3"/>
  <c r="B14" i="2"/>
  <c r="F27" i="15" l="1"/>
  <c r="I20" i="15"/>
  <c r="C25" i="15"/>
  <c r="B27" i="11"/>
  <c r="B30" i="11"/>
  <c r="B29" i="3"/>
  <c r="G27" i="15" l="1"/>
  <c r="J20" i="15"/>
  <c r="I24" i="15"/>
  <c r="H24" i="15"/>
  <c r="D25" i="15"/>
  <c r="H27" i="15" l="1"/>
  <c r="K20" i="15"/>
  <c r="E25" i="15"/>
  <c r="I27" i="15" l="1"/>
  <c r="K24" i="15"/>
  <c r="L20" i="15"/>
  <c r="J24" i="15"/>
  <c r="F25" i="15"/>
  <c r="J27" i="15" l="1"/>
  <c r="G25" i="15"/>
  <c r="L27" i="15" l="1"/>
  <c r="K27" i="15"/>
  <c r="H25" i="15"/>
  <c r="I25" i="15" l="1"/>
  <c r="J25" i="15" l="1"/>
  <c r="K25" i="15" l="1"/>
  <c r="L25" i="15" l="1"/>
</calcChain>
</file>

<file path=xl/sharedStrings.xml><?xml version="1.0" encoding="utf-8"?>
<sst xmlns="http://schemas.openxmlformats.org/spreadsheetml/2006/main" count="599" uniqueCount="333">
  <si>
    <t>I1 INVESTERINGSKALKULE</t>
  </si>
  <si>
    <t>Forside</t>
  </si>
  <si>
    <t xml:space="preserve">En virksomhed står overfor at skulle foretage en anlægsinvestering i form af en maskine. </t>
  </si>
  <si>
    <t>Anlægsinvesteringen er karakteriseret ved følgende:</t>
  </si>
  <si>
    <t>Hint</t>
  </si>
  <si>
    <t>Investeringssum</t>
  </si>
  <si>
    <t>Er som udgangspunkt i år 0</t>
  </si>
  <si>
    <t>Scrapværdi</t>
  </si>
  <si>
    <t>Er som udgangspunkt altid i det sidste år</t>
  </si>
  <si>
    <t>Levetid</t>
  </si>
  <si>
    <t>Indbetalinger</t>
  </si>
  <si>
    <t>Starter normalt først i år 1</t>
  </si>
  <si>
    <t>Udbetalinger</t>
  </si>
  <si>
    <t>Kalkulationsrente</t>
  </si>
  <si>
    <t>Spørgsmlå 1: Opstil en investeringskalkule på baggrund af ovenstående oplysninger og beregn nettobetalingsstrømmen.</t>
  </si>
  <si>
    <t>Hint: Det er en god idé at have - (minus) foran udbetalinger og + (plus) foran indbetalinger i en investeringskalkule.</t>
  </si>
  <si>
    <t xml:space="preserve">Spørgsmål 2: Beregn efter kapitalværdien/nutidsværdien både manuelt ved hjælp af tilbagediskontering og brug af Excel funktionen nutidsværdi/NPV </t>
  </si>
  <si>
    <t>Hint: Når du bruger funktionen nutidsværdi/NPV, så skal investeringssum i år 0 ikke inkluderes, så brug funktionen fra og med år 1 og fratræk derefter investeringssum fra år 0.</t>
  </si>
  <si>
    <t>År</t>
  </si>
  <si>
    <t xml:space="preserve">Scrapværdi </t>
  </si>
  <si>
    <t>Nettobetalingsstrøm</t>
  </si>
  <si>
    <t>Nutidsværdi manuelt per år</t>
  </si>
  <si>
    <t>Nutidsværdi manuelt i alt</t>
  </si>
  <si>
    <t>Nutidsværdi i Excel</t>
  </si>
  <si>
    <t>I2 INVESTERINGSKALKULE</t>
  </si>
  <si>
    <t>En virksomhed overvejer at investere i et nyt produkt. Det giver anledning til følgende betalinger:</t>
    <phoneticPr fontId="0" type="noConversion"/>
  </si>
  <si>
    <t>Levetid</t>
    <phoneticPr fontId="0" type="noConversion"/>
  </si>
  <si>
    <t>år</t>
    <phoneticPr fontId="0" type="noConversion"/>
  </si>
  <si>
    <t>Markedsføring</t>
    <phoneticPr fontId="0" type="noConversion"/>
  </si>
  <si>
    <t>per år, første 2 år</t>
    <phoneticPr fontId="0" type="noConversion"/>
  </si>
  <si>
    <t>Faste omkostninger</t>
    <phoneticPr fontId="0" type="noConversion"/>
  </si>
  <si>
    <t>per år</t>
    <phoneticPr fontId="0" type="noConversion"/>
  </si>
  <si>
    <t>Variable omkostninger</t>
    <phoneticPr fontId="0" type="noConversion"/>
  </si>
  <si>
    <t>per stk</t>
    <phoneticPr fontId="0" type="noConversion"/>
  </si>
  <si>
    <t>Afsætning</t>
    <phoneticPr fontId="0" type="noConversion"/>
  </si>
  <si>
    <t>stk per år</t>
    <phoneticPr fontId="0" type="noConversion"/>
  </si>
  <si>
    <t>Salgspris</t>
  </si>
  <si>
    <t>afsætning x pris</t>
  </si>
  <si>
    <t>afsætning x variable omkostninger</t>
  </si>
  <si>
    <t>Kalkulationsrente</t>
    <phoneticPr fontId="0" type="noConversion"/>
  </si>
  <si>
    <t>Spørgsmål 1: Lav en investeringskalkule og beregn først nettobetalingsstrøm og derefter nutidsværdi af investeringen.</t>
  </si>
  <si>
    <t>Forklar i ord hvad nutidsværdien siger og hvad kravet er for at det er en fordelagtig investering.</t>
  </si>
  <si>
    <t>Faste omkostninger</t>
  </si>
  <si>
    <t>Indbetalinger</t>
    <phoneticPr fontId="0" type="noConversion"/>
  </si>
  <si>
    <t>Nutidsværdi Excel</t>
  </si>
  <si>
    <t>Spørgsmål 2: Hvad svarer kapitalværdien til i årlige indbetalinger?</t>
  </si>
  <si>
    <t>Hint: Brug funktionen YDELSE/PMT på Nutidsværdi i Excel og vælg derudover levetid og kalkulationsrenten.</t>
  </si>
  <si>
    <t>Forklar i ord hvad annuitetsværdien siger og hvad kravet er for at investeringen er fordelagtig.</t>
  </si>
  <si>
    <t>Annuitetsværdi</t>
    <phoneticPr fontId="0" type="noConversion"/>
  </si>
  <si>
    <t>Spørgsmål 3: Ved hvilken kalkulationsrente ville investeringen ikke længere være rentabel?</t>
  </si>
  <si>
    <t>Hint: Brug funktionen IA/IRR på hele nettobetalingsstrømmen.</t>
  </si>
  <si>
    <t>Forklar i ord hvad den interne rente siger og hvad kravet er for at investeringen er fordelagtig.</t>
  </si>
  <si>
    <t>Intern rente (IA/IRR)</t>
  </si>
  <si>
    <t>Spørgsmål 4: Hvad er tilbagebetalingtiden?</t>
  </si>
  <si>
    <t>Hint: Beregn nutidsværdien per år og akkumulér nutidsværdien</t>
  </si>
  <si>
    <t>Forklar i ord hvad tilbagebetalingstiden siger og hvad kravet er for at investeringen er fordelagtig.</t>
  </si>
  <si>
    <t>Nutidsværdi af hvert år</t>
  </si>
  <si>
    <t>Akkumuleret nutidsværdi</t>
  </si>
  <si>
    <t>Tilbagebetalingstiden ligger mellem år 4 og 5, men kan beregnes mere præcist.</t>
  </si>
  <si>
    <t>For at beregne den "eksakte" tilbagebetalingstid kan man bruge lineær interpolation.</t>
  </si>
  <si>
    <t>Eksakt tilbagebetalingstid =</t>
  </si>
  <si>
    <t>x1 + [(0-y1)/(y2-y1)]*(x2-x1) =</t>
  </si>
  <si>
    <t xml:space="preserve">svarende til </t>
  </si>
  <si>
    <t>år</t>
  </si>
  <si>
    <t>dage</t>
  </si>
  <si>
    <t>x1 = det sidste år hvor akkumulerede nutidsværdi er negativ</t>
  </si>
  <si>
    <t>y1 = den tilhørende negative akkumulerede nutidsværdi</t>
  </si>
  <si>
    <t>x2 = det år hvor den akkumulerede nutidsværdi bliver positiv</t>
  </si>
  <si>
    <t>y2  = den tilhørende positive akkumulerede nutidsværdi</t>
  </si>
  <si>
    <t>I3 MÅLSØGER</t>
  </si>
  <si>
    <t>En virksomhed skal udvikle en ny printplade og skal i den forbindelse vurdere om det er en rentabel investering.</t>
  </si>
  <si>
    <t>Følgende oplysninger har virksomheden til rådighed:</t>
  </si>
  <si>
    <t>Udviklingsomkostninger</t>
    <phoneticPr fontId="0" type="noConversion"/>
  </si>
  <si>
    <t>første år</t>
    <phoneticPr fontId="0" type="noConversion"/>
  </si>
  <si>
    <t>Markedsføring</t>
  </si>
  <si>
    <t>efterfølgende 5 år</t>
  </si>
  <si>
    <t>per stk</t>
  </si>
  <si>
    <t>Salgspris</t>
    <phoneticPr fontId="0" type="noConversion"/>
  </si>
  <si>
    <t>per stk første 3 år</t>
  </si>
  <si>
    <t>Nedsat pris</t>
  </si>
  <si>
    <t>per stk sidste 3 år</t>
  </si>
  <si>
    <t>Antal stk</t>
  </si>
  <si>
    <t>Spørgsmål 1: Virksomheden ved ikke hvor mange antal stk (afsætning) der skal til for at investeringen er fordelagtig og det skal du hjælpe med.</t>
  </si>
  <si>
    <t>Hint: Opstil en investeringskalkule med ovenstående oplysninger og husk at inkludere antal stk i dine beregninger selvom der ikke står noget.</t>
  </si>
  <si>
    <t>Derefter skal funktionen Målsøger/Goal Seek bruges - den er normalt under Data - What if / Hvad hvis</t>
  </si>
  <si>
    <t>I boksen vælges først cellen "Nutidsværdi Excel", derefter indtast 0 i næste felt og til sidst markeres cellen "Antal stk." og der trykkes på OK.</t>
  </si>
  <si>
    <t>I4 MÅLSØGER</t>
  </si>
  <si>
    <t>Multigods A/S er et blandet produktions - og handelsfirma. Direktøren har netop fået et forslag fra en af virksomhedens medarbejdere til et nyt produkt,</t>
  </si>
  <si>
    <t>der kræver en speciel maskine. Følgende oplysninger foreligger:</t>
  </si>
  <si>
    <t>Investeringssum 1</t>
  </si>
  <si>
    <t>år 0</t>
  </si>
  <si>
    <t>Investeringssum 2</t>
  </si>
  <si>
    <t>år 1 og 2</t>
  </si>
  <si>
    <t>Vækst i salgspris</t>
  </si>
  <si>
    <t>Antal stk 1</t>
  </si>
  <si>
    <t>år 1</t>
  </si>
  <si>
    <t>Antal stk 2</t>
  </si>
  <si>
    <t>resterende levetid</t>
  </si>
  <si>
    <t>Hvad betyder det at scrapværdien forventes at være negativ?</t>
  </si>
  <si>
    <t>INVESTERINGSKALKULE</t>
    <phoneticPr fontId="0" type="noConversion"/>
  </si>
  <si>
    <t>Nutidsværdi af nettobetalingsstrøm</t>
  </si>
  <si>
    <t>Nutidsværdi i alt</t>
  </si>
  <si>
    <t>Spørgsmål 2:Hvor meget skal væksten i salgsprisen være for at investeringen stadig er rentabel?</t>
  </si>
  <si>
    <t>Hint: Målsøger</t>
  </si>
  <si>
    <t>I5 INVESTERINGSALTERNATIVER</t>
  </si>
  <si>
    <t>En virksomhed står over for to investeringsalternativer. Der foreligger følgende oplysninger:</t>
  </si>
  <si>
    <t>Alternativ 1</t>
  </si>
  <si>
    <t>Alternativ 2</t>
  </si>
  <si>
    <t>Antal stk.</t>
  </si>
  <si>
    <t>Spørgsmål 1: Lav en investeringskalkule og beregn først nettobetalingsstrøm og derefter nutidsværdi af investeringen for metode 1.</t>
  </si>
  <si>
    <t>Er investeringen i sig selv fordelagtig?</t>
  </si>
  <si>
    <t>INVESTERINGSKALKULE ALTERNATIV 1</t>
  </si>
  <si>
    <t xml:space="preserve">Spørgsmål 2: Lav en investeringskalkule og beregn først nettobetalingsstrøm og derefter nutidsværdi af investeringen for metode 2. </t>
  </si>
  <si>
    <t>INVESTERINGSKALKULE ALTERNATIV 2</t>
  </si>
  <si>
    <t>Spørgsmål 3: Hvor mange antal stk. skal alternativ 2 have for at den bliver lige så god som alternativ 1?</t>
  </si>
  <si>
    <t>Hint: Brug målsøger og sæt værdi af nutidsværdien for alternativ 2 = nutidsværdien for alternativ 1 ved at ændre på antal stk.</t>
  </si>
  <si>
    <t>I6 INVESTERING I PRODUKTIONSMETODER</t>
  </si>
  <si>
    <t>Til produktion af et givent produkt kan en virksomhed vælge mellem to alternative produktionsmetoder:</t>
    <phoneticPr fontId="0" type="noConversion"/>
  </si>
  <si>
    <t>Et anlæg til metode 1 koster 5 mio. og har en levetid på 7 år, mens et anlæg til metode 2 koster 10 mio.</t>
  </si>
  <si>
    <t>og har en levetid på 12 år.</t>
  </si>
  <si>
    <t>Variable omkostninger ved produktionen og udgør for metode 1 500 kr. per stk., og for metode 2 400 kr. per stk.</t>
  </si>
  <si>
    <t>Salgsprisen er den samme for begge metoder og er 750 kr. mens antal stk er 5.000 stk.</t>
  </si>
  <si>
    <t>Metode 1</t>
  </si>
  <si>
    <t>Spørgsmål 1: Lav en investeringskalkule og beregn først nettobetalingsstrøm og derefter nutidsværdi af investeringen for metode 1. Beregn herefter den interne rente.</t>
  </si>
  <si>
    <t>INVESTERINGSKALKULE METODE 1</t>
  </si>
  <si>
    <t>Interne rente</t>
  </si>
  <si>
    <t>Annuitetsværdi</t>
  </si>
  <si>
    <t>Metode 2</t>
  </si>
  <si>
    <t>Spørgsmål 2: Lav en investeringskalkule og beregn først nettobetalingsstrøm og derefter nutidsværdi af investeringen for metode 2. Beregn herefter den interne rente samt annuitetsværdien.</t>
  </si>
  <si>
    <t>INVESTERINGSKALKULE METODE 2</t>
  </si>
  <si>
    <t>Spørgsmål 3: Hvilken metode skal virksomheden vælge? Skal de vælge efter nutidsværdi, intern rente eller annuitetsværdien?</t>
  </si>
  <si>
    <t>I7 INVESTERING I FLYTYPER</t>
  </si>
  <si>
    <t>Et flyselskab står over for at skulle udskifte sin flypark, der er nedslidt.</t>
    <phoneticPr fontId="0" type="noConversion"/>
  </si>
  <si>
    <t>Ved anskaffelsen af de nye fly står valget i mellem en traditionel flytype (T1), og en ny type T2, som er mere energieffektiv.</t>
    <phoneticPr fontId="0" type="noConversion"/>
  </si>
  <si>
    <t>T1</t>
    <phoneticPr fontId="0" type="noConversion"/>
  </si>
  <si>
    <t>T2</t>
    <phoneticPr fontId="0" type="noConversion"/>
  </si>
  <si>
    <t>Anskaffelsessum</t>
  </si>
  <si>
    <t>Energiforbrug per år</t>
    <phoneticPr fontId="0" type="noConversion"/>
  </si>
  <si>
    <t>Øvrige driftsomkostninger per år</t>
    <phoneticPr fontId="0" type="noConversion"/>
  </si>
  <si>
    <t>Spørgsmål 1: Beregn en samlet nutidsværdi på baggrund af ovenstående oplysninger.</t>
  </si>
  <si>
    <t>Hint: Brug funktionen NV/PV og vær opmærksom på hvad der er udbetalinger og hvad der er indbetalinger</t>
  </si>
  <si>
    <t>Nutidsværdi af anskaffelssum</t>
  </si>
  <si>
    <t>Nutidsværdi af scrapværdi</t>
  </si>
  <si>
    <t>Nutidsværdi af energiforbrug</t>
  </si>
  <si>
    <t>Nutidsværdi af øvrige driftsomk.</t>
  </si>
  <si>
    <t>Hint: Brug målsøger hvor forskellen i nutidsværdi sættes til 0 ved at ændre på stigning/fald i brændstofsprisen. Inkludér brændstofsændring, når du beregner nutidsværdi af energiforbrug.</t>
  </si>
  <si>
    <t>Brændstofsændring i procent</t>
  </si>
  <si>
    <t>Forskel i nutidsværdi</t>
  </si>
  <si>
    <t>I8 IDENTISK GENANSKAFFELSE</t>
  </si>
  <si>
    <t>Spørgsmål 1: Lav en investeringskalkule og beregn først nettobetalingsstrøm og derefter nutidsværdi samt annuitetsværdi af investeringen for metode 1.</t>
  </si>
  <si>
    <t xml:space="preserve">Spørgsmål 2: Lav en investeringskalkule og beregn først nettobetalingsstrøm og derefter nutidsværdi samt annuitetsværdi af investeringen for metode 2. </t>
  </si>
  <si>
    <t>Spørgsmål 3: Hvilken metode skal virksomheden vælge? Skal de vælge efter nutidsværdi eller annuitetsværdien?</t>
  </si>
  <si>
    <t>Spørgsmål 4: Hvis de to maskiner antages at blive genanskaffet i det uendelige, hvilket alternativ skal de så vælge? Og hvad er den endelige nutidsværdi af de to uendelige investeringer?</t>
  </si>
  <si>
    <t>Hint: Identisk genanskaffelse betyder samme levetid.</t>
  </si>
  <si>
    <t>ENDELIG NUTIDSVÆRDI</t>
  </si>
  <si>
    <t>I9 INVESTERINGSALTERNATIVER</t>
    <phoneticPr fontId="0" type="noConversion"/>
  </si>
  <si>
    <t>En investor har valget i mellem to investeringsrækker som vist her forneden</t>
    <phoneticPr fontId="0" type="noConversion"/>
  </si>
  <si>
    <t>INVESTERING</t>
    <phoneticPr fontId="0" type="noConversion"/>
  </si>
  <si>
    <t>ÅRLIG NETTOBETALINGSSTRØM</t>
  </si>
  <si>
    <t>LEVETID</t>
    <phoneticPr fontId="0" type="noConversion"/>
  </si>
  <si>
    <t>Investeringsalternativ 1</t>
  </si>
  <si>
    <t>Investeringsalternativ 2</t>
  </si>
  <si>
    <t>KALKULATIONSRENTE</t>
  </si>
  <si>
    <t>Spørgsmål 1: Udfyld nedenstående skema. Hvad kan du konkludere på baggrund af dine beregninger.</t>
  </si>
  <si>
    <t>Hint: For at beregne den interne rente, så brug Målsøger, hvor du sætter nutidsværdi til 0 ved at ændre på kalkulationsrenten. Kopiér derefter svaret ned i skemaet.</t>
  </si>
  <si>
    <t>SCENARIE</t>
    <phoneticPr fontId="0" type="noConversion"/>
  </si>
  <si>
    <t>ALTERNATIV</t>
  </si>
  <si>
    <t>NUTIDSVÆRDI</t>
  </si>
  <si>
    <t>ANNUITETSVÆRDI</t>
  </si>
  <si>
    <t>INTERN RENTE</t>
    <phoneticPr fontId="0" type="noConversion"/>
  </si>
  <si>
    <t xml:space="preserve">BEGGE ER </t>
    <phoneticPr fontId="0" type="noConversion"/>
  </si>
  <si>
    <t>ENGANGSINVESTERINGER</t>
    <phoneticPr fontId="0" type="noConversion"/>
  </si>
  <si>
    <t>INV2 GENTAGES ÉN GANG</t>
    <phoneticPr fontId="0" type="noConversion"/>
  </si>
  <si>
    <t>INV 1 ER ENGANGSINVESTERING</t>
    <phoneticPr fontId="0" type="noConversion"/>
  </si>
  <si>
    <t>BEGGE GENTAGES I DET</t>
    <phoneticPr fontId="0" type="noConversion"/>
  </si>
  <si>
    <t>UENDELIGE</t>
    <phoneticPr fontId="0" type="noConversion"/>
  </si>
  <si>
    <t>I10 INVESTERINGSPROJEKTER</t>
  </si>
  <si>
    <t>Her er angivet betalingsrækkerne for 5 forskellige investeringsprojekter. Alle 5 projekter koster 100 i investeringssum, som det fremgår.</t>
    <phoneticPr fontId="0" type="noConversion"/>
  </si>
  <si>
    <t>ÅR</t>
  </si>
  <si>
    <t>PROJEKT 1</t>
    <phoneticPr fontId="0" type="noConversion"/>
  </si>
  <si>
    <t>PROJEKT 2</t>
    <phoneticPr fontId="0" type="noConversion"/>
  </si>
  <si>
    <t>PROJEKT 3</t>
    <phoneticPr fontId="0" type="noConversion"/>
  </si>
  <si>
    <t>PROJEKT 4</t>
    <phoneticPr fontId="0" type="noConversion"/>
  </si>
  <si>
    <t>PROJEKT 5</t>
    <phoneticPr fontId="0" type="noConversion"/>
  </si>
  <si>
    <t>Spørgsmål 1: Uden at foretage beregninger, hvilket projekt er så det bedste?</t>
  </si>
  <si>
    <t>Spørgsmål 2: Beregn herefter nutidsværdien i én celle nedenfor og se om dine beregner passer med dit svar på spørgsmål 1</t>
  </si>
  <si>
    <t>Nutidsværdi</t>
  </si>
  <si>
    <t>I11 INVESTERINGSALTERNATIVER</t>
  </si>
  <si>
    <t>En virksomhed står over for følgende oplysninger i forhold til en anlægsinvestering</t>
  </si>
  <si>
    <t>Anlægsinvestering</t>
  </si>
  <si>
    <t>Lokaleomkostninger</t>
  </si>
  <si>
    <t>Øvrige faste</t>
  </si>
  <si>
    <t>Løn til personale</t>
  </si>
  <si>
    <t>Variable omkostninger per stk.</t>
  </si>
  <si>
    <t>Salgspris per stk.</t>
  </si>
  <si>
    <t>per år</t>
  </si>
  <si>
    <t>Spørgsmål 1: Opstil en investeringskalkule og beregn nutidsværdien</t>
  </si>
  <si>
    <t>Lokaleomk</t>
  </si>
  <si>
    <t>Variable omkostninger i alt</t>
  </si>
  <si>
    <t>Nutidsværdi =</t>
  </si>
  <si>
    <t>Spørgsmål 2: Beregn den interne rente og den modificerede interne rente. Hvad er forskellen på den almindelige interne rente og den modificerede interne rente?</t>
  </si>
  <si>
    <t>Intern rente</t>
  </si>
  <si>
    <t>Modificeret intern rente</t>
  </si>
  <si>
    <t>Spørgsmål 3: Hvad skal salgsprisen minimum være for at investeringen er fordelagtig?</t>
  </si>
  <si>
    <t>Spørgsmål 4: Hvis løn til personale stiger med 8% fra år 1, hvad skal salgsprisen så minimum være?</t>
  </si>
  <si>
    <t>Hint: Inkludér den årlige lønstigningstakt i beregning af løn til personale nedenfor og derefter målsøger.</t>
  </si>
  <si>
    <t>Variable omkostninger</t>
  </si>
  <si>
    <t>Årlig stigning i løn til personale</t>
  </si>
  <si>
    <t>Nettoindbetalinger</t>
  </si>
  <si>
    <t>I12 DETALJERET INVESTERINGSKALKULE</t>
  </si>
  <si>
    <t>En virksomhed står over for to investeringsalternativer, der har følgende oplysninger:</t>
  </si>
  <si>
    <t>Anlæg A</t>
  </si>
  <si>
    <t>Anlæg B</t>
  </si>
  <si>
    <t>Medarbejdere til hvert anlæg</t>
  </si>
  <si>
    <t>Materialeforbrug per stk.</t>
  </si>
  <si>
    <t>Antal stk i timen</t>
  </si>
  <si>
    <t>Energiforbrug per time</t>
  </si>
  <si>
    <t>Energipris per time</t>
  </si>
  <si>
    <t>Timeløn per medarbejder</t>
  </si>
  <si>
    <t>Markedsføringsomk.</t>
  </si>
  <si>
    <t>Antal timer til rådighed</t>
  </si>
  <si>
    <t>Salgspris per stk</t>
  </si>
  <si>
    <t>Spørgsmål 1: Opstil en investeringskalkule for hvert anlæg på baggrund af ovenstående oplysninger. Beregn herefter nutidsværdien samt den almindelige og modificerede interne rente.</t>
  </si>
  <si>
    <t>Hvilken investering vil du foreslå virksomheden at investere i?</t>
  </si>
  <si>
    <t>Materialeforbrug i alt</t>
  </si>
  <si>
    <t>Lønomkostninger i alt</t>
  </si>
  <si>
    <t>Energiforbrug i alt</t>
  </si>
  <si>
    <t>Nutidsværdi per år</t>
  </si>
  <si>
    <t>Modificeret interne rente</t>
  </si>
  <si>
    <t>I13 INVESTERING MED INFLATION</t>
  </si>
  <si>
    <t>FUN FACT</t>
  </si>
  <si>
    <t>Normalt antager man at beløbene i investeringskalkulen stiger med en given inflation og man så bruger den nominelle kalkulationsrente.</t>
  </si>
  <si>
    <t>Hvis man antager at beløbene er faste og de ikke stiger med en given inflation, så skal man bruge den reale kalkulationsrente i stedet.</t>
  </si>
  <si>
    <t>De to løsninger giver dog samme svar.</t>
  </si>
  <si>
    <t>Et slagteri overvejer at foretage en energibesparende investering. Der foreligger følgende beslutningsgrundlag:</t>
    <phoneticPr fontId="9" type="noConversion"/>
  </si>
  <si>
    <t>Installationsudgifter</t>
    <phoneticPr fontId="9" type="noConversion"/>
  </si>
  <si>
    <t>Årlig energibesparelse</t>
    <phoneticPr fontId="9" type="noConversion"/>
  </si>
  <si>
    <t>Årlige driftsudgifter</t>
    <phoneticPr fontId="9" type="noConversion"/>
  </si>
  <si>
    <t>Kalkulationsrente</t>
    <phoneticPr fontId="9" type="noConversion"/>
  </si>
  <si>
    <t>Supplerende informationer:</t>
    <phoneticPr fontId="7" type="noConversion"/>
  </si>
  <si>
    <t>Statstilskud til investering</t>
    <phoneticPr fontId="9" type="noConversion"/>
  </si>
  <si>
    <t>Inflation energibesparelser</t>
    <phoneticPr fontId="9" type="noConversion"/>
  </si>
  <si>
    <t>Inflation driftsudgifter</t>
    <phoneticPr fontId="9" type="noConversion"/>
  </si>
  <si>
    <t>Spørgsmål 1: Beregn først realrenten for besparelser samt driftsudgifter</t>
  </si>
  <si>
    <t>Realrente  energibesparelser</t>
  </si>
  <si>
    <t>Realrente driftsudgifter</t>
    <phoneticPr fontId="9" type="noConversion"/>
  </si>
  <si>
    <t>Spørgsmål 2: Beregn derefter nutidsværdien af energibesparelser (én celle) og driftsudgifter (én celle) samt samlet nutidsværdi.</t>
  </si>
  <si>
    <t>Hint: Hvis du har svært ved at gøre det i én celle, så brug investeringskalkulen nedenfor.</t>
  </si>
  <si>
    <t>Nutidsværdi af energibesparelser</t>
  </si>
  <si>
    <t>Nutidsværdi af driftsudgifter</t>
  </si>
  <si>
    <t>Nutidsværdi af installation</t>
  </si>
  <si>
    <t>Samlet nutidsværdi</t>
  </si>
  <si>
    <t>Spørgsmål 3: Er denne investering fordelagtig?</t>
  </si>
  <si>
    <t>Investeringskalkule til spørgsmål 2</t>
  </si>
  <si>
    <t>Installationsudgifter</t>
  </si>
  <si>
    <t>Energibesparelser</t>
  </si>
  <si>
    <t>Driftsudgifter</t>
  </si>
  <si>
    <t>Nutidsværdi energibesparelser</t>
  </si>
  <si>
    <t>Nutidsværdi driftsudgifter</t>
  </si>
  <si>
    <t>Spørgsmål 4: Lav nu samme beregning, hvor du lader energibesparelser og driftsudgifter stige med inflationen og bruger den nominelle kalkulationsrente.</t>
  </si>
  <si>
    <t>Hint: Inkludér inflationen fra og med år 1</t>
  </si>
  <si>
    <t>Investeringskalkule til spørgsmål 4</t>
  </si>
  <si>
    <t>I14 OPTIMAL LEVETID</t>
  </si>
  <si>
    <t>Den forventede udvikling i dækningsbidrag og i scrapværdi fremgår af følgende oversigt, hvor DBt er dækningsbidraget i år t, og St er scrapværdien i tidspunkt t.</t>
    <phoneticPr fontId="0" type="noConversion"/>
  </si>
  <si>
    <r>
      <t>DB</t>
    </r>
    <r>
      <rPr>
        <vertAlign val="subscript"/>
        <sz val="12"/>
        <rFont val="Calibri"/>
        <family val="2"/>
      </rPr>
      <t>t</t>
    </r>
  </si>
  <si>
    <r>
      <t>S</t>
    </r>
    <r>
      <rPr>
        <vertAlign val="subscript"/>
        <sz val="12"/>
        <rFont val="Calibri"/>
        <family val="2"/>
      </rPr>
      <t>t</t>
    </r>
  </si>
  <si>
    <t>Nutidsværdi af DB</t>
  </si>
  <si>
    <t>Akkumuleret nutidsværdi af DB</t>
  </si>
  <si>
    <t>Investeringsbeløb</t>
    <phoneticPr fontId="0" type="noConversion"/>
  </si>
  <si>
    <t>DB</t>
    <phoneticPr fontId="0" type="noConversion"/>
  </si>
  <si>
    <t>I15 OPTIMAL LEVETID</t>
  </si>
  <si>
    <t>En virksomhed har en konstant efterspørgsel efter deres produkt, som giver anledning til et dækningsbidrag på 450.000 kr per år</t>
  </si>
  <si>
    <t>Produktionsanlægget koster 1.000.000 i anskaffelse, og taber 30% i værdi per år det er i brug, dvs. scrapværdien i periode 1 er 700.000 og så fremdeles</t>
    <phoneticPr fontId="0" type="noConversion"/>
  </si>
  <si>
    <t>Samtidig stiger drifts- og vedligeholdelsesudgifterne med 45.000 per år, og starter med 45.000 i periode 1.</t>
    <phoneticPr fontId="0" type="noConversion"/>
  </si>
  <si>
    <t>Spørgsmål 1: Hvad er den optimale levetid for produktionsanlægget, hvis investeringen ikke skal gentages?</t>
  </si>
  <si>
    <t>Hint: Find det år, hvor nutidsværdien er størst.</t>
  </si>
  <si>
    <t>Spørgsmål 2: Hvad er den optimale levetid for produktionsanlægget, hvis investeringen gentages i det uendelige?</t>
  </si>
  <si>
    <t>Hint: Find det år, hvor annuitetsværdien er størst. Tag nutidsværdien og fordel udover det antal år investeringen løber.</t>
  </si>
  <si>
    <t>INVESTERINGSBELØB</t>
    <phoneticPr fontId="0" type="noConversion"/>
  </si>
  <si>
    <t>VÆRDITAB PER ÅR</t>
  </si>
  <si>
    <t>DÆKNINGSBIDRAG</t>
  </si>
  <si>
    <t>DRIFTSUDGIFTER</t>
  </si>
  <si>
    <t>Dækningsbidrag</t>
  </si>
  <si>
    <t>Nettobetalingsstrøm uden scrapværdi</t>
  </si>
  <si>
    <t>Nutidsværdi af nettobet. uden scrapværdi</t>
  </si>
  <si>
    <t>Akk nutidsværdi af nettobet.</t>
  </si>
  <si>
    <t>Akk. nutidsværdi plus scrapværdi 
tilbagediskonteret minus investering</t>
  </si>
  <si>
    <t>Investering</t>
  </si>
  <si>
    <t>I1</t>
  </si>
  <si>
    <t>I9</t>
  </si>
  <si>
    <t>I2</t>
  </si>
  <si>
    <t>I10</t>
  </si>
  <si>
    <t>I3</t>
  </si>
  <si>
    <t>I11</t>
  </si>
  <si>
    <t>I4</t>
  </si>
  <si>
    <t>I12</t>
  </si>
  <si>
    <t>I5</t>
  </si>
  <si>
    <t>I13</t>
  </si>
  <si>
    <t>I6</t>
  </si>
  <si>
    <t>I14</t>
  </si>
  <si>
    <t>I7</t>
  </si>
  <si>
    <t>I15</t>
  </si>
  <si>
    <t>I8</t>
  </si>
  <si>
    <t>fra år 1 til år 2</t>
  </si>
  <si>
    <t>En virksomhed producerer en vare med en begrænset markedsmæssig levetid: det forventes at efterspørgslen og dermed dækningsbidraget vil være faldende.</t>
  </si>
  <si>
    <t>Produktionen foregår på et anlæg, der i dag har en værdi på 150.000 kr.</t>
  </si>
  <si>
    <t>Spørgsmål 1: Virksomheden overvejer hvornår produktionen skal indstilles og produktet tages af markedet. Beregn produktets optimale levetid, når der er tale om en engangsinvestering.</t>
  </si>
  <si>
    <t>Spørgsmål 2: I energiforbrug indgår brændstof, hvor meget skal prisen på brændstoffet stige eller falde i procent for at de to investeringer er lige gode (bemærk at stigningen skal forstås således: Prisen på brændstof stiger i periode 1 og er derefter konstant)</t>
  </si>
  <si>
    <t>Spørgsmål 2. Man overvejer nu i tidspunkt 0 at foretage en rationaliseringsinvestering, der vil medføre så store besparelser i de variable omkostninger at de årlige DB vil stige med 50%.</t>
  </si>
  <si>
    <t>Denne investering koster 100.000 DKK og har ingen scrapværdi. Er den fordelagtig? (Hint: Antag at betalingen for anlægget skal falde i år 0)</t>
  </si>
  <si>
    <t>Drejebog i erhvervsøkonomi - Forår 2021</t>
  </si>
  <si>
    <t>Renten skal være over kalkulationsrenten</t>
  </si>
  <si>
    <t>Nutidsværdien fortæller at med en kalkulationsrente på 12%, så giver det et overskud på 228.702 kr at investere 1,4 mio kr og modtage en forventet nettobetalingsstrøm</t>
  </si>
  <si>
    <t xml:space="preserve">Kravet er at PV skal være positivt </t>
  </si>
  <si>
    <t xml:space="preserve">Annuitetsværdien er den samlede nutidsværdi fordelt ud over den samlede levetid, og viser den gennemsnitlige overskud på 63.444 kr hvert år </t>
  </si>
  <si>
    <t xml:space="preserve">Kravet er en positiv annuitetsværdi </t>
  </si>
  <si>
    <t xml:space="preserve">Den interne rente viser at investeringen giver et gennemsnitligt afkast på 16.99%. Det er den rente, der giver en nutidsværdi på præcis 0 </t>
  </si>
  <si>
    <t>Kravet er at IRR skal være højere en kalkulationsrenten</t>
  </si>
  <si>
    <t>Tilbagebetalingenstiden er hvor mange år det tager før investeringen på 1.4 mio er tjent hjem</t>
  </si>
  <si>
    <t xml:space="preserve">Kravet er at investeringen bliver tjent hjem inden den forventede levetid. </t>
  </si>
  <si>
    <t xml:space="preserve">Ved at bruge målsøger og sætte PV til 0, finder man ud af, hvad antallet mindst skal være. </t>
  </si>
  <si>
    <t xml:space="preserve">Investeringen er fordelagtigt, da nutidsværdien er positiv. Den interne rente er over kalkulationsrente, og annuitetsværdien er også positiv. </t>
  </si>
  <si>
    <t>Jeg vil tro, det er 4, da det betaler størst og hurtigst tilbage</t>
  </si>
  <si>
    <t xml:space="preserve">Det passer ikke, jeg er blevet snydt </t>
  </si>
  <si>
    <t>Vha. Goal Seek funktionen findes antallet til 29</t>
  </si>
  <si>
    <t>Med forskellige løbetider kan annuitetsværdien ikke bruges</t>
  </si>
  <si>
    <t>Derfor skal nutidsværdien bruges, hvilken er højest ved 2</t>
  </si>
  <si>
    <t>Når der er tale om identisk genanskaffelse, er løbetiden ens og derfor kan annuitetsværdien bruges</t>
  </si>
  <si>
    <t xml:space="preserve">Investering 1 derfor en bedre identisk investering </t>
  </si>
  <si>
    <t>Salgsprisen=</t>
  </si>
  <si>
    <t xml:space="preserve">Den uendelige nutidsværdi er sumformlen for den kvotiente række. </t>
  </si>
  <si>
    <t>Det giver altid samme konklusion, som at sammenligne annutitesværiden ved uendelige genanskaffelse som at sammenligne de to alternativer</t>
  </si>
  <si>
    <t>Salgsprisen skal være 47156 før investeringen er rentetablet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</si>
</sst>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_);[Red]\(&quot;£&quot;#,##0.00\)"/>
    <numFmt numFmtId="164" formatCode="&quot;kr.&quot;\ #,##0.00;[Red]&quot;kr.&quot;\ \-#,##0.00"/>
    <numFmt numFmtId="165" formatCode="#,##0_ ;[Red]\-#,##0\ "/>
    <numFmt numFmtId="166" formatCode="0.000"/>
    <numFmt numFmtId="167" formatCode="0.0%"/>
    <numFmt numFmtId="168" formatCode="#,##0.000"/>
    <numFmt numFmtId="169" formatCode="#,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2"/>
      <color indexed="12"/>
      <name val="Helvetica"/>
      <family val="2"/>
    </font>
    <font>
      <u/>
      <sz val="12"/>
      <color indexed="12"/>
      <name val="Calibri"/>
      <family val="2"/>
    </font>
    <font>
      <sz val="12"/>
      <name val="Calibri"/>
      <family val="2"/>
      <scheme val="minor"/>
    </font>
    <font>
      <sz val="12"/>
      <name val="Helvetica"/>
      <family val="2"/>
    </font>
    <font>
      <u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i/>
      <sz val="12"/>
      <color theme="1"/>
      <name val="Calibri"/>
      <family val="2"/>
    </font>
    <font>
      <sz val="9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vertAlign val="subscript"/>
      <sz val="12"/>
      <name val="Calibri"/>
      <family val="2"/>
    </font>
    <font>
      <u/>
      <sz val="12"/>
      <name val="Calibri"/>
      <family val="2"/>
    </font>
    <font>
      <b/>
      <sz val="20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2"/>
      <color rgb="FFFF0000"/>
      <name val="Calibri"/>
      <family val="2"/>
    </font>
    <font>
      <i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11" fillId="0" borderId="0" applyFont="0" applyFill="0" applyBorder="0" applyAlignment="0" applyProtection="0"/>
    <xf numFmtId="0" fontId="15" fillId="0" borderId="0"/>
    <xf numFmtId="0" fontId="17" fillId="0" borderId="0"/>
    <xf numFmtId="0" fontId="1" fillId="0" borderId="0"/>
  </cellStyleXfs>
  <cellXfs count="205">
    <xf numFmtId="0" fontId="0" fillId="0" borderId="0" xfId="0"/>
    <xf numFmtId="0" fontId="2" fillId="2" borderId="0" xfId="0" applyFont="1" applyFill="1"/>
    <xf numFmtId="0" fontId="4" fillId="2" borderId="0" xfId="1" applyFont="1" applyFill="1" applyAlignment="1" applyProtection="1"/>
    <xf numFmtId="0" fontId="5" fillId="2" borderId="0" xfId="0" applyFont="1" applyFill="1"/>
    <xf numFmtId="0" fontId="2" fillId="3" borderId="0" xfId="2" applyFont="1" applyFill="1"/>
    <xf numFmtId="0" fontId="7" fillId="2" borderId="0" xfId="0" applyFont="1" applyFill="1"/>
    <xf numFmtId="3" fontId="7" fillId="2" borderId="0" xfId="0" applyNumberFormat="1" applyFont="1" applyFill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3" fontId="5" fillId="2" borderId="1" xfId="0" applyNumberFormat="1" applyFont="1" applyFill="1" applyBorder="1"/>
    <xf numFmtId="0" fontId="10" fillId="2" borderId="0" xfId="0" applyFont="1" applyFill="1" applyAlignment="1">
      <alignment horizontal="left"/>
    </xf>
    <xf numFmtId="0" fontId="5" fillId="2" borderId="1" xfId="0" applyFont="1" applyFill="1" applyBorder="1"/>
    <xf numFmtId="0" fontId="5" fillId="2" borderId="0" xfId="0" applyFont="1" applyFill="1" applyAlignment="1">
      <alignment horizontal="center"/>
    </xf>
    <xf numFmtId="9" fontId="5" fillId="2" borderId="1" xfId="3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3" xfId="0" applyFont="1" applyFill="1" applyBorder="1"/>
    <xf numFmtId="3" fontId="2" fillId="2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0" fontId="2" fillId="3" borderId="5" xfId="2" applyFont="1" applyFill="1" applyBorder="1"/>
    <xf numFmtId="3" fontId="2" fillId="3" borderId="3" xfId="2" applyNumberFormat="1" applyFont="1" applyFill="1" applyBorder="1" applyAlignment="1">
      <alignment horizontal="center"/>
    </xf>
    <xf numFmtId="0" fontId="12" fillId="3" borderId="5" xfId="2" applyFont="1" applyFill="1" applyBorder="1"/>
    <xf numFmtId="3" fontId="12" fillId="3" borderId="6" xfId="2" applyNumberFormat="1" applyFont="1" applyFill="1" applyBorder="1" applyAlignment="1">
      <alignment horizontal="center"/>
    </xf>
    <xf numFmtId="3" fontId="12" fillId="3" borderId="3" xfId="2" applyNumberFormat="1" applyFont="1" applyFill="1" applyBorder="1" applyAlignment="1">
      <alignment horizontal="center"/>
    </xf>
    <xf numFmtId="0" fontId="2" fillId="3" borderId="7" xfId="2" applyFont="1" applyFill="1" applyBorder="1"/>
    <xf numFmtId="3" fontId="2" fillId="3" borderId="7" xfId="2" applyNumberFormat="1" applyFont="1" applyFill="1" applyBorder="1"/>
    <xf numFmtId="0" fontId="2" fillId="3" borderId="1" xfId="2" applyFont="1" applyFill="1" applyBorder="1"/>
    <xf numFmtId="10" fontId="2" fillId="3" borderId="1" xfId="3" applyNumberFormat="1" applyFont="1" applyFill="1" applyBorder="1"/>
    <xf numFmtId="0" fontId="13" fillId="3" borderId="0" xfId="2" applyFont="1" applyFill="1"/>
    <xf numFmtId="0" fontId="14" fillId="3" borderId="0" xfId="2" applyFont="1" applyFill="1"/>
    <xf numFmtId="3" fontId="2" fillId="3" borderId="6" xfId="2" applyNumberFormat="1" applyFont="1" applyFill="1" applyBorder="1"/>
    <xf numFmtId="3" fontId="2" fillId="3" borderId="1" xfId="2" applyNumberFormat="1" applyFont="1" applyFill="1" applyBorder="1" applyAlignment="1">
      <alignment horizontal="center"/>
    </xf>
    <xf numFmtId="3" fontId="2" fillId="3" borderId="4" xfId="2" applyNumberFormat="1" applyFont="1" applyFill="1" applyBorder="1"/>
    <xf numFmtId="3" fontId="2" fillId="3" borderId="4" xfId="2" applyNumberFormat="1" applyFont="1" applyFill="1" applyBorder="1" applyAlignment="1">
      <alignment horizontal="center"/>
    </xf>
    <xf numFmtId="3" fontId="2" fillId="5" borderId="4" xfId="2" applyNumberFormat="1" applyFont="1" applyFill="1" applyBorder="1" applyAlignment="1">
      <alignment horizontal="center"/>
    </xf>
    <xf numFmtId="0" fontId="12" fillId="3" borderId="6" xfId="2" applyFont="1" applyFill="1" applyBorder="1"/>
    <xf numFmtId="165" fontId="12" fillId="3" borderId="1" xfId="2" applyNumberFormat="1" applyFont="1" applyFill="1" applyBorder="1" applyAlignment="1">
      <alignment horizontal="center"/>
    </xf>
    <xf numFmtId="10" fontId="12" fillId="3" borderId="1" xfId="2" applyNumberFormat="1" applyFont="1" applyFill="1" applyBorder="1" applyAlignment="1">
      <alignment horizontal="center"/>
    </xf>
    <xf numFmtId="3" fontId="12" fillId="3" borderId="1" xfId="2" applyNumberFormat="1" applyFont="1" applyFill="1" applyBorder="1"/>
    <xf numFmtId="3" fontId="12" fillId="3" borderId="1" xfId="2" applyNumberFormat="1" applyFont="1" applyFill="1" applyBorder="1" applyAlignment="1">
      <alignment horizontal="center"/>
    </xf>
    <xf numFmtId="0" fontId="12" fillId="3" borderId="0" xfId="2" applyFont="1" applyFill="1"/>
    <xf numFmtId="166" fontId="14" fillId="6" borderId="0" xfId="2" applyNumberFormat="1" applyFont="1" applyFill="1" applyAlignment="1">
      <alignment horizontal="center"/>
    </xf>
    <xf numFmtId="3" fontId="14" fillId="6" borderId="0" xfId="2" applyNumberFormat="1" applyFont="1" applyFill="1" applyAlignment="1">
      <alignment horizontal="center"/>
    </xf>
    <xf numFmtId="0" fontId="2" fillId="3" borderId="0" xfId="2" applyFont="1" applyFill="1" applyAlignment="1">
      <alignment horizontal="center"/>
    </xf>
    <xf numFmtId="1" fontId="14" fillId="6" borderId="0" xfId="2" applyNumberFormat="1" applyFont="1" applyFill="1" applyAlignment="1">
      <alignment horizontal="center"/>
    </xf>
    <xf numFmtId="0" fontId="2" fillId="3" borderId="0" xfId="4" applyFont="1" applyFill="1"/>
    <xf numFmtId="0" fontId="2" fillId="3" borderId="0" xfId="4" applyFont="1" applyFill="1" applyBorder="1"/>
    <xf numFmtId="0" fontId="2" fillId="3" borderId="7" xfId="4" applyFont="1" applyFill="1" applyBorder="1"/>
    <xf numFmtId="3" fontId="2" fillId="3" borderId="7" xfId="4" applyNumberFormat="1" applyFont="1" applyFill="1" applyBorder="1"/>
    <xf numFmtId="0" fontId="2" fillId="3" borderId="1" xfId="4" applyFont="1" applyFill="1" applyBorder="1"/>
    <xf numFmtId="3" fontId="2" fillId="3" borderId="1" xfId="4" applyNumberFormat="1" applyFont="1" applyFill="1" applyBorder="1"/>
    <xf numFmtId="0" fontId="14" fillId="3" borderId="0" xfId="4" applyFont="1" applyFill="1" applyBorder="1"/>
    <xf numFmtId="9" fontId="2" fillId="3" borderId="1" xfId="3" applyFont="1" applyFill="1" applyBorder="1"/>
    <xf numFmtId="0" fontId="13" fillId="3" borderId="0" xfId="4" applyFont="1" applyFill="1"/>
    <xf numFmtId="0" fontId="12" fillId="3" borderId="5" xfId="4" applyFont="1" applyFill="1" applyBorder="1" applyAlignment="1">
      <alignment horizontal="center"/>
    </xf>
    <xf numFmtId="0" fontId="12" fillId="3" borderId="6" xfId="4" applyFont="1" applyFill="1" applyBorder="1" applyAlignment="1">
      <alignment horizontal="center"/>
    </xf>
    <xf numFmtId="0" fontId="2" fillId="3" borderId="5" xfId="4" applyFont="1" applyFill="1" applyBorder="1"/>
    <xf numFmtId="3" fontId="2" fillId="3" borderId="5" xfId="4" applyNumberFormat="1" applyFont="1" applyFill="1" applyBorder="1" applyAlignment="1">
      <alignment horizontal="center"/>
    </xf>
    <xf numFmtId="0" fontId="2" fillId="3" borderId="5" xfId="4" applyFont="1" applyFill="1" applyBorder="1" applyAlignment="1">
      <alignment horizontal="center"/>
    </xf>
    <xf numFmtId="0" fontId="2" fillId="3" borderId="6" xfId="4" applyFont="1" applyFill="1" applyBorder="1" applyAlignment="1">
      <alignment horizontal="center"/>
    </xf>
    <xf numFmtId="3" fontId="2" fillId="3" borderId="6" xfId="4" applyNumberFormat="1" applyFont="1" applyFill="1" applyBorder="1" applyAlignment="1">
      <alignment horizontal="center"/>
    </xf>
    <xf numFmtId="3" fontId="2" fillId="3" borderId="0" xfId="2" applyNumberFormat="1" applyFont="1" applyFill="1" applyAlignment="1"/>
    <xf numFmtId="3" fontId="2" fillId="3" borderId="0" xfId="2" applyNumberFormat="1" applyFont="1" applyFill="1"/>
    <xf numFmtId="167" fontId="2" fillId="3" borderId="7" xfId="4" applyNumberFormat="1" applyFont="1" applyFill="1" applyBorder="1"/>
    <xf numFmtId="3" fontId="12" fillId="3" borderId="0" xfId="2" applyNumberFormat="1" applyFont="1" applyFill="1"/>
    <xf numFmtId="3" fontId="12" fillId="3" borderId="2" xfId="4" applyNumberFormat="1" applyFont="1" applyFill="1" applyBorder="1"/>
    <xf numFmtId="3" fontId="2" fillId="3" borderId="2" xfId="4" applyNumberFormat="1" applyFont="1" applyFill="1" applyBorder="1"/>
    <xf numFmtId="0" fontId="2" fillId="3" borderId="2" xfId="2" applyFont="1" applyFill="1" applyBorder="1"/>
    <xf numFmtId="3" fontId="12" fillId="3" borderId="3" xfId="4" applyNumberFormat="1" applyFont="1" applyFill="1" applyBorder="1" applyAlignment="1">
      <alignment horizontal="center"/>
    </xf>
    <xf numFmtId="3" fontId="2" fillId="3" borderId="3" xfId="4" applyNumberFormat="1" applyFont="1" applyFill="1" applyBorder="1"/>
    <xf numFmtId="3" fontId="2" fillId="3" borderId="3" xfId="4" applyNumberFormat="1" applyFont="1" applyFill="1" applyBorder="1" applyAlignment="1">
      <alignment horizontal="center"/>
    </xf>
    <xf numFmtId="3" fontId="12" fillId="3" borderId="0" xfId="4" applyNumberFormat="1" applyFont="1" applyFill="1"/>
    <xf numFmtId="3" fontId="2" fillId="3" borderId="0" xfId="4" applyNumberFormat="1" applyFont="1" applyFill="1"/>
    <xf numFmtId="3" fontId="12" fillId="3" borderId="1" xfId="4" applyNumberFormat="1" applyFont="1" applyFill="1" applyBorder="1"/>
    <xf numFmtId="3" fontId="12" fillId="3" borderId="1" xfId="4" applyNumberFormat="1" applyFont="1" applyFill="1" applyBorder="1" applyAlignment="1">
      <alignment horizontal="center"/>
    </xf>
    <xf numFmtId="3" fontId="2" fillId="3" borderId="0" xfId="4" applyNumberFormat="1" applyFont="1" applyFill="1" applyAlignment="1">
      <alignment horizontal="right"/>
    </xf>
    <xf numFmtId="168" fontId="2" fillId="3" borderId="0" xfId="4" applyNumberFormat="1" applyFont="1" applyFill="1" applyBorder="1"/>
    <xf numFmtId="3" fontId="12" fillId="3" borderId="8" xfId="4" applyNumberFormat="1" applyFont="1" applyFill="1" applyBorder="1"/>
    <xf numFmtId="3" fontId="12" fillId="3" borderId="6" xfId="4" applyNumberFormat="1" applyFont="1" applyFill="1" applyBorder="1"/>
    <xf numFmtId="167" fontId="12" fillId="3" borderId="1" xfId="3" applyNumberFormat="1" applyFont="1" applyFill="1" applyBorder="1" applyAlignment="1">
      <alignment horizontal="center"/>
    </xf>
    <xf numFmtId="3" fontId="12" fillId="3" borderId="5" xfId="4" applyNumberFormat="1" applyFont="1" applyFill="1" applyBorder="1"/>
    <xf numFmtId="3" fontId="12" fillId="3" borderId="6" xfId="3" applyNumberFormat="1" applyFont="1" applyFill="1" applyBorder="1" applyAlignment="1">
      <alignment horizontal="center"/>
    </xf>
    <xf numFmtId="4" fontId="2" fillId="3" borderId="0" xfId="4" applyNumberFormat="1" applyFont="1" applyFill="1"/>
    <xf numFmtId="4" fontId="12" fillId="3" borderId="0" xfId="4" applyNumberFormat="1" applyFont="1" applyFill="1" applyAlignment="1">
      <alignment horizontal="center"/>
    </xf>
    <xf numFmtId="4" fontId="2" fillId="3" borderId="6" xfId="4" applyNumberFormat="1" applyFont="1" applyFill="1" applyBorder="1"/>
    <xf numFmtId="4" fontId="2" fillId="3" borderId="3" xfId="4" applyNumberFormat="1" applyFont="1" applyFill="1" applyBorder="1"/>
    <xf numFmtId="9" fontId="2" fillId="3" borderId="3" xfId="3" applyFont="1" applyFill="1" applyBorder="1" applyAlignment="1">
      <alignment horizontal="center"/>
    </xf>
    <xf numFmtId="4" fontId="13" fillId="3" borderId="0" xfId="4" applyNumberFormat="1" applyFont="1" applyFill="1"/>
    <xf numFmtId="4" fontId="16" fillId="3" borderId="0" xfId="4" applyNumberFormat="1" applyFont="1" applyFill="1"/>
    <xf numFmtId="4" fontId="14" fillId="3" borderId="0" xfId="4" applyNumberFormat="1" applyFont="1" applyFill="1"/>
    <xf numFmtId="4" fontId="2" fillId="3" borderId="2" xfId="4" applyNumberFormat="1" applyFont="1" applyFill="1" applyBorder="1"/>
    <xf numFmtId="4" fontId="12" fillId="3" borderId="2" xfId="4" applyNumberFormat="1" applyFont="1" applyFill="1" applyBorder="1" applyAlignment="1">
      <alignment horizontal="center"/>
    </xf>
    <xf numFmtId="4" fontId="2" fillId="3" borderId="4" xfId="4" applyNumberFormat="1" applyFont="1" applyFill="1" applyBorder="1"/>
    <xf numFmtId="3" fontId="2" fillId="3" borderId="4" xfId="4" applyNumberFormat="1" applyFont="1" applyFill="1" applyBorder="1" applyAlignment="1">
      <alignment horizontal="center"/>
    </xf>
    <xf numFmtId="4" fontId="12" fillId="3" borderId="4" xfId="4" applyNumberFormat="1" applyFont="1" applyFill="1" applyBorder="1"/>
    <xf numFmtId="3" fontId="12" fillId="3" borderId="4" xfId="4" applyNumberFormat="1" applyFont="1" applyFill="1" applyBorder="1" applyAlignment="1">
      <alignment horizontal="center"/>
    </xf>
    <xf numFmtId="9" fontId="2" fillId="3" borderId="6" xfId="3" applyFont="1" applyFill="1" applyBorder="1" applyAlignment="1">
      <alignment horizontal="center"/>
    </xf>
    <xf numFmtId="167" fontId="2" fillId="3" borderId="6" xfId="3" applyNumberFormat="1" applyFont="1" applyFill="1" applyBorder="1" applyAlignment="1">
      <alignment horizontal="center"/>
    </xf>
    <xf numFmtId="3" fontId="2" fillId="3" borderId="6" xfId="2" applyNumberFormat="1" applyFont="1" applyFill="1" applyBorder="1" applyAlignment="1">
      <alignment horizontal="center"/>
    </xf>
    <xf numFmtId="0" fontId="2" fillId="3" borderId="6" xfId="2" applyFont="1" applyFill="1" applyBorder="1"/>
    <xf numFmtId="0" fontId="2" fillId="3" borderId="6" xfId="2" applyFont="1" applyFill="1" applyBorder="1" applyAlignment="1">
      <alignment horizontal="center"/>
    </xf>
    <xf numFmtId="9" fontId="2" fillId="3" borderId="1" xfId="3" applyFont="1" applyFill="1" applyBorder="1" applyAlignment="1">
      <alignment horizontal="center"/>
    </xf>
    <xf numFmtId="0" fontId="2" fillId="3" borderId="0" xfId="2" applyFont="1" applyFill="1" applyBorder="1"/>
    <xf numFmtId="0" fontId="12" fillId="3" borderId="9" xfId="2" applyFont="1" applyFill="1" applyBorder="1" applyAlignment="1">
      <alignment horizontal="center"/>
    </xf>
    <xf numFmtId="0" fontId="12" fillId="3" borderId="6" xfId="2" applyFont="1" applyFill="1" applyBorder="1" applyAlignment="1">
      <alignment horizontal="center"/>
    </xf>
    <xf numFmtId="0" fontId="12" fillId="3" borderId="1" xfId="2" applyFont="1" applyFill="1" applyBorder="1" applyAlignment="1">
      <alignment horizontal="center"/>
    </xf>
    <xf numFmtId="0" fontId="12" fillId="3" borderId="10" xfId="2" applyFont="1" applyFill="1" applyBorder="1"/>
    <xf numFmtId="0" fontId="2" fillId="3" borderId="5" xfId="2" applyFont="1" applyFill="1" applyBorder="1" applyAlignment="1">
      <alignment horizontal="center"/>
    </xf>
    <xf numFmtId="165" fontId="2" fillId="3" borderId="6" xfId="2" applyNumberFormat="1" applyFont="1" applyFill="1" applyBorder="1" applyAlignment="1">
      <alignment horizontal="center"/>
    </xf>
    <xf numFmtId="0" fontId="12" fillId="3" borderId="3" xfId="2" applyFont="1" applyFill="1" applyBorder="1"/>
    <xf numFmtId="0" fontId="2" fillId="3" borderId="2" xfId="2" applyFont="1" applyFill="1" applyBorder="1" applyAlignment="1">
      <alignment horizontal="center"/>
    </xf>
    <xf numFmtId="165" fontId="2" fillId="3" borderId="3" xfId="2" applyNumberFormat="1" applyFont="1" applyFill="1" applyBorder="1" applyAlignment="1">
      <alignment horizontal="center"/>
    </xf>
    <xf numFmtId="9" fontId="2" fillId="3" borderId="4" xfId="2" applyNumberFormat="1" applyFont="1" applyFill="1" applyBorder="1" applyAlignment="1">
      <alignment horizontal="center"/>
    </xf>
    <xf numFmtId="164" fontId="2" fillId="3" borderId="0" xfId="2" applyNumberFormat="1" applyFont="1" applyFill="1"/>
    <xf numFmtId="9" fontId="2" fillId="3" borderId="1" xfId="2" applyNumberFormat="1" applyFont="1" applyFill="1" applyBorder="1" applyAlignment="1">
      <alignment horizontal="center"/>
    </xf>
    <xf numFmtId="0" fontId="12" fillId="3" borderId="6" xfId="4" applyFont="1" applyFill="1" applyBorder="1"/>
    <xf numFmtId="0" fontId="2" fillId="3" borderId="6" xfId="4" applyFont="1" applyFill="1" applyBorder="1"/>
    <xf numFmtId="0" fontId="13" fillId="3" borderId="0" xfId="2" applyFont="1" applyFill="1" applyBorder="1"/>
    <xf numFmtId="0" fontId="14" fillId="3" borderId="0" xfId="2" applyFont="1" applyFill="1" applyBorder="1"/>
    <xf numFmtId="0" fontId="12" fillId="3" borderId="0" xfId="2" applyFont="1" applyFill="1" applyBorder="1"/>
    <xf numFmtId="9" fontId="12" fillId="3" borderId="0" xfId="3" applyFont="1" applyFill="1" applyBorder="1" applyAlignment="1">
      <alignment horizontal="center"/>
    </xf>
    <xf numFmtId="4" fontId="2" fillId="3" borderId="6" xfId="3" applyNumberFormat="1" applyFont="1" applyFill="1" applyBorder="1" applyAlignment="1">
      <alignment horizontal="center"/>
    </xf>
    <xf numFmtId="0" fontId="18" fillId="7" borderId="0" xfId="5" applyFont="1" applyFill="1"/>
    <xf numFmtId="0" fontId="4" fillId="8" borderId="0" xfId="1" applyFont="1" applyFill="1" applyAlignment="1" applyProtection="1"/>
    <xf numFmtId="3" fontId="18" fillId="7" borderId="6" xfId="5" applyNumberFormat="1" applyFont="1" applyFill="1" applyBorder="1"/>
    <xf numFmtId="9" fontId="18" fillId="7" borderId="6" xfId="3" applyFont="1" applyFill="1" applyBorder="1"/>
    <xf numFmtId="0" fontId="16" fillId="7" borderId="0" xfId="5" applyFont="1" applyFill="1"/>
    <xf numFmtId="3" fontId="18" fillId="7" borderId="0" xfId="5" applyNumberFormat="1" applyFont="1" applyFill="1"/>
    <xf numFmtId="0" fontId="19" fillId="7" borderId="6" xfId="5" applyFont="1" applyFill="1" applyBorder="1"/>
    <xf numFmtId="0" fontId="19" fillId="7" borderId="6" xfId="5" applyFont="1" applyFill="1" applyBorder="1" applyAlignment="1">
      <alignment horizontal="center"/>
    </xf>
    <xf numFmtId="0" fontId="18" fillId="7" borderId="6" xfId="5" applyFont="1" applyFill="1" applyBorder="1"/>
    <xf numFmtId="3" fontId="2" fillId="7" borderId="6" xfId="5" applyNumberFormat="1" applyFont="1" applyFill="1" applyBorder="1" applyAlignment="1">
      <alignment horizontal="center"/>
    </xf>
    <xf numFmtId="0" fontId="2" fillId="7" borderId="6" xfId="5" applyFont="1" applyFill="1" applyBorder="1" applyAlignment="1">
      <alignment horizontal="center"/>
    </xf>
    <xf numFmtId="0" fontId="12" fillId="7" borderId="6" xfId="5" applyFont="1" applyFill="1" applyBorder="1"/>
    <xf numFmtId="3" fontId="12" fillId="7" borderId="6" xfId="5" applyNumberFormat="1" applyFont="1" applyFill="1" applyBorder="1" applyAlignment="1">
      <alignment horizontal="center"/>
    </xf>
    <xf numFmtId="10" fontId="12" fillId="7" borderId="6" xfId="5" applyNumberFormat="1" applyFont="1" applyFill="1" applyBorder="1" applyAlignment="1">
      <alignment horizontal="center"/>
    </xf>
    <xf numFmtId="0" fontId="2" fillId="7" borderId="0" xfId="5" applyFont="1" applyFill="1"/>
    <xf numFmtId="0" fontId="2" fillId="7" borderId="0" xfId="5" applyFont="1" applyFill="1" applyAlignment="1">
      <alignment horizontal="left"/>
    </xf>
    <xf numFmtId="3" fontId="2" fillId="7" borderId="0" xfId="5" applyNumberFormat="1" applyFont="1" applyFill="1" applyAlignment="1">
      <alignment horizontal="center"/>
    </xf>
    <xf numFmtId="0" fontId="18" fillId="7" borderId="0" xfId="5" applyFont="1" applyFill="1" applyAlignment="1">
      <alignment horizontal="left"/>
    </xf>
    <xf numFmtId="3" fontId="20" fillId="7" borderId="0" xfId="0" applyNumberFormat="1" applyFont="1" applyFill="1"/>
    <xf numFmtId="0" fontId="2" fillId="7" borderId="6" xfId="5" applyFont="1" applyFill="1" applyBorder="1"/>
    <xf numFmtId="3" fontId="2" fillId="7" borderId="0" xfId="5" applyNumberFormat="1" applyFont="1" applyFill="1"/>
    <xf numFmtId="0" fontId="18" fillId="7" borderId="0" xfId="6" applyFont="1" applyFill="1"/>
    <xf numFmtId="0" fontId="19" fillId="7" borderId="0" xfId="6" applyFont="1" applyFill="1"/>
    <xf numFmtId="3" fontId="19" fillId="7" borderId="6" xfId="6" applyNumberFormat="1" applyFont="1" applyFill="1" applyBorder="1"/>
    <xf numFmtId="3" fontId="18" fillId="7" borderId="6" xfId="6" applyNumberFormat="1" applyFont="1" applyFill="1" applyBorder="1" applyAlignment="1">
      <alignment horizontal="left"/>
    </xf>
    <xf numFmtId="3" fontId="18" fillId="7" borderId="6" xfId="6" applyNumberFormat="1" applyFont="1" applyFill="1" applyBorder="1" applyAlignment="1">
      <alignment horizontal="center"/>
    </xf>
    <xf numFmtId="4" fontId="18" fillId="7" borderId="6" xfId="6" applyNumberFormat="1" applyFont="1" applyFill="1" applyBorder="1" applyAlignment="1">
      <alignment horizontal="center"/>
    </xf>
    <xf numFmtId="169" fontId="18" fillId="7" borderId="6" xfId="6" applyNumberFormat="1" applyFont="1" applyFill="1" applyBorder="1" applyAlignment="1">
      <alignment horizontal="center"/>
    </xf>
    <xf numFmtId="9" fontId="18" fillId="7" borderId="6" xfId="3" applyFont="1" applyFill="1" applyBorder="1" applyAlignment="1">
      <alignment horizontal="center"/>
    </xf>
    <xf numFmtId="0" fontId="16" fillId="7" borderId="0" xfId="6" applyFont="1" applyFill="1"/>
    <xf numFmtId="0" fontId="19" fillId="7" borderId="6" xfId="6" applyFont="1" applyFill="1" applyBorder="1"/>
    <xf numFmtId="0" fontId="19" fillId="7" borderId="6" xfId="6" applyFont="1" applyFill="1" applyBorder="1" applyAlignment="1">
      <alignment horizontal="center"/>
    </xf>
    <xf numFmtId="0" fontId="18" fillId="7" borderId="6" xfId="6" applyFont="1" applyFill="1" applyBorder="1"/>
    <xf numFmtId="0" fontId="2" fillId="7" borderId="0" xfId="6" applyFont="1" applyFill="1"/>
    <xf numFmtId="167" fontId="12" fillId="7" borderId="6" xfId="3" applyNumberFormat="1" applyFont="1" applyFill="1" applyBorder="1" applyAlignment="1">
      <alignment horizontal="center"/>
    </xf>
    <xf numFmtId="3" fontId="2" fillId="3" borderId="0" xfId="4" applyNumberFormat="1" applyFont="1" applyFill="1" applyBorder="1"/>
    <xf numFmtId="3" fontId="2" fillId="3" borderId="6" xfId="4" applyNumberFormat="1" applyFont="1" applyFill="1" applyBorder="1"/>
    <xf numFmtId="3" fontId="13" fillId="3" borderId="0" xfId="4" applyNumberFormat="1" applyFont="1" applyFill="1" applyBorder="1"/>
    <xf numFmtId="167" fontId="14" fillId="3" borderId="0" xfId="3" applyNumberFormat="1" applyFont="1" applyFill="1" applyBorder="1" applyAlignment="1">
      <alignment horizontal="center"/>
    </xf>
    <xf numFmtId="3" fontId="12" fillId="3" borderId="6" xfId="4" applyNumberFormat="1" applyFont="1" applyFill="1" applyBorder="1" applyAlignment="1">
      <alignment horizontal="center"/>
    </xf>
    <xf numFmtId="3" fontId="2" fillId="3" borderId="0" xfId="4" applyNumberFormat="1" applyFont="1" applyFill="1" applyBorder="1" applyAlignment="1">
      <alignment horizontal="right"/>
    </xf>
    <xf numFmtId="3" fontId="13" fillId="3" borderId="0" xfId="2" applyNumberFormat="1" applyFont="1" applyFill="1"/>
    <xf numFmtId="3" fontId="12" fillId="3" borderId="0" xfId="4" applyNumberFormat="1" applyFont="1" applyFill="1" applyBorder="1"/>
    <xf numFmtId="3" fontId="12" fillId="3" borderId="6" xfId="4" applyNumberFormat="1" applyFont="1" applyFill="1" applyBorder="1" applyAlignment="1">
      <alignment horizontal="left"/>
    </xf>
    <xf numFmtId="3" fontId="2" fillId="3" borderId="6" xfId="4" applyNumberFormat="1" applyFont="1" applyFill="1" applyBorder="1" applyAlignment="1">
      <alignment horizontal="left"/>
    </xf>
    <xf numFmtId="3" fontId="2" fillId="5" borderId="6" xfId="4" applyNumberFormat="1" applyFont="1" applyFill="1" applyBorder="1"/>
    <xf numFmtId="3" fontId="2" fillId="5" borderId="6" xfId="4" applyNumberFormat="1" applyFont="1" applyFill="1" applyBorder="1" applyAlignment="1">
      <alignment horizontal="center"/>
    </xf>
    <xf numFmtId="0" fontId="12" fillId="3" borderId="0" xfId="4" applyFont="1" applyFill="1"/>
    <xf numFmtId="0" fontId="2" fillId="3" borderId="9" xfId="4" applyFont="1" applyFill="1" applyBorder="1"/>
    <xf numFmtId="0" fontId="12" fillId="3" borderId="9" xfId="4" applyFont="1" applyFill="1" applyBorder="1"/>
    <xf numFmtId="0" fontId="2" fillId="3" borderId="6" xfId="4" applyFont="1" applyFill="1" applyBorder="1" applyAlignment="1">
      <alignment horizontal="left"/>
    </xf>
    <xf numFmtId="1" fontId="2" fillId="3" borderId="6" xfId="4" applyNumberFormat="1" applyFont="1" applyFill="1" applyBorder="1" applyAlignment="1">
      <alignment horizontal="center"/>
    </xf>
    <xf numFmtId="1" fontId="2" fillId="3" borderId="0" xfId="4" applyNumberFormat="1" applyFont="1" applyFill="1"/>
    <xf numFmtId="0" fontId="13" fillId="3" borderId="0" xfId="4" applyFont="1" applyFill="1" applyBorder="1"/>
    <xf numFmtId="0" fontId="12" fillId="3" borderId="0" xfId="4" applyFont="1" applyFill="1" applyBorder="1"/>
    <xf numFmtId="0" fontId="22" fillId="3" borderId="0" xfId="2" applyFont="1" applyFill="1"/>
    <xf numFmtId="3" fontId="22" fillId="3" borderId="0" xfId="1" applyNumberFormat="1" applyFont="1" applyFill="1" applyAlignment="1" applyProtection="1"/>
    <xf numFmtId="0" fontId="2" fillId="3" borderId="6" xfId="2" applyFont="1" applyFill="1" applyBorder="1" applyAlignment="1">
      <alignment horizontal="left"/>
    </xf>
    <xf numFmtId="0" fontId="2" fillId="3" borderId="6" xfId="2" applyFont="1" applyFill="1" applyBorder="1" applyAlignment="1">
      <alignment horizontal="left" wrapText="1"/>
    </xf>
    <xf numFmtId="0" fontId="2" fillId="5" borderId="6" xfId="2" applyFont="1" applyFill="1" applyBorder="1" applyAlignment="1">
      <alignment horizontal="center"/>
    </xf>
    <xf numFmtId="0" fontId="23" fillId="7" borderId="0" xfId="0" applyFont="1" applyFill="1" applyBorder="1" applyAlignment="1">
      <alignment horizontal="left"/>
    </xf>
    <xf numFmtId="0" fontId="24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/>
    </xf>
    <xf numFmtId="0" fontId="24" fillId="7" borderId="8" xfId="1" applyFont="1" applyFill="1" applyBorder="1" applyAlignment="1" applyProtection="1">
      <alignment horizontal="center"/>
    </xf>
    <xf numFmtId="0" fontId="24" fillId="7" borderId="0" xfId="1" applyFont="1" applyFill="1" applyBorder="1" applyAlignment="1" applyProtection="1">
      <alignment horizontal="center"/>
    </xf>
    <xf numFmtId="0" fontId="0" fillId="0" borderId="0" xfId="0" applyBorder="1"/>
    <xf numFmtId="3" fontId="14" fillId="7" borderId="6" xfId="6" applyNumberFormat="1" applyFont="1" applyFill="1" applyBorder="1" applyAlignment="1">
      <alignment horizontal="center"/>
    </xf>
    <xf numFmtId="3" fontId="26" fillId="7" borderId="6" xfId="6" applyNumberFormat="1" applyFont="1" applyFill="1" applyBorder="1" applyAlignment="1">
      <alignment horizontal="center"/>
    </xf>
    <xf numFmtId="3" fontId="14" fillId="7" borderId="0" xfId="6" applyNumberFormat="1" applyFont="1" applyFill="1"/>
    <xf numFmtId="167" fontId="26" fillId="7" borderId="6" xfId="6" applyNumberFormat="1" applyFont="1" applyFill="1" applyBorder="1" applyAlignment="1">
      <alignment horizontal="center"/>
    </xf>
    <xf numFmtId="167" fontId="26" fillId="7" borderId="6" xfId="3" applyNumberFormat="1" applyFont="1" applyFill="1" applyBorder="1" applyAlignment="1">
      <alignment horizontal="center"/>
    </xf>
    <xf numFmtId="2" fontId="2" fillId="3" borderId="0" xfId="2" applyNumberFormat="1" applyFont="1" applyFill="1"/>
    <xf numFmtId="8" fontId="2" fillId="3" borderId="0" xfId="2" applyNumberFormat="1" applyFont="1" applyFill="1"/>
    <xf numFmtId="9" fontId="2" fillId="3" borderId="6" xfId="2" applyNumberFormat="1" applyFont="1" applyFill="1" applyBorder="1"/>
    <xf numFmtId="0" fontId="27" fillId="3" borderId="0" xfId="2" applyFont="1" applyFill="1" applyBorder="1"/>
    <xf numFmtId="0" fontId="14" fillId="7" borderId="0" xfId="5" applyFont="1" applyFill="1"/>
    <xf numFmtId="3" fontId="2" fillId="3" borderId="6" xfId="2" applyNumberFormat="1" applyFont="1" applyFill="1" applyBorder="1" applyAlignment="1">
      <alignment horizontal="right"/>
    </xf>
    <xf numFmtId="9" fontId="2" fillId="3" borderId="0" xfId="2" applyNumberFormat="1" applyFont="1" applyFill="1"/>
    <xf numFmtId="0" fontId="25" fillId="7" borderId="0" xfId="0" applyFont="1" applyFill="1" applyBorder="1" applyAlignment="1">
      <alignment horizontal="center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3" xfId="5" xr:uid="{00000000-0005-0000-0000-000004000000}"/>
    <cellStyle name="Normal 3" xfId="6" xr:uid="{00000000-0005-0000-0000-000005000000}"/>
    <cellStyle name="Percent 5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984250</xdr:colOff>
      <xdr:row>20</xdr:row>
      <xdr:rowOff>190500</xdr:rowOff>
    </xdr:from>
    <xdr:to>
      <xdr:col>7</xdr:col>
      <xdr:colOff>1790700</xdr:colOff>
      <xdr:row>23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29741D-4847-3A43-B673-4A8FBBC10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8750" y="4635500"/>
          <a:ext cx="26797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127000</xdr:colOff>
      <xdr:row>12</xdr:row>
      <xdr:rowOff>15875</xdr:rowOff>
    </xdr:from>
    <xdr:to>
      <xdr:col>11</xdr:col>
      <xdr:colOff>19050</xdr:colOff>
      <xdr:row>14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AE9CAB-080E-994F-8B2F-2FB2B2A0C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2682875"/>
          <a:ext cx="26543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showGridLines="0" zoomScale="80" zoomScaleNormal="80" workbookViewId="0">
      <selection activeCell="I17" sqref="E17:I41"/>
    </sheetView>
  </sheetViews>
  <sheetFormatPr baseColWidth="10" defaultColWidth="8.83203125" defaultRowHeight="18" customHeight="1" x14ac:dyDescent="0.2"/>
  <sheetData>
    <row r="1" spans="1:3" ht="25.25" customHeight="1" x14ac:dyDescent="0.3">
      <c r="A1" s="186" t="s">
        <v>310</v>
      </c>
    </row>
    <row r="2" spans="1:3" ht="18" customHeight="1" x14ac:dyDescent="0.25">
      <c r="A2" s="187"/>
      <c r="B2" s="187"/>
    </row>
    <row r="3" spans="1:3" ht="18" customHeight="1" x14ac:dyDescent="0.25">
      <c r="A3" s="204" t="s">
        <v>287</v>
      </c>
      <c r="B3" s="204"/>
      <c r="C3" s="191"/>
    </row>
    <row r="4" spans="1:3" ht="18" customHeight="1" x14ac:dyDescent="0.25">
      <c r="A4" s="188"/>
      <c r="B4" s="188"/>
      <c r="C4" s="191"/>
    </row>
    <row r="5" spans="1:3" ht="18" customHeight="1" x14ac:dyDescent="0.25">
      <c r="A5" s="189" t="s">
        <v>288</v>
      </c>
      <c r="B5" s="190" t="s">
        <v>289</v>
      </c>
      <c r="C5" s="191"/>
    </row>
    <row r="6" spans="1:3" ht="18" customHeight="1" x14ac:dyDescent="0.25">
      <c r="A6" s="189" t="s">
        <v>290</v>
      </c>
      <c r="B6" s="190" t="s">
        <v>291</v>
      </c>
      <c r="C6" s="191"/>
    </row>
    <row r="7" spans="1:3" ht="18" customHeight="1" x14ac:dyDescent="0.25">
      <c r="A7" s="189" t="s">
        <v>292</v>
      </c>
      <c r="B7" s="190" t="s">
        <v>293</v>
      </c>
      <c r="C7" s="191"/>
    </row>
    <row r="8" spans="1:3" ht="18" customHeight="1" x14ac:dyDescent="0.25">
      <c r="A8" s="189" t="s">
        <v>294</v>
      </c>
      <c r="B8" s="190" t="s">
        <v>295</v>
      </c>
      <c r="C8" s="191"/>
    </row>
    <row r="9" spans="1:3" ht="18" customHeight="1" x14ac:dyDescent="0.25">
      <c r="A9" s="189" t="s">
        <v>296</v>
      </c>
      <c r="B9" s="190" t="s">
        <v>297</v>
      </c>
      <c r="C9" s="191"/>
    </row>
    <row r="10" spans="1:3" ht="18" customHeight="1" x14ac:dyDescent="0.25">
      <c r="A10" s="189" t="s">
        <v>298</v>
      </c>
      <c r="B10" s="190" t="s">
        <v>299</v>
      </c>
      <c r="C10" s="191"/>
    </row>
    <row r="11" spans="1:3" ht="18" customHeight="1" x14ac:dyDescent="0.25">
      <c r="A11" s="189" t="s">
        <v>300</v>
      </c>
      <c r="B11" s="190" t="s">
        <v>301</v>
      </c>
      <c r="C11" s="191"/>
    </row>
    <row r="12" spans="1:3" ht="18" customHeight="1" x14ac:dyDescent="0.25">
      <c r="A12" s="189" t="s">
        <v>302</v>
      </c>
      <c r="B12" s="190"/>
      <c r="C12" s="191"/>
    </row>
  </sheetData>
  <mergeCells count="1">
    <mergeCell ref="A3:B3"/>
  </mergeCells>
  <hyperlinks>
    <hyperlink ref="A5" location="'I1'!A1" display="I1" xr:uid="{00000000-0004-0000-0000-000000000000}"/>
    <hyperlink ref="A6" location="'I2'!A1" display="I2" xr:uid="{00000000-0004-0000-0000-000001000000}"/>
    <hyperlink ref="A7" location="'I3'!A1" display="I3" xr:uid="{00000000-0004-0000-0000-000002000000}"/>
    <hyperlink ref="A8" location="'I4'!A1" display="I4" xr:uid="{00000000-0004-0000-0000-000003000000}"/>
    <hyperlink ref="A9" location="'I5'!A1" display="I5" xr:uid="{00000000-0004-0000-0000-000004000000}"/>
    <hyperlink ref="A10" location="'I6'!A1" display="I6" xr:uid="{00000000-0004-0000-0000-000005000000}"/>
    <hyperlink ref="A11" location="'I7'!A1" display="I7" xr:uid="{00000000-0004-0000-0000-000006000000}"/>
    <hyperlink ref="A12" location="'I8'!A1" display="I8" xr:uid="{00000000-0004-0000-0000-000007000000}"/>
    <hyperlink ref="B5" location="'I9'!A1" display="I9" xr:uid="{00000000-0004-0000-0000-000008000000}"/>
    <hyperlink ref="B6" location="'I10'!A1" display="I10" xr:uid="{00000000-0004-0000-0000-000009000000}"/>
    <hyperlink ref="B7" location="'I11'!A1" display="I11" xr:uid="{00000000-0004-0000-0000-00000A000000}"/>
    <hyperlink ref="B9" location="'I13'!A1" display="I13" xr:uid="{00000000-0004-0000-0000-00000B000000}"/>
    <hyperlink ref="B11" location="'I15'!A1" display="I15" xr:uid="{00000000-0004-0000-0000-00000C000000}"/>
    <hyperlink ref="B8" location="'I12'!A1" display="I12" xr:uid="{00000000-0004-0000-0000-00000D000000}"/>
    <hyperlink ref="B10" location="'I14'!A1" display="I14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"/>
  <sheetViews>
    <sheetView zoomScale="80" zoomScaleNormal="80" workbookViewId="0">
      <selection activeCell="D19" sqref="D19"/>
    </sheetView>
  </sheetViews>
  <sheetFormatPr baseColWidth="10" defaultColWidth="24.5" defaultRowHeight="18" customHeight="1" x14ac:dyDescent="0.2"/>
  <cols>
    <col min="1" max="1" width="31.33203125" style="4" customWidth="1"/>
    <col min="2" max="2" width="17.6640625" style="4" customWidth="1"/>
    <col min="3" max="3" width="30.1640625" style="4" bestFit="1" customWidth="1"/>
    <col min="4" max="5" width="17.6640625" style="4" customWidth="1"/>
    <col min="6" max="16384" width="24.5" style="4"/>
  </cols>
  <sheetData>
    <row r="1" spans="1:16" ht="18" customHeight="1" x14ac:dyDescent="0.2">
      <c r="A1" s="4" t="s">
        <v>155</v>
      </c>
      <c r="B1" s="2" t="s">
        <v>1</v>
      </c>
    </row>
    <row r="3" spans="1:16" ht="18" customHeight="1" x14ac:dyDescent="0.2">
      <c r="A3" s="4" t="s">
        <v>156</v>
      </c>
    </row>
    <row r="4" spans="1:16" ht="18" customHeight="1" x14ac:dyDescent="0.2">
      <c r="G4" s="4">
        <v>1</v>
      </c>
      <c r="H4" s="4">
        <v>2</v>
      </c>
      <c r="I4" s="4">
        <v>3</v>
      </c>
      <c r="J4" s="4">
        <v>4</v>
      </c>
      <c r="K4" s="4">
        <v>5</v>
      </c>
      <c r="L4" s="4">
        <v>6</v>
      </c>
      <c r="M4" s="4">
        <v>7</v>
      </c>
      <c r="N4" s="4">
        <v>8</v>
      </c>
      <c r="O4" s="4">
        <v>9</v>
      </c>
      <c r="P4" s="4">
        <v>10</v>
      </c>
    </row>
    <row r="5" spans="1:16" ht="18" customHeight="1" x14ac:dyDescent="0.2">
      <c r="A5" s="103"/>
      <c r="B5" s="104" t="s">
        <v>157</v>
      </c>
      <c r="C5" s="104" t="s">
        <v>158</v>
      </c>
      <c r="D5" s="104" t="s">
        <v>159</v>
      </c>
      <c r="F5" s="4">
        <f>-B6</f>
        <v>-100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</row>
    <row r="6" spans="1:16" ht="18" customHeight="1" x14ac:dyDescent="0.2">
      <c r="A6" s="103" t="s">
        <v>160</v>
      </c>
      <c r="B6" s="104">
        <v>100</v>
      </c>
      <c r="C6" s="104">
        <v>50</v>
      </c>
      <c r="D6" s="104">
        <v>10</v>
      </c>
      <c r="F6" s="197">
        <f>NPV(B9,G5:P5)+F5</f>
        <v>235.50406994707208</v>
      </c>
    </row>
    <row r="7" spans="1:16" ht="18" customHeight="1" x14ac:dyDescent="0.2">
      <c r="A7" s="103" t="s">
        <v>161</v>
      </c>
      <c r="B7" s="104">
        <v>50</v>
      </c>
      <c r="C7" s="104">
        <v>50</v>
      </c>
      <c r="D7" s="104">
        <v>5</v>
      </c>
    </row>
    <row r="8" spans="1:16" ht="18" customHeight="1" x14ac:dyDescent="0.2">
      <c r="F8" s="4">
        <f>-B7</f>
        <v>-50</v>
      </c>
      <c r="G8" s="4">
        <f>G5</f>
        <v>50</v>
      </c>
      <c r="H8" s="4">
        <f t="shared" ref="H8:P8" si="0">H5</f>
        <v>50</v>
      </c>
      <c r="I8" s="4">
        <f t="shared" si="0"/>
        <v>50</v>
      </c>
      <c r="J8" s="4">
        <f t="shared" si="0"/>
        <v>50</v>
      </c>
      <c r="K8" s="4">
        <f t="shared" si="0"/>
        <v>50</v>
      </c>
      <c r="L8" s="4">
        <f t="shared" si="0"/>
        <v>50</v>
      </c>
      <c r="M8" s="4">
        <f t="shared" si="0"/>
        <v>50</v>
      </c>
      <c r="N8" s="4">
        <f t="shared" si="0"/>
        <v>50</v>
      </c>
      <c r="O8" s="4">
        <f t="shared" si="0"/>
        <v>50</v>
      </c>
      <c r="P8" s="4">
        <f t="shared" si="0"/>
        <v>50</v>
      </c>
    </row>
    <row r="9" spans="1:16" ht="18" customHeight="1" x14ac:dyDescent="0.2">
      <c r="A9" s="23" t="s">
        <v>162</v>
      </c>
      <c r="B9" s="105">
        <v>0.08</v>
      </c>
      <c r="C9" s="199">
        <v>0.08</v>
      </c>
      <c r="D9" s="106"/>
      <c r="F9" s="198">
        <f>NPV(B9,G8:K8)+F8</f>
        <v>149.6355018539042</v>
      </c>
    </row>
    <row r="11" spans="1:16" ht="18" customHeight="1" x14ac:dyDescent="0.2">
      <c r="A11" s="32" t="s">
        <v>163</v>
      </c>
    </row>
    <row r="12" spans="1:16" ht="18" customHeight="1" x14ac:dyDescent="0.2">
      <c r="A12" s="32" t="s">
        <v>164</v>
      </c>
    </row>
    <row r="14" spans="1:16" ht="18" customHeight="1" x14ac:dyDescent="0.2">
      <c r="A14" s="39" t="s">
        <v>165</v>
      </c>
      <c r="B14" s="107" t="s">
        <v>166</v>
      </c>
      <c r="C14" s="108" t="s">
        <v>167</v>
      </c>
      <c r="D14" s="108" t="s">
        <v>168</v>
      </c>
      <c r="E14" s="109" t="s">
        <v>169</v>
      </c>
    </row>
    <row r="15" spans="1:16" ht="18" customHeight="1" x14ac:dyDescent="0.2">
      <c r="A15" s="110" t="s">
        <v>170</v>
      </c>
      <c r="B15" s="111">
        <v>1</v>
      </c>
      <c r="C15" s="112">
        <f>F6</f>
        <v>235.50406994707208</v>
      </c>
      <c r="D15" s="112">
        <f>-PMT(B9,D6,C15)</f>
        <v>35.097051130292435</v>
      </c>
      <c r="E15" s="105">
        <f>IRR(F5:P5)</f>
        <v>0.49077765740199686</v>
      </c>
    </row>
    <row r="16" spans="1:16" ht="18" customHeight="1" x14ac:dyDescent="0.2">
      <c r="A16" s="113" t="s">
        <v>171</v>
      </c>
      <c r="B16" s="114">
        <v>2</v>
      </c>
      <c r="C16" s="112">
        <f>F9</f>
        <v>149.6355018539042</v>
      </c>
      <c r="D16" s="112">
        <f>-PMT(B9,D7,C16)</f>
        <v>37.477177271658149</v>
      </c>
      <c r="E16" s="105">
        <v>0.97</v>
      </c>
    </row>
    <row r="17" spans="1:6" ht="18" customHeight="1" x14ac:dyDescent="0.2">
      <c r="A17" s="113" t="s">
        <v>173</v>
      </c>
      <c r="B17" s="111">
        <v>1</v>
      </c>
      <c r="C17" s="112">
        <f>PV(B9,C6,-D6)-B6</f>
        <v>22.33484643060541</v>
      </c>
      <c r="D17" s="112"/>
      <c r="E17" s="100"/>
    </row>
    <row r="18" spans="1:6" ht="18" customHeight="1" x14ac:dyDescent="0.2">
      <c r="A18" s="110" t="s">
        <v>172</v>
      </c>
      <c r="B18" s="114">
        <v>2</v>
      </c>
      <c r="C18" s="115"/>
      <c r="D18" s="112"/>
      <c r="E18" s="116"/>
      <c r="F18" s="117"/>
    </row>
    <row r="19" spans="1:6" ht="18" customHeight="1" x14ac:dyDescent="0.2">
      <c r="A19" s="110" t="s">
        <v>174</v>
      </c>
      <c r="B19" s="111">
        <v>1</v>
      </c>
      <c r="C19" s="112">
        <f>D15/B9</f>
        <v>438.71313912865543</v>
      </c>
      <c r="D19" s="112">
        <f>-PMT(B9,D6,C19)</f>
        <v>65.381194809032422</v>
      </c>
      <c r="E19" s="118"/>
    </row>
    <row r="20" spans="1:6" ht="18" customHeight="1" x14ac:dyDescent="0.2">
      <c r="A20" s="113" t="s">
        <v>175</v>
      </c>
      <c r="B20" s="114">
        <v>2</v>
      </c>
      <c r="C20" s="112">
        <f>D16/B9</f>
        <v>468.46471589572684</v>
      </c>
      <c r="D20" s="112"/>
      <c r="E20" s="118"/>
    </row>
  </sheetData>
  <hyperlinks>
    <hyperlink ref="B1" location="Forside!A1" display="Forside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zoomScale="80" zoomScaleNormal="80" workbookViewId="0">
      <selection activeCell="A23" sqref="A23"/>
    </sheetView>
  </sheetViews>
  <sheetFormatPr baseColWidth="10" defaultColWidth="24.5" defaultRowHeight="18" customHeight="1" x14ac:dyDescent="0.2"/>
  <cols>
    <col min="1" max="1" width="27.33203125" style="106" customWidth="1"/>
    <col min="2" max="6" width="17.6640625" style="106" customWidth="1"/>
    <col min="7" max="7" width="9.5" style="106" customWidth="1"/>
    <col min="8" max="16384" width="24.5" style="106"/>
  </cols>
  <sheetData>
    <row r="1" spans="1:6" ht="18" customHeight="1" x14ac:dyDescent="0.2">
      <c r="A1" s="106" t="s">
        <v>176</v>
      </c>
      <c r="B1" s="2" t="s">
        <v>1</v>
      </c>
    </row>
    <row r="3" spans="1:6" ht="18" customHeight="1" x14ac:dyDescent="0.2">
      <c r="A3" s="106" t="s">
        <v>177</v>
      </c>
    </row>
    <row r="5" spans="1:6" ht="18" customHeight="1" x14ac:dyDescent="0.2">
      <c r="A5" s="119" t="s">
        <v>178</v>
      </c>
      <c r="B5" s="59">
        <v>0</v>
      </c>
      <c r="C5" s="59">
        <v>1</v>
      </c>
      <c r="D5" s="59">
        <v>2</v>
      </c>
      <c r="E5" s="59">
        <v>3</v>
      </c>
      <c r="F5" s="59">
        <v>4</v>
      </c>
    </row>
    <row r="6" spans="1:6" ht="18" customHeight="1" x14ac:dyDescent="0.2">
      <c r="A6" s="120" t="s">
        <v>179</v>
      </c>
      <c r="B6" s="63">
        <v>-100</v>
      </c>
      <c r="C6" s="63">
        <v>50</v>
      </c>
      <c r="D6" s="63">
        <v>50</v>
      </c>
      <c r="E6" s="63">
        <v>0</v>
      </c>
      <c r="F6" s="63">
        <v>0</v>
      </c>
    </row>
    <row r="7" spans="1:6" ht="18" customHeight="1" x14ac:dyDescent="0.2">
      <c r="A7" s="120" t="s">
        <v>180</v>
      </c>
      <c r="B7" s="63">
        <v>-100</v>
      </c>
      <c r="C7" s="63">
        <v>50</v>
      </c>
      <c r="D7" s="63">
        <v>50</v>
      </c>
      <c r="E7" s="63">
        <v>50</v>
      </c>
      <c r="F7" s="63">
        <v>0</v>
      </c>
    </row>
    <row r="8" spans="1:6" ht="18" customHeight="1" x14ac:dyDescent="0.2">
      <c r="A8" s="120" t="s">
        <v>181</v>
      </c>
      <c r="B8" s="63">
        <v>-100</v>
      </c>
      <c r="C8" s="63">
        <v>50</v>
      </c>
      <c r="D8" s="63">
        <v>50</v>
      </c>
      <c r="E8" s="63">
        <v>50</v>
      </c>
      <c r="F8" s="63">
        <v>50</v>
      </c>
    </row>
    <row r="9" spans="1:6" ht="18" customHeight="1" x14ac:dyDescent="0.2">
      <c r="A9" s="120" t="s">
        <v>182</v>
      </c>
      <c r="B9" s="63">
        <v>-100</v>
      </c>
      <c r="C9" s="63">
        <v>90</v>
      </c>
      <c r="D9" s="63">
        <v>10</v>
      </c>
      <c r="E9" s="63">
        <v>0</v>
      </c>
      <c r="F9" s="63">
        <v>0</v>
      </c>
    </row>
    <row r="10" spans="1:6" ht="18" customHeight="1" x14ac:dyDescent="0.2">
      <c r="A10" s="120" t="s">
        <v>183</v>
      </c>
      <c r="B10" s="63">
        <v>-100</v>
      </c>
      <c r="C10" s="63">
        <v>10</v>
      </c>
      <c r="D10" s="63">
        <v>90</v>
      </c>
      <c r="E10" s="63">
        <v>0</v>
      </c>
      <c r="F10" s="63">
        <v>0</v>
      </c>
    </row>
    <row r="12" spans="1:6" ht="18" customHeight="1" x14ac:dyDescent="0.2">
      <c r="A12" s="121" t="s">
        <v>184</v>
      </c>
    </row>
    <row r="13" spans="1:6" s="122" customFormat="1" ht="18" customHeight="1" x14ac:dyDescent="0.2">
      <c r="A13" s="122" t="s">
        <v>322</v>
      </c>
    </row>
    <row r="14" spans="1:6" s="122" customFormat="1" ht="18" customHeight="1" x14ac:dyDescent="0.2">
      <c r="A14" s="106"/>
    </row>
    <row r="15" spans="1:6" s="122" customFormat="1" ht="18" customHeight="1" x14ac:dyDescent="0.2">
      <c r="A15" s="106"/>
    </row>
    <row r="16" spans="1:6" s="122" customFormat="1" ht="18" customHeight="1" x14ac:dyDescent="0.2">
      <c r="A16" s="106"/>
    </row>
    <row r="17" spans="1:2" s="122" customFormat="1" ht="18" customHeight="1" x14ac:dyDescent="0.2">
      <c r="A17" s="106"/>
    </row>
    <row r="18" spans="1:2" s="122" customFormat="1" ht="18" customHeight="1" x14ac:dyDescent="0.2"/>
    <row r="21" spans="1:2" ht="18" customHeight="1" x14ac:dyDescent="0.2">
      <c r="A21" s="123"/>
    </row>
    <row r="22" spans="1:2" ht="18" customHeight="1" x14ac:dyDescent="0.2">
      <c r="A22" s="121" t="s">
        <v>185</v>
      </c>
    </row>
    <row r="23" spans="1:2" ht="18" customHeight="1" x14ac:dyDescent="0.2">
      <c r="A23" s="200" t="s">
        <v>323</v>
      </c>
    </row>
    <row r="24" spans="1:2" ht="18" customHeight="1" x14ac:dyDescent="0.2">
      <c r="B24" s="124" t="s">
        <v>186</v>
      </c>
    </row>
    <row r="25" spans="1:2" ht="18" customHeight="1" x14ac:dyDescent="0.2">
      <c r="A25" s="120" t="s">
        <v>179</v>
      </c>
      <c r="B25" s="125">
        <f>NPV($B$31,C6:F6)+B6</f>
        <v>-13.223140495867781</v>
      </c>
    </row>
    <row r="26" spans="1:2" ht="18" customHeight="1" x14ac:dyDescent="0.2">
      <c r="A26" s="120" t="s">
        <v>180</v>
      </c>
      <c r="B26" s="125">
        <f t="shared" ref="B26:B29" si="0">NPV($B$31,C7:F7)+B7</f>
        <v>24.342599549211116</v>
      </c>
    </row>
    <row r="27" spans="1:2" ht="18" customHeight="1" x14ac:dyDescent="0.2">
      <c r="A27" s="120" t="s">
        <v>181</v>
      </c>
      <c r="B27" s="125">
        <f>NPV($B$31,C8:F8)+B8</f>
        <v>58.49327231746463</v>
      </c>
    </row>
    <row r="28" spans="1:2" ht="18" customHeight="1" x14ac:dyDescent="0.2">
      <c r="A28" s="120" t="s">
        <v>182</v>
      </c>
      <c r="B28" s="125">
        <f t="shared" si="0"/>
        <v>-9.9173553719008254</v>
      </c>
    </row>
    <row r="29" spans="1:2" ht="18" customHeight="1" x14ac:dyDescent="0.2">
      <c r="A29" s="120" t="s">
        <v>183</v>
      </c>
      <c r="B29" s="125">
        <f t="shared" si="0"/>
        <v>-16.528925619834723</v>
      </c>
    </row>
    <row r="31" spans="1:2" ht="18" customHeight="1" x14ac:dyDescent="0.2">
      <c r="A31" s="103" t="s">
        <v>162</v>
      </c>
      <c r="B31" s="100">
        <v>0.1</v>
      </c>
    </row>
  </sheetData>
  <hyperlinks>
    <hyperlink ref="B1" location="Forside!A1" display="Forside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6"/>
  <sheetViews>
    <sheetView topLeftCell="A33" zoomScale="80" zoomScaleNormal="80" workbookViewId="0">
      <selection activeCell="A67" sqref="A67"/>
    </sheetView>
  </sheetViews>
  <sheetFormatPr baseColWidth="10" defaultColWidth="21.6640625" defaultRowHeight="18" customHeight="1" x14ac:dyDescent="0.2"/>
  <cols>
    <col min="1" max="1" width="31.33203125" style="126" customWidth="1"/>
    <col min="2" max="11" width="14.83203125" style="126" customWidth="1"/>
    <col min="12" max="16384" width="21.6640625" style="126"/>
  </cols>
  <sheetData>
    <row r="1" spans="1:3" ht="18" customHeight="1" x14ac:dyDescent="0.2">
      <c r="A1" s="126" t="s">
        <v>187</v>
      </c>
      <c r="B1" s="127" t="s">
        <v>1</v>
      </c>
    </row>
    <row r="3" spans="1:3" ht="18" customHeight="1" x14ac:dyDescent="0.2">
      <c r="A3" s="126" t="s">
        <v>188</v>
      </c>
    </row>
    <row r="5" spans="1:3" ht="18" customHeight="1" x14ac:dyDescent="0.2">
      <c r="A5" s="128" t="s">
        <v>189</v>
      </c>
      <c r="B5" s="128">
        <v>950000</v>
      </c>
    </row>
    <row r="6" spans="1:3" ht="18" customHeight="1" x14ac:dyDescent="0.2">
      <c r="A6" s="128" t="s">
        <v>7</v>
      </c>
      <c r="B6" s="128">
        <v>100000</v>
      </c>
    </row>
    <row r="7" spans="1:3" ht="18" customHeight="1" x14ac:dyDescent="0.2">
      <c r="A7" s="128" t="s">
        <v>9</v>
      </c>
      <c r="B7" s="128">
        <v>4</v>
      </c>
    </row>
    <row r="8" spans="1:3" ht="18" customHeight="1" x14ac:dyDescent="0.2">
      <c r="A8" s="128" t="s">
        <v>190</v>
      </c>
      <c r="B8" s="128">
        <v>260000</v>
      </c>
    </row>
    <row r="9" spans="1:3" ht="18" customHeight="1" x14ac:dyDescent="0.2">
      <c r="A9" s="128" t="s">
        <v>191</v>
      </c>
      <c r="B9" s="128">
        <v>90000</v>
      </c>
    </row>
    <row r="10" spans="1:3" ht="18" customHeight="1" x14ac:dyDescent="0.2">
      <c r="A10" s="128" t="s">
        <v>192</v>
      </c>
      <c r="B10" s="128">
        <f>44000*12</f>
        <v>528000</v>
      </c>
    </row>
    <row r="11" spans="1:3" ht="18" customHeight="1" x14ac:dyDescent="0.2">
      <c r="A11" s="128" t="s">
        <v>193</v>
      </c>
      <c r="B11" s="128">
        <v>5000</v>
      </c>
    </row>
    <row r="12" spans="1:3" ht="18" customHeight="1" x14ac:dyDescent="0.2">
      <c r="A12" s="128" t="s">
        <v>194</v>
      </c>
      <c r="B12" s="128">
        <v>45000</v>
      </c>
    </row>
    <row r="13" spans="1:3" ht="18" customHeight="1" x14ac:dyDescent="0.2">
      <c r="A13" s="128" t="s">
        <v>108</v>
      </c>
      <c r="B13" s="128">
        <v>30</v>
      </c>
      <c r="C13" s="126" t="s">
        <v>195</v>
      </c>
    </row>
    <row r="14" spans="1:3" ht="18" customHeight="1" x14ac:dyDescent="0.2">
      <c r="A14" s="128" t="s">
        <v>13</v>
      </c>
      <c r="B14" s="129">
        <v>0.1</v>
      </c>
    </row>
    <row r="16" spans="1:3" ht="18" customHeight="1" x14ac:dyDescent="0.2">
      <c r="A16" s="130" t="s">
        <v>196</v>
      </c>
      <c r="B16" s="131"/>
    </row>
    <row r="18" spans="1:7" ht="18" customHeight="1" x14ac:dyDescent="0.2">
      <c r="A18" s="132" t="s">
        <v>18</v>
      </c>
      <c r="B18" s="133">
        <v>0</v>
      </c>
      <c r="C18" s="133">
        <v>1</v>
      </c>
      <c r="D18" s="133">
        <v>2</v>
      </c>
      <c r="E18" s="133">
        <v>3</v>
      </c>
      <c r="F18" s="133">
        <v>4</v>
      </c>
    </row>
    <row r="19" spans="1:7" ht="18" customHeight="1" x14ac:dyDescent="0.2">
      <c r="A19" s="134" t="s">
        <v>189</v>
      </c>
      <c r="B19" s="135">
        <f>-B5</f>
        <v>-950000</v>
      </c>
      <c r="C19" s="136"/>
      <c r="D19" s="136"/>
      <c r="E19" s="136"/>
      <c r="F19" s="136"/>
    </row>
    <row r="20" spans="1:7" ht="18" customHeight="1" x14ac:dyDescent="0.2">
      <c r="A20" s="134" t="s">
        <v>7</v>
      </c>
      <c r="B20" s="135"/>
      <c r="C20" s="136"/>
      <c r="D20" s="136"/>
      <c r="E20" s="136"/>
      <c r="F20" s="135">
        <f>B6</f>
        <v>100000</v>
      </c>
    </row>
    <row r="21" spans="1:7" ht="18" customHeight="1" x14ac:dyDescent="0.2">
      <c r="A21" s="134" t="s">
        <v>190</v>
      </c>
      <c r="B21" s="135"/>
      <c r="C21" s="135">
        <f>-$B$8</f>
        <v>-260000</v>
      </c>
      <c r="D21" s="135">
        <f t="shared" ref="D21:E21" si="0">-$B$8</f>
        <v>-260000</v>
      </c>
      <c r="E21" s="135">
        <f t="shared" si="0"/>
        <v>-260000</v>
      </c>
      <c r="F21" s="135">
        <f>-$B$8</f>
        <v>-260000</v>
      </c>
      <c r="G21" s="131"/>
    </row>
    <row r="22" spans="1:7" ht="18" customHeight="1" x14ac:dyDescent="0.2">
      <c r="A22" s="134" t="s">
        <v>191</v>
      </c>
      <c r="B22" s="136"/>
      <c r="C22" s="135">
        <f>-$B$9</f>
        <v>-90000</v>
      </c>
      <c r="D22" s="135">
        <f t="shared" ref="D22:F22" si="1">-$B$9</f>
        <v>-90000</v>
      </c>
      <c r="E22" s="135">
        <f t="shared" si="1"/>
        <v>-90000</v>
      </c>
      <c r="F22" s="135">
        <f t="shared" si="1"/>
        <v>-90000</v>
      </c>
    </row>
    <row r="23" spans="1:7" ht="18" customHeight="1" x14ac:dyDescent="0.2">
      <c r="A23" s="134" t="s">
        <v>192</v>
      </c>
      <c r="B23" s="136"/>
      <c r="C23" s="135">
        <f>-$B$10</f>
        <v>-528000</v>
      </c>
      <c r="D23" s="135">
        <f t="shared" ref="D23:F23" si="2">-$B$10</f>
        <v>-528000</v>
      </c>
      <c r="E23" s="135">
        <f t="shared" si="2"/>
        <v>-528000</v>
      </c>
      <c r="F23" s="135">
        <f t="shared" si="2"/>
        <v>-528000</v>
      </c>
    </row>
    <row r="24" spans="1:7" ht="18" customHeight="1" x14ac:dyDescent="0.2">
      <c r="A24" s="134" t="s">
        <v>198</v>
      </c>
      <c r="B24" s="136"/>
      <c r="C24" s="135">
        <f>-$B$11*$B$13</f>
        <v>-150000</v>
      </c>
      <c r="D24" s="135">
        <f t="shared" ref="D24:F24" si="3">-$B$11*$B$13</f>
        <v>-150000</v>
      </c>
      <c r="E24" s="135">
        <f t="shared" si="3"/>
        <v>-150000</v>
      </c>
      <c r="F24" s="135">
        <f t="shared" si="3"/>
        <v>-150000</v>
      </c>
    </row>
    <row r="25" spans="1:7" ht="18" customHeight="1" x14ac:dyDescent="0.2">
      <c r="A25" s="134" t="s">
        <v>10</v>
      </c>
      <c r="B25" s="136"/>
      <c r="C25" s="135">
        <f>$B$12*$B$13</f>
        <v>1350000</v>
      </c>
      <c r="D25" s="135">
        <f t="shared" ref="D25:F25" si="4">$B$12*$B$13</f>
        <v>1350000</v>
      </c>
      <c r="E25" s="135">
        <f t="shared" si="4"/>
        <v>1350000</v>
      </c>
      <c r="F25" s="135">
        <f t="shared" si="4"/>
        <v>1350000</v>
      </c>
    </row>
    <row r="26" spans="1:7" ht="18" customHeight="1" x14ac:dyDescent="0.2">
      <c r="A26" s="134" t="s">
        <v>20</v>
      </c>
      <c r="B26" s="135">
        <f>SUM(B19:B25)</f>
        <v>-950000</v>
      </c>
      <c r="C26" s="135">
        <f>SUM(C19:C25)</f>
        <v>322000</v>
      </c>
      <c r="D26" s="135">
        <f t="shared" ref="D26:F26" si="5">SUM(D19:D25)</f>
        <v>322000</v>
      </c>
      <c r="E26" s="135">
        <f t="shared" si="5"/>
        <v>322000</v>
      </c>
      <c r="F26" s="135">
        <f t="shared" si="5"/>
        <v>422000</v>
      </c>
    </row>
    <row r="27" spans="1:7" ht="18" customHeight="1" x14ac:dyDescent="0.2">
      <c r="A27" s="137" t="s">
        <v>199</v>
      </c>
      <c r="B27" s="138">
        <f>NPV(B14,C26:F26)+B26</f>
        <v>138998.01926097902</v>
      </c>
      <c r="C27" s="135"/>
      <c r="D27" s="135"/>
      <c r="E27" s="135"/>
      <c r="F27" s="135"/>
    </row>
    <row r="28" spans="1:7" ht="18" customHeight="1" x14ac:dyDescent="0.2">
      <c r="B28" s="131"/>
    </row>
    <row r="29" spans="1:7" ht="18" customHeight="1" x14ac:dyDescent="0.2">
      <c r="A29" s="130" t="s">
        <v>200</v>
      </c>
    </row>
    <row r="30" spans="1:7" ht="18" customHeight="1" x14ac:dyDescent="0.2">
      <c r="A30" s="134" t="s">
        <v>201</v>
      </c>
      <c r="B30" s="139">
        <f>IRR(B26:F26)</f>
        <v>0.16315568541804715</v>
      </c>
    </row>
    <row r="31" spans="1:7" ht="18" customHeight="1" x14ac:dyDescent="0.2">
      <c r="A31" s="134" t="s">
        <v>202</v>
      </c>
      <c r="B31" s="139">
        <f>MIRR(B26:F26,B14,B14)</f>
        <v>0.13819993453814527</v>
      </c>
      <c r="C31" s="201" t="s">
        <v>324</v>
      </c>
      <c r="D31" s="201"/>
    </row>
    <row r="33" spans="1:3" ht="18" customHeight="1" x14ac:dyDescent="0.2">
      <c r="A33" s="140"/>
    </row>
    <row r="34" spans="1:3" ht="18" customHeight="1" x14ac:dyDescent="0.2">
      <c r="A34" s="140"/>
    </row>
    <row r="35" spans="1:3" ht="18" customHeight="1" x14ac:dyDescent="0.2">
      <c r="C35" s="126">
        <v>4</v>
      </c>
    </row>
    <row r="36" spans="1:3" ht="18" customHeight="1" x14ac:dyDescent="0.2">
      <c r="A36" s="130" t="s">
        <v>203</v>
      </c>
    </row>
    <row r="37" spans="1:3" ht="18" customHeight="1" x14ac:dyDescent="0.2">
      <c r="A37" s="201" t="s">
        <v>329</v>
      </c>
      <c r="B37" s="201">
        <v>43538</v>
      </c>
    </row>
    <row r="38" spans="1:3" ht="18" customHeight="1" x14ac:dyDescent="0.2">
      <c r="A38" s="141"/>
      <c r="B38" s="142"/>
      <c r="C38" s="143"/>
    </row>
    <row r="39" spans="1:3" ht="18" customHeight="1" x14ac:dyDescent="0.2">
      <c r="B39" s="144"/>
    </row>
    <row r="40" spans="1:3" ht="18" customHeight="1" x14ac:dyDescent="0.2">
      <c r="A40" s="130" t="s">
        <v>204</v>
      </c>
    </row>
    <row r="41" spans="1:3" ht="18" customHeight="1" x14ac:dyDescent="0.2">
      <c r="A41" s="130" t="s">
        <v>205</v>
      </c>
    </row>
    <row r="42" spans="1:3" ht="18" customHeight="1" x14ac:dyDescent="0.2">
      <c r="A42" s="130"/>
    </row>
    <row r="43" spans="1:3" ht="18" customHeight="1" x14ac:dyDescent="0.2">
      <c r="A43" s="128" t="s">
        <v>189</v>
      </c>
      <c r="B43" s="128">
        <v>950000</v>
      </c>
    </row>
    <row r="44" spans="1:3" ht="18" customHeight="1" x14ac:dyDescent="0.2">
      <c r="A44" s="128" t="s">
        <v>7</v>
      </c>
      <c r="B44" s="128">
        <v>100000</v>
      </c>
    </row>
    <row r="45" spans="1:3" ht="18" customHeight="1" x14ac:dyDescent="0.2">
      <c r="A45" s="128" t="s">
        <v>9</v>
      </c>
      <c r="B45" s="128">
        <v>4</v>
      </c>
    </row>
    <row r="46" spans="1:3" ht="18" customHeight="1" x14ac:dyDescent="0.2">
      <c r="A46" s="128" t="s">
        <v>190</v>
      </c>
      <c r="B46" s="128">
        <v>260000</v>
      </c>
    </row>
    <row r="47" spans="1:3" ht="18" customHeight="1" x14ac:dyDescent="0.2">
      <c r="A47" s="128" t="s">
        <v>191</v>
      </c>
      <c r="B47" s="128">
        <v>90000</v>
      </c>
    </row>
    <row r="48" spans="1:3" ht="18" customHeight="1" x14ac:dyDescent="0.2">
      <c r="A48" s="128" t="s">
        <v>192</v>
      </c>
      <c r="B48" s="128">
        <f>44000*12</f>
        <v>528000</v>
      </c>
    </row>
    <row r="49" spans="1:6" ht="18" customHeight="1" x14ac:dyDescent="0.2">
      <c r="A49" s="128" t="s">
        <v>206</v>
      </c>
      <c r="B49" s="128">
        <v>5000</v>
      </c>
    </row>
    <row r="50" spans="1:6" ht="18" customHeight="1" x14ac:dyDescent="0.2">
      <c r="A50" s="128" t="s">
        <v>36</v>
      </c>
      <c r="B50" s="128">
        <v>47156.165858507527</v>
      </c>
    </row>
    <row r="51" spans="1:6" ht="18" customHeight="1" x14ac:dyDescent="0.2">
      <c r="A51" s="128" t="s">
        <v>108</v>
      </c>
      <c r="B51" s="128">
        <v>30</v>
      </c>
    </row>
    <row r="52" spans="1:6" ht="18" customHeight="1" x14ac:dyDescent="0.2">
      <c r="A52" s="128" t="s">
        <v>13</v>
      </c>
      <c r="B52" s="129">
        <v>0.1</v>
      </c>
    </row>
    <row r="53" spans="1:6" ht="18" customHeight="1" x14ac:dyDescent="0.2">
      <c r="A53" s="128" t="s">
        <v>207</v>
      </c>
      <c r="B53" s="129">
        <v>0.08</v>
      </c>
    </row>
    <row r="55" spans="1:6" ht="18" customHeight="1" x14ac:dyDescent="0.2">
      <c r="A55" s="132" t="s">
        <v>18</v>
      </c>
      <c r="B55" s="133">
        <v>0</v>
      </c>
      <c r="C55" s="133">
        <v>1</v>
      </c>
      <c r="D55" s="133">
        <v>2</v>
      </c>
      <c r="E55" s="133">
        <v>3</v>
      </c>
      <c r="F55" s="133">
        <v>4</v>
      </c>
    </row>
    <row r="56" spans="1:6" ht="18" customHeight="1" x14ac:dyDescent="0.2">
      <c r="A56" s="134" t="s">
        <v>189</v>
      </c>
      <c r="B56" s="135">
        <f>-B43</f>
        <v>-950000</v>
      </c>
      <c r="C56" s="136"/>
      <c r="D56" s="136"/>
      <c r="E56" s="136"/>
      <c r="F56" s="136"/>
    </row>
    <row r="57" spans="1:6" ht="18" customHeight="1" x14ac:dyDescent="0.2">
      <c r="A57" s="134" t="s">
        <v>7</v>
      </c>
      <c r="B57" s="135"/>
      <c r="C57" s="136"/>
      <c r="D57" s="136"/>
      <c r="E57" s="136"/>
      <c r="F57" s="135">
        <f>B44</f>
        <v>100000</v>
      </c>
    </row>
    <row r="58" spans="1:6" ht="18" customHeight="1" x14ac:dyDescent="0.2">
      <c r="A58" s="134" t="s">
        <v>197</v>
      </c>
      <c r="B58" s="135"/>
      <c r="C58" s="135">
        <f>-$B$46</f>
        <v>-260000</v>
      </c>
      <c r="D58" s="135">
        <f t="shared" ref="D58:F58" si="6">-$B$46</f>
        <v>-260000</v>
      </c>
      <c r="E58" s="135">
        <f t="shared" si="6"/>
        <v>-260000</v>
      </c>
      <c r="F58" s="135">
        <f t="shared" si="6"/>
        <v>-260000</v>
      </c>
    </row>
    <row r="59" spans="1:6" ht="18" customHeight="1" x14ac:dyDescent="0.2">
      <c r="A59" s="134" t="s">
        <v>191</v>
      </c>
      <c r="B59" s="136"/>
      <c r="C59" s="135">
        <f>-$B$47</f>
        <v>-90000</v>
      </c>
      <c r="D59" s="135">
        <f t="shared" ref="D59:F59" si="7">-$B$47</f>
        <v>-90000</v>
      </c>
      <c r="E59" s="135">
        <f t="shared" si="7"/>
        <v>-90000</v>
      </c>
      <c r="F59" s="135">
        <f t="shared" si="7"/>
        <v>-90000</v>
      </c>
    </row>
    <row r="60" spans="1:6" ht="18" customHeight="1" x14ac:dyDescent="0.2">
      <c r="A60" s="145" t="s">
        <v>192</v>
      </c>
      <c r="B60" s="136"/>
      <c r="C60" s="135">
        <f>-B48*(1+B53)</f>
        <v>-570240</v>
      </c>
      <c r="D60" s="135">
        <f>C60*(1+$B$53)</f>
        <v>-615859.20000000007</v>
      </c>
      <c r="E60" s="135">
        <f>D60*(1+$B$53)</f>
        <v>-665127.9360000001</v>
      </c>
      <c r="F60" s="135">
        <f t="shared" ref="F60" si="8">E60*(1+$B$53)</f>
        <v>-718338.17088000011</v>
      </c>
    </row>
    <row r="61" spans="1:6" ht="18" customHeight="1" x14ac:dyDescent="0.2">
      <c r="A61" s="134" t="s">
        <v>198</v>
      </c>
      <c r="B61" s="136"/>
      <c r="C61" s="135">
        <f>-$B$49*$B$51</f>
        <v>-150000</v>
      </c>
      <c r="D61" s="135">
        <f t="shared" ref="D61:F61" si="9">-$B$49*$B$51</f>
        <v>-150000</v>
      </c>
      <c r="E61" s="135">
        <f t="shared" si="9"/>
        <v>-150000</v>
      </c>
      <c r="F61" s="135">
        <f t="shared" si="9"/>
        <v>-150000</v>
      </c>
    </row>
    <row r="62" spans="1:6" ht="18" customHeight="1" x14ac:dyDescent="0.2">
      <c r="A62" s="134" t="s">
        <v>10</v>
      </c>
      <c r="B62" s="136"/>
      <c r="C62" s="135">
        <f>$B$51*$B$50</f>
        <v>1414684.9757552259</v>
      </c>
      <c r="D62" s="135">
        <f t="shared" ref="D62:F62" si="10">$B$51*$B$50</f>
        <v>1414684.9757552259</v>
      </c>
      <c r="E62" s="135">
        <f t="shared" si="10"/>
        <v>1414684.9757552259</v>
      </c>
      <c r="F62" s="135">
        <f t="shared" si="10"/>
        <v>1414684.9757552259</v>
      </c>
    </row>
    <row r="63" spans="1:6" ht="18" customHeight="1" x14ac:dyDescent="0.2">
      <c r="A63" s="134" t="s">
        <v>208</v>
      </c>
      <c r="B63" s="135">
        <f>SUM(B56:B61)</f>
        <v>-950000</v>
      </c>
      <c r="C63" s="135">
        <f>SUM(C56:C62)</f>
        <v>344444.97575522587</v>
      </c>
      <c r="D63" s="135">
        <f t="shared" ref="D63:F63" si="11">SUM(D56:D62)</f>
        <v>298825.77575522568</v>
      </c>
      <c r="E63" s="135">
        <f t="shared" si="11"/>
        <v>249557.03975522565</v>
      </c>
      <c r="F63" s="135">
        <f t="shared" si="11"/>
        <v>296346.80487522576</v>
      </c>
    </row>
    <row r="64" spans="1:6" ht="18" customHeight="1" x14ac:dyDescent="0.2">
      <c r="A64" s="132" t="s">
        <v>199</v>
      </c>
      <c r="B64" s="138">
        <f>NPV(B52,C63:F63)+B63</f>
        <v>1.7462298274040222E-9</v>
      </c>
      <c r="C64" s="135"/>
      <c r="D64" s="135"/>
      <c r="E64" s="135"/>
      <c r="F64" s="135"/>
    </row>
    <row r="65" spans="1:2" ht="18" customHeight="1" x14ac:dyDescent="0.2">
      <c r="B65" s="131"/>
    </row>
    <row r="66" spans="1:2" ht="18" customHeight="1" x14ac:dyDescent="0.2">
      <c r="A66" s="140" t="s">
        <v>332</v>
      </c>
      <c r="B66" s="146"/>
    </row>
  </sheetData>
  <hyperlinks>
    <hyperlink ref="B1" location="Forside!A1" display="Forside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2"/>
  <sheetViews>
    <sheetView topLeftCell="U3" zoomScale="80" zoomScaleNormal="80" workbookViewId="0">
      <selection activeCell="A9" sqref="A9"/>
    </sheetView>
  </sheetViews>
  <sheetFormatPr baseColWidth="10" defaultColWidth="9.83203125" defaultRowHeight="18" customHeight="1" x14ac:dyDescent="0.2"/>
  <cols>
    <col min="1" max="1" width="37.33203125" style="147" customWidth="1"/>
    <col min="2" max="2" width="13" style="147" bestFit="1" customWidth="1"/>
    <col min="3" max="3" width="12.33203125" style="147" bestFit="1" customWidth="1"/>
    <col min="4" max="4" width="12.33203125" style="147" customWidth="1"/>
    <col min="5" max="9" width="12.33203125" style="147" bestFit="1" customWidth="1"/>
    <col min="10" max="12" width="11.1640625" style="147" customWidth="1"/>
    <col min="13" max="13" width="3.33203125" style="147" customWidth="1"/>
    <col min="14" max="14" width="13.6640625" style="147" customWidth="1"/>
    <col min="15" max="17" width="12.33203125" style="147" bestFit="1" customWidth="1"/>
    <col min="18" max="21" width="11.5" style="147" bestFit="1" customWidth="1"/>
    <col min="22" max="16384" width="9.83203125" style="147"/>
  </cols>
  <sheetData>
    <row r="1" spans="1:3" ht="18" customHeight="1" x14ac:dyDescent="0.2">
      <c r="A1" s="147" t="s">
        <v>209</v>
      </c>
      <c r="B1" s="127" t="s">
        <v>1</v>
      </c>
    </row>
    <row r="2" spans="1:3" ht="18" customHeight="1" x14ac:dyDescent="0.2">
      <c r="A2" s="148"/>
    </row>
    <row r="3" spans="1:3" ht="18" customHeight="1" x14ac:dyDescent="0.2">
      <c r="A3" s="147" t="s">
        <v>210</v>
      </c>
    </row>
    <row r="4" spans="1:3" ht="18" customHeight="1" x14ac:dyDescent="0.2">
      <c r="A4" s="148"/>
    </row>
    <row r="5" spans="1:3" ht="18" customHeight="1" x14ac:dyDescent="0.2">
      <c r="A5" s="149"/>
      <c r="B5" s="149" t="s">
        <v>211</v>
      </c>
      <c r="C5" s="149" t="s">
        <v>212</v>
      </c>
    </row>
    <row r="6" spans="1:3" ht="18" customHeight="1" x14ac:dyDescent="0.2">
      <c r="A6" s="150" t="s">
        <v>5</v>
      </c>
      <c r="B6" s="151">
        <v>10500000</v>
      </c>
      <c r="C6" s="151">
        <v>37000000</v>
      </c>
    </row>
    <row r="7" spans="1:3" ht="18" customHeight="1" x14ac:dyDescent="0.2">
      <c r="A7" s="150" t="s">
        <v>7</v>
      </c>
      <c r="B7" s="151">
        <v>152000</v>
      </c>
      <c r="C7" s="151">
        <v>456000</v>
      </c>
    </row>
    <row r="8" spans="1:3" ht="18" customHeight="1" x14ac:dyDescent="0.2">
      <c r="A8" s="150" t="s">
        <v>9</v>
      </c>
      <c r="B8" s="151">
        <v>7</v>
      </c>
      <c r="C8" s="151">
        <v>7</v>
      </c>
    </row>
    <row r="9" spans="1:3" ht="18" customHeight="1" x14ac:dyDescent="0.2">
      <c r="A9" s="150" t="s">
        <v>213</v>
      </c>
      <c r="B9" s="151">
        <v>10</v>
      </c>
      <c r="C9" s="151">
        <v>2</v>
      </c>
    </row>
    <row r="10" spans="1:3" ht="18" customHeight="1" x14ac:dyDescent="0.2">
      <c r="A10" s="150" t="s">
        <v>214</v>
      </c>
      <c r="B10" s="152">
        <v>1.9</v>
      </c>
      <c r="C10" s="152">
        <v>0.5</v>
      </c>
    </row>
    <row r="11" spans="1:3" ht="18" customHeight="1" x14ac:dyDescent="0.2">
      <c r="A11" s="150" t="s">
        <v>215</v>
      </c>
      <c r="B11" s="151">
        <v>150</v>
      </c>
      <c r="C11" s="151">
        <v>250</v>
      </c>
    </row>
    <row r="12" spans="1:3" ht="18" customHeight="1" x14ac:dyDescent="0.2">
      <c r="A12" s="150" t="s">
        <v>216</v>
      </c>
      <c r="B12" s="151">
        <v>192</v>
      </c>
      <c r="C12" s="151">
        <v>511</v>
      </c>
    </row>
    <row r="13" spans="1:3" ht="18" customHeight="1" x14ac:dyDescent="0.2">
      <c r="A13" s="150" t="s">
        <v>217</v>
      </c>
      <c r="B13" s="153">
        <v>1.5</v>
      </c>
      <c r="C13" s="153">
        <v>1.5</v>
      </c>
    </row>
    <row r="14" spans="1:3" ht="18" customHeight="1" x14ac:dyDescent="0.2">
      <c r="A14" s="150" t="s">
        <v>218</v>
      </c>
      <c r="B14" s="151">
        <v>244</v>
      </c>
      <c r="C14" s="151">
        <v>244</v>
      </c>
    </row>
    <row r="15" spans="1:3" ht="18" customHeight="1" x14ac:dyDescent="0.2">
      <c r="A15" s="150" t="s">
        <v>219</v>
      </c>
      <c r="B15" s="151">
        <v>2000000</v>
      </c>
      <c r="C15" s="151">
        <v>2000000</v>
      </c>
    </row>
    <row r="16" spans="1:3" ht="18" customHeight="1" x14ac:dyDescent="0.2">
      <c r="A16" s="150" t="s">
        <v>220</v>
      </c>
      <c r="B16" s="151">
        <v>2000</v>
      </c>
      <c r="C16" s="151">
        <v>1760</v>
      </c>
    </row>
    <row r="17" spans="1:9" ht="18" customHeight="1" x14ac:dyDescent="0.2">
      <c r="A17" s="150" t="s">
        <v>221</v>
      </c>
      <c r="B17" s="151">
        <v>35</v>
      </c>
      <c r="C17" s="151">
        <v>28</v>
      </c>
    </row>
    <row r="18" spans="1:9" ht="18" customHeight="1" x14ac:dyDescent="0.2">
      <c r="A18" s="150" t="s">
        <v>13</v>
      </c>
      <c r="B18" s="154">
        <v>0.1</v>
      </c>
      <c r="C18" s="154">
        <v>0.1</v>
      </c>
    </row>
    <row r="19" spans="1:9" ht="18" customHeight="1" x14ac:dyDescent="0.2">
      <c r="A19" s="148"/>
    </row>
    <row r="20" spans="1:9" ht="18" customHeight="1" x14ac:dyDescent="0.2">
      <c r="A20" s="155" t="s">
        <v>222</v>
      </c>
    </row>
    <row r="21" spans="1:9" ht="18" customHeight="1" x14ac:dyDescent="0.2">
      <c r="A21" s="155" t="s">
        <v>223</v>
      </c>
    </row>
    <row r="22" spans="1:9" ht="18" customHeight="1" x14ac:dyDescent="0.2">
      <c r="A22" s="155"/>
    </row>
    <row r="23" spans="1:9" ht="18" customHeight="1" x14ac:dyDescent="0.2">
      <c r="A23" s="155"/>
    </row>
    <row r="24" spans="1:9" ht="18" customHeight="1" x14ac:dyDescent="0.2">
      <c r="A24" s="148" t="s">
        <v>211</v>
      </c>
    </row>
    <row r="25" spans="1:9" ht="18" customHeight="1" x14ac:dyDescent="0.2">
      <c r="A25" s="156" t="s">
        <v>18</v>
      </c>
      <c r="B25" s="157">
        <v>0</v>
      </c>
      <c r="C25" s="157">
        <v>1</v>
      </c>
      <c r="D25" s="157">
        <v>2</v>
      </c>
      <c r="E25" s="157">
        <v>3</v>
      </c>
      <c r="F25" s="157">
        <v>4</v>
      </c>
      <c r="G25" s="157">
        <v>5</v>
      </c>
      <c r="H25" s="157">
        <v>6</v>
      </c>
      <c r="I25" s="157">
        <v>7</v>
      </c>
    </row>
    <row r="26" spans="1:9" ht="18" customHeight="1" x14ac:dyDescent="0.2">
      <c r="A26" s="158" t="s">
        <v>5</v>
      </c>
      <c r="B26" s="192"/>
      <c r="C26" s="192"/>
      <c r="D26" s="192"/>
      <c r="E26" s="192"/>
      <c r="F26" s="192"/>
      <c r="G26" s="192"/>
      <c r="H26" s="192"/>
      <c r="I26" s="192"/>
    </row>
    <row r="27" spans="1:9" ht="18" customHeight="1" x14ac:dyDescent="0.2">
      <c r="A27" s="158" t="s">
        <v>7</v>
      </c>
      <c r="B27" s="192"/>
      <c r="C27" s="192"/>
      <c r="D27" s="192"/>
      <c r="E27" s="192"/>
      <c r="F27" s="192"/>
      <c r="G27" s="192"/>
      <c r="H27" s="192"/>
      <c r="I27" s="192"/>
    </row>
    <row r="28" spans="1:9" ht="18" customHeight="1" x14ac:dyDescent="0.2">
      <c r="A28" s="158" t="s">
        <v>224</v>
      </c>
      <c r="B28" s="192"/>
      <c r="C28" s="192"/>
      <c r="D28" s="192"/>
      <c r="E28" s="192"/>
      <c r="F28" s="192"/>
      <c r="G28" s="192"/>
      <c r="H28" s="192"/>
      <c r="I28" s="192"/>
    </row>
    <row r="29" spans="1:9" ht="18" customHeight="1" x14ac:dyDescent="0.2">
      <c r="A29" s="158" t="s">
        <v>225</v>
      </c>
      <c r="B29" s="192"/>
      <c r="C29" s="192"/>
      <c r="D29" s="192"/>
      <c r="E29" s="192"/>
      <c r="F29" s="192"/>
      <c r="G29" s="192"/>
      <c r="H29" s="192"/>
      <c r="I29" s="192"/>
    </row>
    <row r="30" spans="1:9" ht="18" customHeight="1" x14ac:dyDescent="0.2">
      <c r="A30" s="158" t="s">
        <v>226</v>
      </c>
      <c r="B30" s="192"/>
      <c r="C30" s="192"/>
      <c r="D30" s="192"/>
      <c r="E30" s="192"/>
      <c r="F30" s="192"/>
      <c r="G30" s="192"/>
      <c r="H30" s="192"/>
      <c r="I30" s="192"/>
    </row>
    <row r="31" spans="1:9" ht="18" customHeight="1" x14ac:dyDescent="0.2">
      <c r="A31" s="158" t="s">
        <v>74</v>
      </c>
      <c r="B31" s="192"/>
      <c r="C31" s="192"/>
      <c r="D31" s="192"/>
      <c r="E31" s="192"/>
      <c r="F31" s="192"/>
      <c r="G31" s="192"/>
      <c r="H31" s="192"/>
      <c r="I31" s="192"/>
    </row>
    <row r="32" spans="1:9" ht="18" customHeight="1" x14ac:dyDescent="0.2">
      <c r="A32" s="158" t="s">
        <v>10</v>
      </c>
      <c r="B32" s="192"/>
      <c r="C32" s="192"/>
      <c r="D32" s="192"/>
      <c r="E32" s="192"/>
      <c r="F32" s="192"/>
      <c r="G32" s="192"/>
      <c r="H32" s="192"/>
      <c r="I32" s="192"/>
    </row>
    <row r="33" spans="1:9" ht="18" customHeight="1" x14ac:dyDescent="0.2">
      <c r="A33" s="156" t="s">
        <v>20</v>
      </c>
      <c r="B33" s="193"/>
      <c r="C33" s="193"/>
      <c r="D33" s="193"/>
      <c r="E33" s="193"/>
      <c r="F33" s="193"/>
      <c r="G33" s="193"/>
      <c r="H33" s="193"/>
      <c r="I33" s="193"/>
    </row>
    <row r="34" spans="1:9" ht="18" customHeight="1" x14ac:dyDescent="0.2">
      <c r="A34" s="158" t="s">
        <v>227</v>
      </c>
      <c r="B34" s="192"/>
      <c r="C34" s="192"/>
      <c r="D34" s="192"/>
      <c r="E34" s="192"/>
      <c r="F34" s="192"/>
      <c r="G34" s="192"/>
      <c r="H34" s="192"/>
      <c r="I34" s="192"/>
    </row>
    <row r="35" spans="1:9" ht="18" customHeight="1" x14ac:dyDescent="0.2">
      <c r="A35" s="156" t="s">
        <v>101</v>
      </c>
      <c r="B35" s="193"/>
      <c r="C35" s="194"/>
      <c r="D35" s="194"/>
      <c r="E35" s="194"/>
      <c r="F35" s="194"/>
      <c r="G35" s="194"/>
      <c r="H35" s="194"/>
      <c r="I35" s="194"/>
    </row>
    <row r="36" spans="1:9" ht="18" customHeight="1" x14ac:dyDescent="0.2">
      <c r="A36" s="156" t="s">
        <v>125</v>
      </c>
      <c r="B36" s="195"/>
    </row>
    <row r="37" spans="1:9" ht="18" customHeight="1" x14ac:dyDescent="0.2">
      <c r="A37" s="156" t="s">
        <v>228</v>
      </c>
      <c r="B37" s="196"/>
    </row>
    <row r="39" spans="1:9" ht="18" customHeight="1" x14ac:dyDescent="0.2">
      <c r="A39" s="148" t="s">
        <v>212</v>
      </c>
    </row>
    <row r="40" spans="1:9" ht="18" customHeight="1" x14ac:dyDescent="0.2">
      <c r="A40" s="156" t="s">
        <v>18</v>
      </c>
      <c r="B40" s="157">
        <v>0</v>
      </c>
      <c r="C40" s="157">
        <v>1</v>
      </c>
      <c r="D40" s="157">
        <v>2</v>
      </c>
      <c r="E40" s="157">
        <v>3</v>
      </c>
      <c r="F40" s="157">
        <v>4</v>
      </c>
      <c r="G40" s="157">
        <v>5</v>
      </c>
      <c r="H40" s="157">
        <v>6</v>
      </c>
      <c r="I40" s="157">
        <v>7</v>
      </c>
    </row>
    <row r="41" spans="1:9" ht="18" customHeight="1" x14ac:dyDescent="0.2">
      <c r="A41" s="158" t="s">
        <v>5</v>
      </c>
      <c r="B41" s="192"/>
      <c r="C41" s="192"/>
      <c r="D41" s="192"/>
      <c r="E41" s="192"/>
      <c r="F41" s="192"/>
      <c r="G41" s="192"/>
      <c r="H41" s="192"/>
      <c r="I41" s="192"/>
    </row>
    <row r="42" spans="1:9" ht="18" customHeight="1" x14ac:dyDescent="0.2">
      <c r="A42" s="158" t="s">
        <v>7</v>
      </c>
      <c r="B42" s="192"/>
      <c r="C42" s="192"/>
      <c r="D42" s="192"/>
      <c r="E42" s="192"/>
      <c r="F42" s="192"/>
      <c r="G42" s="192"/>
      <c r="H42" s="192"/>
      <c r="I42" s="192"/>
    </row>
    <row r="43" spans="1:9" ht="18" customHeight="1" x14ac:dyDescent="0.2">
      <c r="A43" s="158" t="s">
        <v>224</v>
      </c>
      <c r="B43" s="192"/>
      <c r="C43" s="192"/>
      <c r="D43" s="192"/>
      <c r="E43" s="192"/>
      <c r="F43" s="192"/>
      <c r="G43" s="192"/>
      <c r="H43" s="192"/>
      <c r="I43" s="192"/>
    </row>
    <row r="44" spans="1:9" ht="18" customHeight="1" x14ac:dyDescent="0.2">
      <c r="A44" s="158" t="s">
        <v>225</v>
      </c>
      <c r="B44" s="192"/>
      <c r="C44" s="192"/>
      <c r="D44" s="192"/>
      <c r="E44" s="192"/>
      <c r="F44" s="192"/>
      <c r="G44" s="192"/>
      <c r="H44" s="192"/>
      <c r="I44" s="192"/>
    </row>
    <row r="45" spans="1:9" ht="18" customHeight="1" x14ac:dyDescent="0.2">
      <c r="A45" s="158" t="s">
        <v>226</v>
      </c>
      <c r="B45" s="192"/>
      <c r="C45" s="192"/>
      <c r="D45" s="192"/>
      <c r="E45" s="192"/>
      <c r="F45" s="192"/>
      <c r="G45" s="192"/>
      <c r="H45" s="192"/>
      <c r="I45" s="192"/>
    </row>
    <row r="46" spans="1:9" ht="18" customHeight="1" x14ac:dyDescent="0.2">
      <c r="A46" s="158" t="s">
        <v>74</v>
      </c>
      <c r="B46" s="192"/>
      <c r="C46" s="192"/>
      <c r="D46" s="192"/>
      <c r="E46" s="192"/>
      <c r="F46" s="192"/>
      <c r="G46" s="192"/>
      <c r="H46" s="192"/>
      <c r="I46" s="192"/>
    </row>
    <row r="47" spans="1:9" ht="18" customHeight="1" x14ac:dyDescent="0.2">
      <c r="A47" s="158" t="s">
        <v>10</v>
      </c>
      <c r="B47" s="192"/>
      <c r="C47" s="192"/>
      <c r="D47" s="192"/>
      <c r="E47" s="192"/>
      <c r="F47" s="192"/>
      <c r="G47" s="192"/>
      <c r="H47" s="192"/>
      <c r="I47" s="192"/>
    </row>
    <row r="48" spans="1:9" ht="18" customHeight="1" x14ac:dyDescent="0.2">
      <c r="A48" s="156" t="s">
        <v>20</v>
      </c>
      <c r="B48" s="193"/>
      <c r="C48" s="193"/>
      <c r="D48" s="193"/>
      <c r="E48" s="193"/>
      <c r="F48" s="193"/>
      <c r="G48" s="193"/>
      <c r="H48" s="193"/>
      <c r="I48" s="193"/>
    </row>
    <row r="49" spans="1:9" ht="18" customHeight="1" x14ac:dyDescent="0.2">
      <c r="A49" s="158" t="s">
        <v>227</v>
      </c>
      <c r="B49" s="192"/>
      <c r="C49" s="192"/>
      <c r="D49" s="192"/>
      <c r="E49" s="192"/>
      <c r="F49" s="192"/>
      <c r="G49" s="192"/>
      <c r="H49" s="192"/>
      <c r="I49" s="192"/>
    </row>
    <row r="50" spans="1:9" ht="18" customHeight="1" x14ac:dyDescent="0.2">
      <c r="A50" s="156" t="s">
        <v>101</v>
      </c>
      <c r="B50" s="193"/>
      <c r="C50" s="194"/>
      <c r="D50" s="194"/>
      <c r="E50" s="194"/>
      <c r="F50" s="194"/>
      <c r="G50" s="194"/>
      <c r="H50" s="194"/>
      <c r="I50" s="194"/>
    </row>
    <row r="51" spans="1:9" ht="18" customHeight="1" x14ac:dyDescent="0.2">
      <c r="A51" s="156" t="s">
        <v>125</v>
      </c>
      <c r="B51" s="195"/>
    </row>
    <row r="52" spans="1:9" ht="18" customHeight="1" x14ac:dyDescent="0.2">
      <c r="A52" s="156" t="s">
        <v>228</v>
      </c>
      <c r="B52" s="160"/>
      <c r="C52" s="159"/>
      <c r="D52" s="159"/>
      <c r="E52" s="159"/>
      <c r="F52" s="159"/>
      <c r="G52" s="159"/>
      <c r="H52" s="159"/>
      <c r="I52" s="159"/>
    </row>
  </sheetData>
  <hyperlinks>
    <hyperlink ref="B1" location="Forside!A1" display="Forside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0"/>
  <sheetViews>
    <sheetView topLeftCell="A33" zoomScale="80" zoomScaleNormal="80" workbookViewId="0"/>
  </sheetViews>
  <sheetFormatPr baseColWidth="10" defaultColWidth="24.5" defaultRowHeight="18" customHeight="1" x14ac:dyDescent="0.2"/>
  <cols>
    <col min="1" max="1" width="31.33203125" style="4" customWidth="1"/>
    <col min="2" max="10" width="14.83203125" style="4" customWidth="1"/>
    <col min="11" max="16384" width="24.5" style="4"/>
  </cols>
  <sheetData>
    <row r="1" spans="1:2" ht="18" customHeight="1" x14ac:dyDescent="0.2">
      <c r="A1" s="4" t="s">
        <v>229</v>
      </c>
      <c r="B1" s="2" t="s">
        <v>1</v>
      </c>
    </row>
    <row r="3" spans="1:2" ht="18" customHeight="1" x14ac:dyDescent="0.2">
      <c r="A3" s="32" t="s">
        <v>230</v>
      </c>
    </row>
    <row r="4" spans="1:2" ht="18" customHeight="1" x14ac:dyDescent="0.2">
      <c r="A4" s="161" t="s">
        <v>231</v>
      </c>
    </row>
    <row r="5" spans="1:2" ht="18" customHeight="1" x14ac:dyDescent="0.2">
      <c r="A5" s="161" t="s">
        <v>232</v>
      </c>
    </row>
    <row r="6" spans="1:2" ht="18" customHeight="1" x14ac:dyDescent="0.2">
      <c r="A6" s="161" t="s">
        <v>233</v>
      </c>
    </row>
    <row r="8" spans="1:2" ht="18" customHeight="1" x14ac:dyDescent="0.2">
      <c r="A8" s="161" t="s">
        <v>234</v>
      </c>
    </row>
    <row r="10" spans="1:2" ht="18" customHeight="1" x14ac:dyDescent="0.2">
      <c r="A10" s="162" t="s">
        <v>235</v>
      </c>
      <c r="B10" s="64">
        <v>50000</v>
      </c>
    </row>
    <row r="11" spans="1:2" ht="18" customHeight="1" x14ac:dyDescent="0.2">
      <c r="A11" s="162" t="s">
        <v>9</v>
      </c>
      <c r="B11" s="64">
        <v>8</v>
      </c>
    </row>
    <row r="12" spans="1:2" ht="18" customHeight="1" x14ac:dyDescent="0.2">
      <c r="A12" s="162" t="s">
        <v>236</v>
      </c>
      <c r="B12" s="64">
        <v>10000</v>
      </c>
    </row>
    <row r="13" spans="1:2" ht="18" customHeight="1" x14ac:dyDescent="0.2">
      <c r="A13" s="162" t="s">
        <v>237</v>
      </c>
      <c r="B13" s="64">
        <v>1500</v>
      </c>
    </row>
    <row r="14" spans="1:2" ht="18" customHeight="1" x14ac:dyDescent="0.2">
      <c r="A14" s="162" t="s">
        <v>238</v>
      </c>
      <c r="B14" s="100">
        <v>0.12</v>
      </c>
    </row>
    <row r="15" spans="1:2" ht="18" customHeight="1" x14ac:dyDescent="0.2">
      <c r="A15" s="161"/>
      <c r="B15" s="161"/>
    </row>
    <row r="16" spans="1:2" ht="18" customHeight="1" x14ac:dyDescent="0.2">
      <c r="A16" s="76" t="s">
        <v>239</v>
      </c>
      <c r="B16" s="161"/>
    </row>
    <row r="17" spans="1:3" ht="18" customHeight="1" x14ac:dyDescent="0.2">
      <c r="A17" s="162" t="s">
        <v>240</v>
      </c>
      <c r="B17" s="100">
        <v>0.1</v>
      </c>
    </row>
    <row r="18" spans="1:3" ht="18" customHeight="1" x14ac:dyDescent="0.2">
      <c r="A18" s="162" t="s">
        <v>241</v>
      </c>
      <c r="B18" s="101">
        <v>2.5000000000000001E-2</v>
      </c>
    </row>
    <row r="19" spans="1:3" ht="18" customHeight="1" x14ac:dyDescent="0.2">
      <c r="A19" s="162" t="s">
        <v>242</v>
      </c>
      <c r="B19" s="101">
        <v>2.5000000000000001E-2</v>
      </c>
    </row>
    <row r="20" spans="1:3" ht="18" customHeight="1" x14ac:dyDescent="0.2">
      <c r="A20" s="161"/>
      <c r="B20" s="161"/>
      <c r="C20" s="161"/>
    </row>
    <row r="21" spans="1:3" ht="18" customHeight="1" x14ac:dyDescent="0.2">
      <c r="A21" s="163" t="s">
        <v>243</v>
      </c>
      <c r="B21" s="161"/>
      <c r="C21" s="161"/>
    </row>
    <row r="22" spans="1:3" ht="18" customHeight="1" x14ac:dyDescent="0.2">
      <c r="A22" s="161"/>
      <c r="B22" s="161"/>
      <c r="C22" s="161"/>
    </row>
    <row r="23" spans="1:3" ht="18" customHeight="1" x14ac:dyDescent="0.2">
      <c r="A23" s="162" t="s">
        <v>244</v>
      </c>
      <c r="B23" s="101"/>
      <c r="C23" s="161"/>
    </row>
    <row r="24" spans="1:3" ht="18" customHeight="1" x14ac:dyDescent="0.2">
      <c r="A24" s="162" t="s">
        <v>245</v>
      </c>
      <c r="B24" s="101"/>
      <c r="C24" s="161"/>
    </row>
    <row r="25" spans="1:3" ht="18" customHeight="1" x14ac:dyDescent="0.2">
      <c r="A25" s="161"/>
      <c r="B25" s="164"/>
      <c r="C25" s="161"/>
    </row>
    <row r="26" spans="1:3" ht="18" customHeight="1" x14ac:dyDescent="0.2">
      <c r="A26" s="163" t="s">
        <v>246</v>
      </c>
      <c r="B26" s="164"/>
      <c r="C26" s="161"/>
    </row>
    <row r="27" spans="1:3" ht="18" customHeight="1" x14ac:dyDescent="0.2">
      <c r="A27" s="163" t="s">
        <v>247</v>
      </c>
      <c r="B27" s="164"/>
      <c r="C27" s="161"/>
    </row>
    <row r="28" spans="1:3" ht="18" customHeight="1" x14ac:dyDescent="0.2">
      <c r="A28" s="161"/>
      <c r="B28" s="161"/>
      <c r="C28" s="161"/>
    </row>
    <row r="29" spans="1:3" ht="18" customHeight="1" x14ac:dyDescent="0.2">
      <c r="A29" s="162" t="s">
        <v>248</v>
      </c>
      <c r="B29" s="64"/>
      <c r="C29" s="161"/>
    </row>
    <row r="30" spans="1:3" ht="18" customHeight="1" x14ac:dyDescent="0.2">
      <c r="A30" s="162" t="s">
        <v>249</v>
      </c>
      <c r="B30" s="64"/>
      <c r="C30" s="161"/>
    </row>
    <row r="31" spans="1:3" ht="18" customHeight="1" x14ac:dyDescent="0.2">
      <c r="A31" s="162" t="s">
        <v>250</v>
      </c>
      <c r="B31" s="64"/>
      <c r="C31" s="161"/>
    </row>
    <row r="32" spans="1:3" ht="18" customHeight="1" x14ac:dyDescent="0.2">
      <c r="A32" s="82" t="s">
        <v>251</v>
      </c>
      <c r="B32" s="165"/>
      <c r="C32" s="161"/>
    </row>
    <row r="33" spans="1:10" ht="18" customHeight="1" x14ac:dyDescent="0.2">
      <c r="A33" s="161"/>
      <c r="B33" s="166"/>
      <c r="C33" s="161"/>
    </row>
    <row r="34" spans="1:10" ht="18" customHeight="1" x14ac:dyDescent="0.2">
      <c r="A34" s="167" t="s">
        <v>252</v>
      </c>
    </row>
    <row r="37" spans="1:10" ht="18" customHeight="1" x14ac:dyDescent="0.2">
      <c r="A37" s="168" t="s">
        <v>253</v>
      </c>
      <c r="B37" s="161"/>
      <c r="C37" s="161"/>
    </row>
    <row r="38" spans="1:10" ht="18" customHeight="1" x14ac:dyDescent="0.2">
      <c r="A38" s="169" t="s">
        <v>18</v>
      </c>
      <c r="B38" s="165">
        <v>0</v>
      </c>
      <c r="C38" s="165">
        <v>1</v>
      </c>
      <c r="D38" s="108">
        <v>2</v>
      </c>
      <c r="E38" s="108">
        <v>3</v>
      </c>
      <c r="F38" s="108">
        <v>4</v>
      </c>
      <c r="G38" s="108">
        <v>5</v>
      </c>
      <c r="H38" s="108">
        <v>6</v>
      </c>
      <c r="I38" s="108">
        <v>7</v>
      </c>
      <c r="J38" s="108">
        <v>8</v>
      </c>
    </row>
    <row r="39" spans="1:10" ht="18" customHeight="1" x14ac:dyDescent="0.2">
      <c r="A39" s="170" t="s">
        <v>254</v>
      </c>
      <c r="B39" s="64"/>
      <c r="C39" s="64"/>
      <c r="D39" s="104"/>
      <c r="E39" s="104"/>
      <c r="F39" s="104"/>
      <c r="G39" s="104"/>
      <c r="H39" s="104"/>
      <c r="I39" s="104"/>
      <c r="J39" s="104"/>
    </row>
    <row r="40" spans="1:10" ht="18" customHeight="1" x14ac:dyDescent="0.2">
      <c r="A40" s="162" t="s">
        <v>255</v>
      </c>
      <c r="B40" s="64"/>
      <c r="C40" s="64"/>
      <c r="D40" s="64"/>
      <c r="E40" s="64"/>
      <c r="F40" s="64"/>
      <c r="G40" s="64"/>
      <c r="H40" s="64"/>
      <c r="I40" s="64"/>
      <c r="J40" s="64"/>
    </row>
    <row r="41" spans="1:10" ht="18" customHeight="1" x14ac:dyDescent="0.2">
      <c r="A41" s="162" t="s">
        <v>256</v>
      </c>
      <c r="B41" s="64"/>
      <c r="C41" s="64"/>
      <c r="D41" s="64"/>
      <c r="E41" s="64"/>
      <c r="F41" s="64"/>
      <c r="G41" s="64"/>
      <c r="H41" s="64"/>
      <c r="I41" s="64"/>
      <c r="J41" s="64"/>
    </row>
    <row r="42" spans="1:10" ht="18" customHeight="1" x14ac:dyDescent="0.2">
      <c r="A42" s="171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ht="18" customHeight="1" x14ac:dyDescent="0.2">
      <c r="A43" s="162" t="s">
        <v>257</v>
      </c>
      <c r="B43" s="64"/>
      <c r="C43" s="64"/>
      <c r="D43" s="64"/>
      <c r="E43" s="64"/>
      <c r="F43" s="64"/>
      <c r="G43" s="64"/>
      <c r="H43" s="64"/>
      <c r="I43" s="64"/>
      <c r="J43" s="64"/>
    </row>
    <row r="44" spans="1:10" ht="18" customHeight="1" x14ac:dyDescent="0.2">
      <c r="A44" s="162" t="s">
        <v>258</v>
      </c>
      <c r="B44" s="64"/>
      <c r="C44" s="64"/>
      <c r="D44" s="64"/>
      <c r="E44" s="64"/>
      <c r="F44" s="64"/>
      <c r="G44" s="64"/>
      <c r="H44" s="64"/>
      <c r="I44" s="64"/>
      <c r="J44" s="64"/>
    </row>
    <row r="45" spans="1:10" ht="18" customHeight="1" x14ac:dyDescent="0.2">
      <c r="A45" s="162" t="s">
        <v>101</v>
      </c>
      <c r="B45" s="64"/>
      <c r="C45" s="64"/>
      <c r="D45" s="64"/>
      <c r="E45" s="64"/>
      <c r="F45" s="64"/>
      <c r="G45" s="64"/>
      <c r="H45" s="64"/>
      <c r="I45" s="64"/>
      <c r="J45" s="64"/>
    </row>
    <row r="46" spans="1:10" ht="18" customHeight="1" x14ac:dyDescent="0.2">
      <c r="A46" s="82" t="s">
        <v>251</v>
      </c>
      <c r="B46" s="72"/>
    </row>
    <row r="48" spans="1:10" ht="18" customHeight="1" x14ac:dyDescent="0.2">
      <c r="A48" s="32" t="s">
        <v>259</v>
      </c>
    </row>
    <row r="49" spans="1:10" ht="18" customHeight="1" x14ac:dyDescent="0.2">
      <c r="A49" s="4" t="s">
        <v>260</v>
      </c>
    </row>
    <row r="51" spans="1:10" ht="18" customHeight="1" x14ac:dyDescent="0.2">
      <c r="A51" s="168" t="s">
        <v>261</v>
      </c>
      <c r="B51" s="161"/>
      <c r="C51" s="161"/>
    </row>
    <row r="52" spans="1:10" ht="18" customHeight="1" x14ac:dyDescent="0.2">
      <c r="A52" s="169" t="s">
        <v>18</v>
      </c>
      <c r="B52" s="165">
        <v>0</v>
      </c>
      <c r="C52" s="165">
        <v>1</v>
      </c>
      <c r="D52" s="108">
        <v>2</v>
      </c>
      <c r="E52" s="108">
        <v>3</v>
      </c>
      <c r="F52" s="108">
        <v>4</v>
      </c>
      <c r="G52" s="108">
        <v>5</v>
      </c>
      <c r="H52" s="108">
        <v>6</v>
      </c>
      <c r="I52" s="108">
        <v>7</v>
      </c>
      <c r="J52" s="108">
        <v>8</v>
      </c>
    </row>
    <row r="53" spans="1:10" ht="18" customHeight="1" x14ac:dyDescent="0.2">
      <c r="A53" s="170" t="s">
        <v>254</v>
      </c>
      <c r="B53" s="64"/>
      <c r="C53" s="64"/>
      <c r="D53" s="104"/>
      <c r="E53" s="104"/>
      <c r="F53" s="104"/>
      <c r="G53" s="104"/>
      <c r="H53" s="104"/>
      <c r="I53" s="104"/>
      <c r="J53" s="104"/>
    </row>
    <row r="54" spans="1:10" ht="18" customHeight="1" x14ac:dyDescent="0.2">
      <c r="A54" s="162" t="s">
        <v>255</v>
      </c>
      <c r="B54" s="64"/>
      <c r="C54" s="64"/>
      <c r="D54" s="64"/>
      <c r="E54" s="64"/>
      <c r="F54" s="64"/>
      <c r="G54" s="64"/>
      <c r="H54" s="64"/>
      <c r="I54" s="64"/>
      <c r="J54" s="64"/>
    </row>
    <row r="55" spans="1:10" ht="18" customHeight="1" x14ac:dyDescent="0.2">
      <c r="A55" s="162" t="s">
        <v>256</v>
      </c>
      <c r="B55" s="64"/>
      <c r="C55" s="64"/>
      <c r="D55" s="64"/>
      <c r="E55" s="64"/>
      <c r="F55" s="64"/>
      <c r="G55" s="64"/>
      <c r="H55" s="64"/>
      <c r="I55" s="64"/>
      <c r="J55" s="64"/>
    </row>
    <row r="56" spans="1:10" ht="18" customHeight="1" x14ac:dyDescent="0.2">
      <c r="A56" s="171"/>
      <c r="B56" s="172"/>
      <c r="C56" s="172"/>
      <c r="D56" s="172"/>
      <c r="E56" s="172"/>
      <c r="F56" s="172"/>
      <c r="G56" s="172"/>
      <c r="H56" s="172"/>
      <c r="I56" s="172"/>
      <c r="J56" s="172"/>
    </row>
    <row r="57" spans="1:10" ht="18" customHeight="1" x14ac:dyDescent="0.2">
      <c r="A57" s="162" t="s">
        <v>257</v>
      </c>
      <c r="B57" s="64"/>
      <c r="C57" s="64"/>
      <c r="D57" s="64"/>
      <c r="E57" s="64"/>
      <c r="F57" s="64"/>
      <c r="G57" s="64"/>
      <c r="H57" s="64"/>
      <c r="I57" s="64"/>
      <c r="J57" s="64"/>
    </row>
    <row r="58" spans="1:10" ht="18" customHeight="1" x14ac:dyDescent="0.2">
      <c r="A58" s="162" t="s">
        <v>258</v>
      </c>
      <c r="B58" s="64"/>
      <c r="C58" s="64"/>
      <c r="D58" s="64"/>
      <c r="E58" s="64"/>
      <c r="F58" s="64"/>
      <c r="G58" s="64"/>
      <c r="H58" s="64"/>
      <c r="I58" s="64"/>
      <c r="J58" s="64"/>
    </row>
    <row r="59" spans="1:10" ht="18" customHeight="1" x14ac:dyDescent="0.2">
      <c r="A59" s="162" t="s">
        <v>101</v>
      </c>
      <c r="B59" s="64"/>
      <c r="C59" s="64"/>
      <c r="D59" s="64"/>
      <c r="E59" s="64"/>
      <c r="F59" s="64"/>
      <c r="G59" s="64"/>
      <c r="H59" s="64"/>
      <c r="I59" s="64"/>
      <c r="J59" s="64"/>
    </row>
    <row r="60" spans="1:10" ht="18" customHeight="1" x14ac:dyDescent="0.2">
      <c r="A60" s="82" t="s">
        <v>251</v>
      </c>
      <c r="B60" s="72"/>
    </row>
  </sheetData>
  <hyperlinks>
    <hyperlink ref="B1" location="Forside!A1" display="Forsid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0"/>
  <sheetViews>
    <sheetView zoomScale="80" zoomScaleNormal="80" workbookViewId="0">
      <selection activeCell="A22" sqref="A22"/>
    </sheetView>
  </sheetViews>
  <sheetFormatPr baseColWidth="10" defaultColWidth="24.5" defaultRowHeight="18" customHeight="1" x14ac:dyDescent="0.2"/>
  <cols>
    <col min="1" max="1" width="29.33203125" style="4" customWidth="1"/>
    <col min="2" max="11" width="14.83203125" style="4" customWidth="1"/>
    <col min="12" max="16384" width="24.5" style="4"/>
  </cols>
  <sheetData>
    <row r="1" spans="1:9" ht="18" customHeight="1" x14ac:dyDescent="0.2">
      <c r="A1" s="4" t="s">
        <v>262</v>
      </c>
      <c r="B1" s="2" t="s">
        <v>1</v>
      </c>
    </row>
    <row r="3" spans="1:9" ht="18" customHeight="1" x14ac:dyDescent="0.2">
      <c r="A3" s="49" t="s">
        <v>304</v>
      </c>
      <c r="B3" s="49"/>
      <c r="C3" s="49"/>
      <c r="D3" s="49"/>
      <c r="E3" s="49"/>
      <c r="F3" s="49"/>
      <c r="G3" s="49"/>
      <c r="H3" s="49"/>
      <c r="I3" s="49"/>
    </row>
    <row r="4" spans="1:9" ht="18" customHeight="1" x14ac:dyDescent="0.2">
      <c r="A4" s="49" t="s">
        <v>305</v>
      </c>
      <c r="B4" s="49"/>
      <c r="C4" s="49"/>
      <c r="D4" s="49"/>
      <c r="E4" s="49"/>
      <c r="F4" s="49"/>
      <c r="G4" s="49"/>
      <c r="H4" s="49"/>
      <c r="I4" s="49"/>
    </row>
    <row r="5" spans="1:9" ht="18" customHeight="1" x14ac:dyDescent="0.2">
      <c r="A5" s="49" t="s">
        <v>263</v>
      </c>
      <c r="B5" s="49"/>
      <c r="C5" s="49"/>
      <c r="D5" s="49"/>
      <c r="E5" s="49"/>
      <c r="F5" s="49"/>
      <c r="G5" s="49"/>
      <c r="H5" s="49"/>
      <c r="I5" s="49"/>
    </row>
    <row r="6" spans="1:9" ht="18" customHeight="1" x14ac:dyDescent="0.2">
      <c r="A6" s="49"/>
      <c r="B6" s="49"/>
      <c r="C6" s="49"/>
      <c r="D6" s="49"/>
      <c r="E6" s="49"/>
      <c r="F6" s="49"/>
      <c r="G6" s="49"/>
      <c r="H6" s="49"/>
      <c r="I6" s="49"/>
    </row>
    <row r="7" spans="1:9" ht="18" customHeight="1" x14ac:dyDescent="0.2">
      <c r="A7" s="119" t="s">
        <v>18</v>
      </c>
      <c r="B7" s="59">
        <v>1</v>
      </c>
      <c r="C7" s="59">
        <v>2</v>
      </c>
      <c r="D7" s="59">
        <v>3</v>
      </c>
      <c r="E7" s="59">
        <v>4</v>
      </c>
      <c r="F7" s="59">
        <v>5</v>
      </c>
      <c r="G7" s="59">
        <v>6</v>
      </c>
      <c r="H7" s="59">
        <v>7</v>
      </c>
      <c r="I7" s="59">
        <v>8</v>
      </c>
    </row>
    <row r="8" spans="1:9" ht="18" customHeight="1" x14ac:dyDescent="0.25">
      <c r="A8" s="120" t="s">
        <v>264</v>
      </c>
      <c r="B8" s="63">
        <v>120</v>
      </c>
      <c r="C8" s="63">
        <v>120</v>
      </c>
      <c r="D8" s="63">
        <v>100</v>
      </c>
      <c r="E8" s="63">
        <v>80</v>
      </c>
      <c r="F8" s="63">
        <v>40</v>
      </c>
      <c r="G8" s="63">
        <v>20</v>
      </c>
      <c r="H8" s="63">
        <v>5</v>
      </c>
      <c r="I8" s="63">
        <v>0</v>
      </c>
    </row>
    <row r="9" spans="1:9" ht="18" customHeight="1" x14ac:dyDescent="0.25">
      <c r="A9" s="120" t="s">
        <v>265</v>
      </c>
      <c r="B9" s="63">
        <v>120</v>
      </c>
      <c r="C9" s="63">
        <v>100</v>
      </c>
      <c r="D9" s="63">
        <v>80</v>
      </c>
      <c r="E9" s="63">
        <v>60</v>
      </c>
      <c r="F9" s="63">
        <v>40</v>
      </c>
      <c r="G9" s="63">
        <v>20</v>
      </c>
      <c r="H9" s="63">
        <v>0</v>
      </c>
      <c r="I9" s="63">
        <v>0</v>
      </c>
    </row>
    <row r="10" spans="1:9" ht="18" customHeight="1" x14ac:dyDescent="0.2">
      <c r="A10" s="49"/>
      <c r="B10" s="49"/>
      <c r="C10" s="49"/>
      <c r="D10" s="49"/>
      <c r="E10" s="49"/>
      <c r="F10" s="49"/>
      <c r="G10" s="49"/>
      <c r="H10" s="49"/>
      <c r="I10" s="49"/>
    </row>
    <row r="11" spans="1:9" ht="18" customHeight="1" x14ac:dyDescent="0.2">
      <c r="A11" s="57" t="s">
        <v>306</v>
      </c>
      <c r="B11" s="49"/>
      <c r="C11" s="49"/>
      <c r="D11" s="49"/>
      <c r="E11" s="49"/>
      <c r="F11" s="49"/>
      <c r="G11" s="49"/>
      <c r="H11" s="49"/>
      <c r="I11" s="49"/>
    </row>
    <row r="12" spans="1:9" ht="18" customHeight="1" x14ac:dyDescent="0.2">
      <c r="A12" s="173"/>
      <c r="B12" s="49"/>
      <c r="C12" s="49"/>
      <c r="D12" s="49"/>
      <c r="E12" s="49"/>
      <c r="F12" s="49"/>
      <c r="G12" s="49"/>
      <c r="H12" s="49"/>
      <c r="I12" s="49"/>
    </row>
    <row r="13" spans="1:9" ht="18" customHeight="1" x14ac:dyDescent="0.2">
      <c r="A13" s="174" t="s">
        <v>39</v>
      </c>
      <c r="B13" s="100">
        <v>0.1</v>
      </c>
      <c r="C13" s="49"/>
      <c r="D13" s="49"/>
      <c r="E13" s="49"/>
      <c r="F13" s="49"/>
      <c r="G13" s="49"/>
      <c r="H13" s="49"/>
      <c r="I13" s="49"/>
    </row>
    <row r="14" spans="1:9" ht="18" customHeight="1" x14ac:dyDescent="0.2">
      <c r="A14" s="175" t="s">
        <v>18</v>
      </c>
      <c r="B14" s="59">
        <v>1</v>
      </c>
      <c r="C14" s="59">
        <v>2</v>
      </c>
      <c r="D14" s="59">
        <v>3</v>
      </c>
      <c r="E14" s="59">
        <v>4</v>
      </c>
      <c r="F14" s="59">
        <v>5</v>
      </c>
      <c r="G14" s="59">
        <v>6</v>
      </c>
      <c r="H14" s="59">
        <v>7</v>
      </c>
      <c r="I14" s="59">
        <v>8</v>
      </c>
    </row>
    <row r="15" spans="1:9" ht="18" customHeight="1" x14ac:dyDescent="0.2">
      <c r="A15" s="176" t="s">
        <v>266</v>
      </c>
      <c r="B15" s="177"/>
      <c r="C15" s="177"/>
      <c r="D15" s="177"/>
      <c r="E15" s="177"/>
      <c r="F15" s="177"/>
      <c r="G15" s="177"/>
      <c r="H15" s="177"/>
      <c r="I15" s="177"/>
    </row>
    <row r="16" spans="1:9" ht="18" customHeight="1" x14ac:dyDescent="0.2">
      <c r="A16" s="176" t="s">
        <v>267</v>
      </c>
      <c r="B16" s="177"/>
      <c r="C16" s="177"/>
      <c r="D16" s="177"/>
      <c r="E16" s="177"/>
      <c r="F16" s="177"/>
      <c r="G16" s="177"/>
      <c r="H16" s="177"/>
      <c r="I16" s="177"/>
    </row>
    <row r="17" spans="1:9" ht="18" customHeight="1" x14ac:dyDescent="0.2">
      <c r="A17" s="176" t="s">
        <v>142</v>
      </c>
      <c r="B17" s="177"/>
      <c r="C17" s="177"/>
      <c r="D17" s="177"/>
      <c r="E17" s="177"/>
      <c r="F17" s="177"/>
      <c r="G17" s="177"/>
      <c r="H17" s="177"/>
      <c r="I17" s="177"/>
    </row>
    <row r="18" spans="1:9" ht="18" customHeight="1" x14ac:dyDescent="0.2">
      <c r="A18" s="176" t="s">
        <v>251</v>
      </c>
      <c r="B18" s="177"/>
      <c r="C18" s="177"/>
      <c r="D18" s="177"/>
      <c r="E18" s="177"/>
      <c r="F18" s="177"/>
      <c r="G18" s="177"/>
      <c r="H18" s="177"/>
      <c r="I18" s="177"/>
    </row>
    <row r="19" spans="1:9" ht="18" customHeight="1" x14ac:dyDescent="0.2">
      <c r="A19" s="49"/>
      <c r="B19" s="178"/>
      <c r="C19" s="178"/>
      <c r="D19" s="178"/>
      <c r="E19" s="178"/>
      <c r="F19" s="178"/>
      <c r="G19" s="178"/>
      <c r="H19" s="178"/>
      <c r="I19" s="178"/>
    </row>
    <row r="20" spans="1:9" ht="18" customHeight="1" x14ac:dyDescent="0.2">
      <c r="A20" s="179" t="s">
        <v>308</v>
      </c>
    </row>
    <row r="21" spans="1:9" ht="18" customHeight="1" x14ac:dyDescent="0.2">
      <c r="A21" s="179" t="s">
        <v>309</v>
      </c>
    </row>
    <row r="22" spans="1:9" ht="18" customHeight="1" x14ac:dyDescent="0.2">
      <c r="A22" s="180"/>
    </row>
    <row r="23" spans="1:9" ht="18" customHeight="1" x14ac:dyDescent="0.2">
      <c r="A23" s="120" t="s">
        <v>268</v>
      </c>
      <c r="B23" s="63">
        <v>100</v>
      </c>
      <c r="C23" s="50"/>
      <c r="D23" s="50"/>
      <c r="E23" s="50"/>
      <c r="F23" s="50"/>
      <c r="G23" s="50"/>
      <c r="H23" s="50"/>
      <c r="I23" s="50"/>
    </row>
    <row r="24" spans="1:9" ht="18" customHeight="1" x14ac:dyDescent="0.2">
      <c r="A24" s="120" t="s">
        <v>39</v>
      </c>
      <c r="B24" s="100">
        <v>0.1</v>
      </c>
      <c r="C24" s="49"/>
      <c r="D24" s="49"/>
      <c r="E24" s="49"/>
      <c r="F24" s="49"/>
      <c r="G24" s="49"/>
      <c r="H24" s="49"/>
      <c r="I24" s="49"/>
    </row>
    <row r="25" spans="1:9" ht="18" customHeight="1" x14ac:dyDescent="0.2">
      <c r="A25" s="175" t="s">
        <v>18</v>
      </c>
      <c r="B25" s="59">
        <v>1</v>
      </c>
      <c r="C25" s="59">
        <v>2</v>
      </c>
      <c r="D25" s="59">
        <v>3</v>
      </c>
      <c r="E25" s="59">
        <v>4</v>
      </c>
      <c r="F25" s="59">
        <v>5</v>
      </c>
      <c r="G25" s="59">
        <v>6</v>
      </c>
      <c r="H25" s="59">
        <v>7</v>
      </c>
      <c r="I25" s="59">
        <v>8</v>
      </c>
    </row>
    <row r="26" spans="1:9" ht="18" customHeight="1" x14ac:dyDescent="0.2">
      <c r="A26" s="120" t="s">
        <v>269</v>
      </c>
      <c r="B26" s="177"/>
      <c r="C26" s="177"/>
      <c r="D26" s="177"/>
      <c r="E26" s="177"/>
      <c r="F26" s="177"/>
      <c r="G26" s="177"/>
      <c r="H26" s="177"/>
      <c r="I26" s="177"/>
    </row>
    <row r="27" spans="1:9" ht="18" customHeight="1" x14ac:dyDescent="0.2">
      <c r="A27" s="120" t="s">
        <v>266</v>
      </c>
      <c r="B27" s="177"/>
      <c r="C27" s="177"/>
      <c r="D27" s="177"/>
      <c r="E27" s="177"/>
      <c r="F27" s="177"/>
      <c r="G27" s="177"/>
      <c r="H27" s="177"/>
      <c r="I27" s="177"/>
    </row>
    <row r="28" spans="1:9" ht="18" customHeight="1" x14ac:dyDescent="0.2">
      <c r="A28" s="120" t="s">
        <v>267</v>
      </c>
      <c r="B28" s="177"/>
      <c r="C28" s="177"/>
      <c r="D28" s="177"/>
      <c r="E28" s="177"/>
      <c r="F28" s="177"/>
      <c r="G28" s="177"/>
      <c r="H28" s="177"/>
      <c r="I28" s="177"/>
    </row>
    <row r="29" spans="1:9" ht="18" customHeight="1" x14ac:dyDescent="0.2">
      <c r="A29" s="120" t="s">
        <v>142</v>
      </c>
      <c r="B29" s="177"/>
      <c r="C29" s="177"/>
      <c r="D29" s="177"/>
      <c r="E29" s="177"/>
      <c r="F29" s="177"/>
      <c r="G29" s="177"/>
      <c r="H29" s="177"/>
      <c r="I29" s="177"/>
    </row>
    <row r="30" spans="1:9" ht="18" customHeight="1" x14ac:dyDescent="0.2">
      <c r="A30" s="120" t="s">
        <v>251</v>
      </c>
      <c r="B30" s="177"/>
      <c r="C30" s="177"/>
      <c r="D30" s="177"/>
      <c r="E30" s="177"/>
      <c r="F30" s="177"/>
      <c r="G30" s="177"/>
      <c r="H30" s="177"/>
      <c r="I30" s="177"/>
    </row>
  </sheetData>
  <hyperlinks>
    <hyperlink ref="B1" location="Forside!A1" display="Forsid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5"/>
  <sheetViews>
    <sheetView tabSelected="1" zoomScale="80" zoomScaleNormal="80" workbookViewId="0">
      <selection activeCell="A28" sqref="A28"/>
    </sheetView>
  </sheetViews>
  <sheetFormatPr baseColWidth="10" defaultColWidth="24" defaultRowHeight="18" customHeight="1" x14ac:dyDescent="0.2"/>
  <cols>
    <col min="1" max="1" width="41.33203125" style="4" customWidth="1"/>
    <col min="2" max="12" width="12.1640625" style="4" customWidth="1"/>
    <col min="13" max="16384" width="24" style="4"/>
  </cols>
  <sheetData>
    <row r="1" spans="1:3" ht="18" customHeight="1" x14ac:dyDescent="0.2">
      <c r="A1" s="4" t="s">
        <v>270</v>
      </c>
      <c r="B1" s="2" t="s">
        <v>1</v>
      </c>
    </row>
    <row r="2" spans="1:3" ht="18" customHeight="1" x14ac:dyDescent="0.2">
      <c r="A2" s="181"/>
      <c r="C2" s="182"/>
    </row>
    <row r="3" spans="1:3" ht="18" customHeight="1" x14ac:dyDescent="0.2">
      <c r="A3" s="4" t="s">
        <v>271</v>
      </c>
      <c r="C3" s="182"/>
    </row>
    <row r="4" spans="1:3" ht="18" customHeight="1" x14ac:dyDescent="0.2">
      <c r="A4" s="4" t="s">
        <v>272</v>
      </c>
      <c r="C4" s="182"/>
    </row>
    <row r="5" spans="1:3" ht="18" customHeight="1" x14ac:dyDescent="0.2">
      <c r="A5" s="4" t="s">
        <v>273</v>
      </c>
      <c r="C5" s="182"/>
    </row>
    <row r="6" spans="1:3" ht="18" customHeight="1" x14ac:dyDescent="0.2">
      <c r="C6" s="182"/>
    </row>
    <row r="7" spans="1:3" ht="18" customHeight="1" x14ac:dyDescent="0.2">
      <c r="A7" s="32" t="s">
        <v>274</v>
      </c>
      <c r="C7" s="182"/>
    </row>
    <row r="8" spans="1:3" ht="18" customHeight="1" x14ac:dyDescent="0.2">
      <c r="A8" s="32" t="s">
        <v>275</v>
      </c>
      <c r="C8" s="182"/>
    </row>
    <row r="9" spans="1:3" ht="18" customHeight="1" x14ac:dyDescent="0.2">
      <c r="A9" s="44"/>
      <c r="C9" s="182"/>
    </row>
    <row r="10" spans="1:3" ht="18" customHeight="1" x14ac:dyDescent="0.2">
      <c r="A10" s="32" t="s">
        <v>276</v>
      </c>
      <c r="C10" s="182"/>
    </row>
    <row r="11" spans="1:3" ht="18" customHeight="1" x14ac:dyDescent="0.2">
      <c r="A11" s="32" t="s">
        <v>277</v>
      </c>
      <c r="C11" s="182"/>
    </row>
    <row r="12" spans="1:3" ht="18" customHeight="1" x14ac:dyDescent="0.2">
      <c r="A12" s="181"/>
      <c r="C12" s="182"/>
    </row>
    <row r="13" spans="1:3" ht="18" customHeight="1" x14ac:dyDescent="0.2">
      <c r="A13" s="103" t="s">
        <v>278</v>
      </c>
      <c r="B13" s="35">
        <v>1000000</v>
      </c>
    </row>
    <row r="14" spans="1:3" ht="18" customHeight="1" x14ac:dyDescent="0.2">
      <c r="A14" s="103" t="s">
        <v>279</v>
      </c>
      <c r="B14" s="105">
        <v>0.3</v>
      </c>
    </row>
    <row r="15" spans="1:3" ht="18" customHeight="1" x14ac:dyDescent="0.2">
      <c r="A15" s="103" t="s">
        <v>280</v>
      </c>
      <c r="B15" s="35">
        <v>450000</v>
      </c>
    </row>
    <row r="16" spans="1:3" ht="18" customHeight="1" x14ac:dyDescent="0.2">
      <c r="A16" s="103" t="s">
        <v>281</v>
      </c>
      <c r="B16" s="35">
        <v>45000</v>
      </c>
    </row>
    <row r="17" spans="1:12" ht="18" customHeight="1" x14ac:dyDescent="0.2">
      <c r="A17" s="183" t="s">
        <v>162</v>
      </c>
      <c r="B17" s="105">
        <v>0.1</v>
      </c>
    </row>
    <row r="18" spans="1:12" ht="18" customHeight="1" x14ac:dyDescent="0.2">
      <c r="G18" s="47"/>
    </row>
    <row r="19" spans="1:12" ht="18" customHeight="1" x14ac:dyDescent="0.2">
      <c r="A19" s="39" t="s">
        <v>178</v>
      </c>
      <c r="B19" s="108">
        <v>0</v>
      </c>
      <c r="C19" s="108">
        <v>1</v>
      </c>
      <c r="D19" s="108">
        <v>2</v>
      </c>
      <c r="E19" s="108">
        <v>3</v>
      </c>
      <c r="F19" s="108">
        <v>4</v>
      </c>
      <c r="G19" s="108">
        <v>5</v>
      </c>
      <c r="H19" s="108">
        <v>6</v>
      </c>
      <c r="I19" s="108">
        <v>7</v>
      </c>
      <c r="J19" s="108">
        <v>8</v>
      </c>
      <c r="K19" s="108">
        <v>9</v>
      </c>
      <c r="L19" s="108">
        <v>10</v>
      </c>
    </row>
    <row r="20" spans="1:12" ht="18" customHeight="1" x14ac:dyDescent="0.2">
      <c r="A20" s="183" t="s">
        <v>7</v>
      </c>
      <c r="B20" s="102">
        <f>-B13</f>
        <v>-1000000</v>
      </c>
      <c r="C20" s="102">
        <f>700000</f>
        <v>700000</v>
      </c>
      <c r="D20" s="102">
        <f>C20*0.7</f>
        <v>489999.99999999994</v>
      </c>
      <c r="E20" s="102">
        <f t="shared" ref="E20:L20" si="0">D20*0.7</f>
        <v>342999.99999999994</v>
      </c>
      <c r="F20" s="102">
        <f t="shared" si="0"/>
        <v>240099.99999999994</v>
      </c>
      <c r="G20" s="102">
        <f t="shared" si="0"/>
        <v>168069.99999999994</v>
      </c>
      <c r="H20" s="102">
        <f t="shared" si="0"/>
        <v>117648.99999999996</v>
      </c>
      <c r="I20" s="102">
        <f t="shared" si="0"/>
        <v>82354.299999999959</v>
      </c>
      <c r="J20" s="102">
        <f t="shared" si="0"/>
        <v>57648.009999999966</v>
      </c>
      <c r="K20" s="102">
        <f t="shared" si="0"/>
        <v>40353.606999999975</v>
      </c>
      <c r="L20" s="102">
        <f t="shared" si="0"/>
        <v>28247.524899999982</v>
      </c>
    </row>
    <row r="21" spans="1:12" ht="18" customHeight="1" x14ac:dyDescent="0.2">
      <c r="A21" s="183" t="s">
        <v>282</v>
      </c>
      <c r="B21" s="104"/>
      <c r="C21" s="202">
        <f>$B$15</f>
        <v>450000</v>
      </c>
      <c r="D21" s="202">
        <f t="shared" ref="D21:L21" si="1">$B$15</f>
        <v>450000</v>
      </c>
      <c r="E21" s="202">
        <f t="shared" si="1"/>
        <v>450000</v>
      </c>
      <c r="F21" s="202">
        <f t="shared" si="1"/>
        <v>450000</v>
      </c>
      <c r="G21" s="202">
        <f t="shared" si="1"/>
        <v>450000</v>
      </c>
      <c r="H21" s="202">
        <f t="shared" si="1"/>
        <v>450000</v>
      </c>
      <c r="I21" s="202">
        <f t="shared" si="1"/>
        <v>450000</v>
      </c>
      <c r="J21" s="202">
        <f t="shared" si="1"/>
        <v>450000</v>
      </c>
      <c r="K21" s="202">
        <f t="shared" si="1"/>
        <v>450000</v>
      </c>
      <c r="L21" s="202">
        <f t="shared" si="1"/>
        <v>450000</v>
      </c>
    </row>
    <row r="22" spans="1:12" ht="18" customHeight="1" x14ac:dyDescent="0.2">
      <c r="A22" s="183" t="s">
        <v>256</v>
      </c>
      <c r="B22" s="104"/>
      <c r="C22" s="102">
        <f>-B16</f>
        <v>-45000</v>
      </c>
      <c r="D22" s="102">
        <f>C22-$B$16</f>
        <v>-90000</v>
      </c>
      <c r="E22" s="102">
        <f t="shared" ref="E22:L22" si="2">D22-$B$16</f>
        <v>-135000</v>
      </c>
      <c r="F22" s="102">
        <f t="shared" si="2"/>
        <v>-180000</v>
      </c>
      <c r="G22" s="102">
        <f t="shared" si="2"/>
        <v>-225000</v>
      </c>
      <c r="H22" s="102">
        <f t="shared" si="2"/>
        <v>-270000</v>
      </c>
      <c r="I22" s="102">
        <f t="shared" si="2"/>
        <v>-315000</v>
      </c>
      <c r="J22" s="102">
        <f t="shared" si="2"/>
        <v>-360000</v>
      </c>
      <c r="K22" s="102">
        <f t="shared" si="2"/>
        <v>-405000</v>
      </c>
      <c r="L22" s="102">
        <f t="shared" si="2"/>
        <v>-450000</v>
      </c>
    </row>
    <row r="23" spans="1:12" ht="18" customHeight="1" x14ac:dyDescent="0.2">
      <c r="A23" s="183" t="s">
        <v>283</v>
      </c>
      <c r="B23" s="102"/>
      <c r="C23" s="102">
        <f>SUM(C21:C22)</f>
        <v>405000</v>
      </c>
      <c r="D23" s="102">
        <f t="shared" ref="D23:L23" si="3">SUM(D21:D22)</f>
        <v>360000</v>
      </c>
      <c r="E23" s="102">
        <f t="shared" si="3"/>
        <v>315000</v>
      </c>
      <c r="F23" s="102">
        <f t="shared" si="3"/>
        <v>270000</v>
      </c>
      <c r="G23" s="102">
        <f t="shared" si="3"/>
        <v>225000</v>
      </c>
      <c r="H23" s="102">
        <f t="shared" si="3"/>
        <v>180000</v>
      </c>
      <c r="I23" s="102">
        <f t="shared" si="3"/>
        <v>135000</v>
      </c>
      <c r="J23" s="102">
        <f t="shared" si="3"/>
        <v>90000</v>
      </c>
      <c r="K23" s="102">
        <f t="shared" si="3"/>
        <v>45000</v>
      </c>
      <c r="L23" s="102">
        <f t="shared" si="3"/>
        <v>0</v>
      </c>
    </row>
    <row r="24" spans="1:12" ht="18" customHeight="1" x14ac:dyDescent="0.2">
      <c r="A24" s="183" t="s">
        <v>284</v>
      </c>
      <c r="B24" s="102"/>
      <c r="C24" s="102">
        <f>C23/(1+$B$17)^C19</f>
        <v>368181.81818181818</v>
      </c>
      <c r="D24" s="102">
        <f t="shared" ref="D24:L24" si="4">D23/(1+$B$17)^D19</f>
        <v>297520.66115702473</v>
      </c>
      <c r="E24" s="102">
        <f t="shared" si="4"/>
        <v>236664.16228399694</v>
      </c>
      <c r="F24" s="102">
        <f t="shared" si="4"/>
        <v>184413.63294856902</v>
      </c>
      <c r="G24" s="102">
        <f t="shared" si="4"/>
        <v>139707.29768830986</v>
      </c>
      <c r="H24" s="102">
        <f t="shared" si="4"/>
        <v>101605.3074096799</v>
      </c>
      <c r="I24" s="102">
        <f t="shared" si="4"/>
        <v>69276.345961145373</v>
      </c>
      <c r="J24" s="102">
        <f t="shared" si="4"/>
        <v>41985.664218875987</v>
      </c>
      <c r="K24" s="102">
        <f t="shared" si="4"/>
        <v>19084.39282676181</v>
      </c>
      <c r="L24" s="102">
        <f t="shared" si="4"/>
        <v>0</v>
      </c>
    </row>
    <row r="25" spans="1:12" ht="18" customHeight="1" x14ac:dyDescent="0.2">
      <c r="A25" s="183" t="s">
        <v>285</v>
      </c>
      <c r="B25" s="102"/>
      <c r="C25" s="102">
        <f>B25+C24</f>
        <v>368181.81818181818</v>
      </c>
      <c r="D25" s="102">
        <f t="shared" ref="D25:L25" si="5">C25+D24</f>
        <v>665702.47933884291</v>
      </c>
      <c r="E25" s="102">
        <f t="shared" si="5"/>
        <v>902366.64162283984</v>
      </c>
      <c r="F25" s="102">
        <f t="shared" si="5"/>
        <v>1086780.274571409</v>
      </c>
      <c r="G25" s="102">
        <f t="shared" si="5"/>
        <v>1226487.5722597188</v>
      </c>
      <c r="H25" s="102">
        <f t="shared" si="5"/>
        <v>1328092.8796693988</v>
      </c>
      <c r="I25" s="102">
        <f t="shared" si="5"/>
        <v>1397369.2256305441</v>
      </c>
      <c r="J25" s="102">
        <f t="shared" si="5"/>
        <v>1439354.8898494202</v>
      </c>
      <c r="K25" s="102">
        <f t="shared" si="5"/>
        <v>1458439.282676182</v>
      </c>
      <c r="L25" s="102">
        <f t="shared" si="5"/>
        <v>1458439.282676182</v>
      </c>
    </row>
    <row r="26" spans="1:12" ht="34" x14ac:dyDescent="0.2">
      <c r="A26" s="184" t="s">
        <v>286</v>
      </c>
      <c r="B26" s="102">
        <f>-B13</f>
        <v>-1000000</v>
      </c>
      <c r="C26" s="102">
        <f>C25+$B$26+C20/(1+$B$17)^C19</f>
        <v>4545.4545454544714</v>
      </c>
      <c r="D26" s="102">
        <f t="shared" ref="D26:L26" si="6">D25+$B$26+D20/(1+$B$17)^D19</f>
        <v>70661.15702479321</v>
      </c>
      <c r="E26" s="102">
        <f t="shared" si="6"/>
        <v>160067.61833208089</v>
      </c>
      <c r="F26" s="102">
        <f t="shared" si="6"/>
        <v>250771.80520456238</v>
      </c>
      <c r="G26" s="102">
        <f t="shared" si="6"/>
        <v>330845.81902627094</v>
      </c>
      <c r="H26" s="102">
        <f t="shared" si="6"/>
        <v>394502.67306629557</v>
      </c>
      <c r="I26" s="102">
        <f t="shared" si="6"/>
        <v>439630.00324675115</v>
      </c>
      <c r="J26" s="102">
        <f t="shared" si="6"/>
        <v>466248.11196882464</v>
      </c>
      <c r="K26" s="102">
        <f t="shared" si="6"/>
        <v>475553.1512976212</v>
      </c>
      <c r="L26" s="102">
        <f t="shared" si="6"/>
        <v>469329.92634437059</v>
      </c>
    </row>
    <row r="27" spans="1:12" ht="18" customHeight="1" x14ac:dyDescent="0.2">
      <c r="A27" s="183" t="s">
        <v>126</v>
      </c>
      <c r="B27" s="185"/>
      <c r="C27" s="112">
        <f>-PMT($B$17,C19,C26)</f>
        <v>4999.99999999992</v>
      </c>
      <c r="D27" s="112">
        <f t="shared" ref="D27:L27" si="7">-PMT($B$17,D19,D26)</f>
        <v>40714.285714285623</v>
      </c>
      <c r="E27" s="112">
        <f t="shared" si="7"/>
        <v>64365.558912386623</v>
      </c>
      <c r="F27" s="112">
        <f t="shared" si="7"/>
        <v>79111.182934712298</v>
      </c>
      <c r="G27" s="112">
        <f t="shared" si="7"/>
        <v>87276.293590604531</v>
      </c>
      <c r="H27" s="112">
        <f t="shared" si="7"/>
        <v>90580.725308821959</v>
      </c>
      <c r="I27" s="112">
        <f t="shared" si="7"/>
        <v>90302.420500273423</v>
      </c>
      <c r="J27" s="112">
        <f t="shared" si="7"/>
        <v>87395.419294107967</v>
      </c>
      <c r="K27" s="112">
        <f t="shared" si="7"/>
        <v>82575.305549821773</v>
      </c>
      <c r="L27" s="112">
        <f t="shared" si="7"/>
        <v>76381.284193094689</v>
      </c>
    </row>
    <row r="28" spans="1:12" ht="18" customHeight="1" x14ac:dyDescent="0.2">
      <c r="B28" s="198"/>
    </row>
    <row r="33" spans="4:4" ht="18" customHeight="1" x14ac:dyDescent="0.2">
      <c r="D33" s="203"/>
    </row>
    <row r="35" spans="4:4" ht="18" customHeight="1" x14ac:dyDescent="0.2">
      <c r="D35" s="198"/>
    </row>
  </sheetData>
  <hyperlinks>
    <hyperlink ref="B1" location="Forside!A1" display="Forside" xr:uid="{00000000-0004-0000-0F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0" zoomScaleNormal="80" workbookViewId="0">
      <selection activeCell="D26" sqref="D26"/>
    </sheetView>
  </sheetViews>
  <sheetFormatPr baseColWidth="10" defaultColWidth="24.5" defaultRowHeight="18" customHeight="1" x14ac:dyDescent="0.2"/>
  <cols>
    <col min="1" max="1" width="26.6640625" style="4" customWidth="1"/>
    <col min="2" max="7" width="17.6640625" style="4" customWidth="1"/>
    <col min="8" max="16384" width="24.5" style="4"/>
  </cols>
  <sheetData>
    <row r="1" spans="1:7" ht="18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</row>
    <row r="2" spans="1:7" ht="18" customHeight="1" x14ac:dyDescent="0.2">
      <c r="A2" s="5"/>
      <c r="B2" s="3"/>
      <c r="C2" s="6"/>
      <c r="D2" s="3"/>
      <c r="E2" s="3"/>
      <c r="F2" s="3"/>
      <c r="G2" s="3"/>
    </row>
    <row r="3" spans="1:7" ht="18" customHeight="1" x14ac:dyDescent="0.2">
      <c r="A3" s="3" t="s">
        <v>2</v>
      </c>
      <c r="B3" s="3"/>
      <c r="C3" s="3"/>
      <c r="D3" s="3"/>
      <c r="E3" s="3"/>
      <c r="F3" s="3"/>
      <c r="G3" s="3"/>
    </row>
    <row r="4" spans="1:7" ht="18" customHeight="1" x14ac:dyDescent="0.2">
      <c r="A4" s="3" t="s">
        <v>3</v>
      </c>
      <c r="B4" s="3"/>
      <c r="C4" s="3"/>
      <c r="D4" s="3"/>
      <c r="E4" s="3"/>
      <c r="F4" s="3"/>
      <c r="G4" s="3"/>
    </row>
    <row r="5" spans="1:7" ht="18" customHeight="1" x14ac:dyDescent="0.2">
      <c r="A5" s="3"/>
      <c r="B5" s="3"/>
      <c r="C5" s="7" t="s">
        <v>4</v>
      </c>
      <c r="D5" s="3"/>
      <c r="E5" s="3"/>
      <c r="F5" s="3"/>
      <c r="G5" s="3"/>
    </row>
    <row r="6" spans="1:7" ht="18" customHeight="1" x14ac:dyDescent="0.2">
      <c r="A6" s="8" t="s">
        <v>5</v>
      </c>
      <c r="B6" s="9">
        <v>1000000</v>
      </c>
      <c r="C6" s="10" t="s">
        <v>6</v>
      </c>
      <c r="D6" s="3"/>
      <c r="E6" s="3"/>
      <c r="F6" s="3"/>
      <c r="G6" s="3"/>
    </row>
    <row r="7" spans="1:7" ht="18" customHeight="1" x14ac:dyDescent="0.2">
      <c r="A7" s="8" t="s">
        <v>7</v>
      </c>
      <c r="B7" s="9">
        <v>200000</v>
      </c>
      <c r="C7" s="10" t="s">
        <v>8</v>
      </c>
      <c r="D7" s="3"/>
      <c r="E7" s="3"/>
      <c r="F7" s="3"/>
      <c r="G7" s="3"/>
    </row>
    <row r="8" spans="1:7" ht="18" customHeight="1" x14ac:dyDescent="0.2">
      <c r="A8" s="8" t="s">
        <v>9</v>
      </c>
      <c r="B8" s="11">
        <v>5</v>
      </c>
      <c r="C8" s="12"/>
      <c r="D8" s="3"/>
      <c r="E8" s="3"/>
      <c r="F8" s="3"/>
      <c r="G8" s="3"/>
    </row>
    <row r="9" spans="1:7" ht="18" customHeight="1" x14ac:dyDescent="0.2">
      <c r="A9" s="8" t="s">
        <v>10</v>
      </c>
      <c r="B9" s="9">
        <v>350000</v>
      </c>
      <c r="C9" s="10" t="s">
        <v>11</v>
      </c>
      <c r="D9" s="3"/>
      <c r="E9" s="3"/>
      <c r="F9" s="3"/>
      <c r="G9" s="3"/>
    </row>
    <row r="10" spans="1:7" ht="18" customHeight="1" x14ac:dyDescent="0.2">
      <c r="A10" s="8" t="s">
        <v>12</v>
      </c>
      <c r="B10" s="9">
        <v>100000</v>
      </c>
      <c r="C10" s="10" t="s">
        <v>11</v>
      </c>
      <c r="D10" s="3"/>
      <c r="E10" s="3"/>
      <c r="F10" s="3"/>
      <c r="G10" s="3"/>
    </row>
    <row r="11" spans="1:7" ht="18" customHeight="1" x14ac:dyDescent="0.2">
      <c r="A11" s="8" t="s">
        <v>13</v>
      </c>
      <c r="B11" s="13">
        <v>0.1</v>
      </c>
      <c r="C11" s="12"/>
      <c r="D11" s="3"/>
      <c r="E11" s="3"/>
      <c r="F11" s="3"/>
      <c r="G11" s="3"/>
    </row>
    <row r="12" spans="1:7" ht="18" customHeight="1" x14ac:dyDescent="0.2">
      <c r="A12" s="3"/>
      <c r="B12" s="3"/>
      <c r="C12" s="3"/>
      <c r="D12" s="3"/>
      <c r="E12" s="3"/>
      <c r="F12" s="3"/>
      <c r="G12" s="3"/>
    </row>
    <row r="13" spans="1:7" ht="18" customHeight="1" x14ac:dyDescent="0.2">
      <c r="A13" s="14" t="s">
        <v>14</v>
      </c>
      <c r="B13" s="3"/>
      <c r="C13" s="3"/>
      <c r="D13" s="3"/>
      <c r="E13" s="3"/>
      <c r="F13" s="3"/>
      <c r="G13" s="3"/>
    </row>
    <row r="14" spans="1:7" ht="18" customHeight="1" x14ac:dyDescent="0.2">
      <c r="A14" s="14" t="s">
        <v>15</v>
      </c>
      <c r="B14" s="14"/>
      <c r="C14" s="14"/>
      <c r="D14" s="14"/>
      <c r="E14" s="14"/>
      <c r="F14" s="3"/>
      <c r="G14" s="3"/>
    </row>
    <row r="15" spans="1:7" ht="18" customHeight="1" x14ac:dyDescent="0.2">
      <c r="A15" s="14"/>
      <c r="B15" s="14"/>
      <c r="C15" s="14"/>
      <c r="D15" s="14"/>
      <c r="E15" s="14"/>
      <c r="F15" s="3"/>
      <c r="G15" s="3"/>
    </row>
    <row r="16" spans="1:7" ht="18" customHeight="1" x14ac:dyDescent="0.2">
      <c r="A16" s="14" t="s">
        <v>16</v>
      </c>
      <c r="B16" s="14"/>
      <c r="C16" s="14"/>
      <c r="D16" s="14"/>
      <c r="E16" s="14"/>
      <c r="F16" s="3"/>
      <c r="G16" s="3"/>
    </row>
    <row r="17" spans="1:7" ht="18" customHeight="1" x14ac:dyDescent="0.2">
      <c r="A17" s="14" t="s">
        <v>17</v>
      </c>
      <c r="B17" s="14"/>
      <c r="C17" s="14"/>
      <c r="D17" s="14"/>
      <c r="E17" s="14"/>
      <c r="F17" s="3"/>
      <c r="G17" s="3"/>
    </row>
    <row r="18" spans="1:7" ht="18" customHeight="1" x14ac:dyDescent="0.2">
      <c r="A18" s="15"/>
      <c r="B18" s="15"/>
      <c r="C18" s="14"/>
      <c r="D18" s="14"/>
      <c r="E18" s="14"/>
      <c r="F18" s="3"/>
      <c r="G18" s="3"/>
    </row>
    <row r="19" spans="1:7" ht="18" customHeight="1" x14ac:dyDescent="0.2">
      <c r="A19" s="16" t="s">
        <v>18</v>
      </c>
      <c r="B19" s="17">
        <v>0</v>
      </c>
      <c r="C19" s="18">
        <v>1</v>
      </c>
      <c r="D19" s="18">
        <v>2</v>
      </c>
      <c r="E19" s="18">
        <v>3</v>
      </c>
      <c r="F19" s="18">
        <v>4</v>
      </c>
      <c r="G19" s="18">
        <v>5</v>
      </c>
    </row>
    <row r="20" spans="1:7" ht="18" customHeight="1" x14ac:dyDescent="0.2">
      <c r="A20" s="19" t="s">
        <v>5</v>
      </c>
      <c r="B20" s="20">
        <v>-1000000</v>
      </c>
      <c r="C20" s="21"/>
      <c r="D20" s="21"/>
      <c r="E20" s="21"/>
      <c r="F20" s="21"/>
      <c r="G20" s="21"/>
    </row>
    <row r="21" spans="1:7" ht="18" customHeight="1" x14ac:dyDescent="0.2">
      <c r="A21" s="19" t="s">
        <v>19</v>
      </c>
      <c r="B21" s="22"/>
      <c r="C21" s="22"/>
      <c r="D21" s="22"/>
      <c r="E21" s="22"/>
      <c r="F21" s="22"/>
      <c r="G21" s="20">
        <f>B7</f>
        <v>200000</v>
      </c>
    </row>
    <row r="22" spans="1:7" ht="18" customHeight="1" x14ac:dyDescent="0.2">
      <c r="A22" s="19" t="s">
        <v>10</v>
      </c>
      <c r="B22" s="22"/>
      <c r="C22" s="9">
        <v>350000</v>
      </c>
      <c r="D22" s="9">
        <v>350000</v>
      </c>
      <c r="E22" s="9">
        <v>350000</v>
      </c>
      <c r="F22" s="9">
        <v>350000</v>
      </c>
      <c r="G22" s="9">
        <v>350000</v>
      </c>
    </row>
    <row r="23" spans="1:7" ht="18" customHeight="1" x14ac:dyDescent="0.2">
      <c r="A23" s="19" t="s">
        <v>12</v>
      </c>
      <c r="B23" s="22"/>
      <c r="C23" s="9">
        <v>-100000</v>
      </c>
      <c r="D23" s="9">
        <v>-100000</v>
      </c>
      <c r="E23" s="9">
        <v>-100000</v>
      </c>
      <c r="F23" s="9">
        <v>-100000</v>
      </c>
      <c r="G23" s="9">
        <v>-100000</v>
      </c>
    </row>
    <row r="24" spans="1:7" ht="18" customHeight="1" x14ac:dyDescent="0.2">
      <c r="A24" s="19" t="s">
        <v>20</v>
      </c>
      <c r="B24" s="20">
        <f>B20</f>
        <v>-1000000</v>
      </c>
      <c r="C24" s="20">
        <f>SUM(C22:C23)</f>
        <v>250000</v>
      </c>
      <c r="D24" s="20">
        <f t="shared" ref="D24:F24" si="0">SUM(D22:D23)</f>
        <v>250000</v>
      </c>
      <c r="E24" s="20">
        <f t="shared" si="0"/>
        <v>250000</v>
      </c>
      <c r="F24" s="20">
        <f t="shared" si="0"/>
        <v>250000</v>
      </c>
      <c r="G24" s="20">
        <f>SUM(G21:G23)</f>
        <v>450000</v>
      </c>
    </row>
    <row r="25" spans="1:7" ht="18" customHeight="1" x14ac:dyDescent="0.2">
      <c r="A25" s="23" t="s">
        <v>21</v>
      </c>
      <c r="B25" s="24">
        <f>B24</f>
        <v>-1000000</v>
      </c>
      <c r="C25" s="24">
        <f>C24/(1.1^C19)</f>
        <v>227272.72727272726</v>
      </c>
      <c r="D25" s="24">
        <f t="shared" ref="D25:E25" si="1">D24/(1.1^D19)</f>
        <v>206611.57024793385</v>
      </c>
      <c r="E25" s="24">
        <f t="shared" si="1"/>
        <v>187828.70022539439</v>
      </c>
      <c r="F25" s="24">
        <f t="shared" ref="F25" si="2">F24/(1.1^F19)</f>
        <v>170753.36384126762</v>
      </c>
      <c r="G25" s="24">
        <f>(G24/((1+0.1)^G19))</f>
        <v>279414.59537661972</v>
      </c>
    </row>
    <row r="26" spans="1:7" ht="18" customHeight="1" x14ac:dyDescent="0.2">
      <c r="A26" s="25" t="s">
        <v>22</v>
      </c>
      <c r="B26" s="26">
        <f>SUM(C25:G25)+B25</f>
        <v>71880.956963942852</v>
      </c>
    </row>
    <row r="27" spans="1:7" ht="18" customHeight="1" x14ac:dyDescent="0.2">
      <c r="A27" s="25" t="s">
        <v>23</v>
      </c>
      <c r="B27" s="27">
        <f>NPV(B11,C24:G24)+B25</f>
        <v>71880.956963942852</v>
      </c>
    </row>
  </sheetData>
  <hyperlinks>
    <hyperlink ref="B1" location="Forside!A1" display="Forsid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9"/>
  <sheetViews>
    <sheetView topLeftCell="A33" zoomScale="80" zoomScaleNormal="80" workbookViewId="0">
      <selection activeCell="B46" sqref="B46"/>
    </sheetView>
  </sheetViews>
  <sheetFormatPr baseColWidth="10" defaultColWidth="24.5" defaultRowHeight="18" customHeight="1" x14ac:dyDescent="0.2"/>
  <cols>
    <col min="1" max="1" width="26.5" style="4" customWidth="1"/>
    <col min="2" max="2" width="17.6640625" style="4" customWidth="1"/>
    <col min="3" max="3" width="15.6640625" style="4" customWidth="1"/>
    <col min="4" max="4" width="15.5" style="4" customWidth="1"/>
    <col min="5" max="5" width="15" style="4" customWidth="1"/>
    <col min="6" max="7" width="14.83203125" style="4" customWidth="1"/>
    <col min="8" max="16384" width="24.5" style="4"/>
  </cols>
  <sheetData>
    <row r="1" spans="1:3" ht="18" customHeight="1" x14ac:dyDescent="0.2">
      <c r="A1" s="4" t="s">
        <v>24</v>
      </c>
      <c r="B1" s="2" t="s">
        <v>1</v>
      </c>
    </row>
    <row r="3" spans="1:3" ht="18" customHeight="1" x14ac:dyDescent="0.2">
      <c r="A3" s="4" t="s">
        <v>25</v>
      </c>
    </row>
    <row r="5" spans="1:3" ht="18" customHeight="1" x14ac:dyDescent="0.2">
      <c r="A5" s="28" t="s">
        <v>5</v>
      </c>
      <c r="B5" s="29">
        <v>1400000</v>
      </c>
    </row>
    <row r="6" spans="1:3" ht="18" customHeight="1" x14ac:dyDescent="0.2">
      <c r="A6" s="28" t="s">
        <v>7</v>
      </c>
      <c r="B6" s="29">
        <v>250000</v>
      </c>
    </row>
    <row r="7" spans="1:3" ht="18" customHeight="1" x14ac:dyDescent="0.2">
      <c r="A7" s="28" t="s">
        <v>26</v>
      </c>
      <c r="B7" s="28">
        <v>5</v>
      </c>
      <c r="C7" s="4" t="s">
        <v>27</v>
      </c>
    </row>
    <row r="8" spans="1:3" ht="18" customHeight="1" x14ac:dyDescent="0.2">
      <c r="A8" s="28" t="s">
        <v>28</v>
      </c>
      <c r="B8" s="29">
        <v>400000</v>
      </c>
      <c r="C8" s="4" t="s">
        <v>29</v>
      </c>
    </row>
    <row r="9" spans="1:3" ht="18" customHeight="1" x14ac:dyDescent="0.2">
      <c r="A9" s="28" t="s">
        <v>30</v>
      </c>
      <c r="B9" s="29">
        <v>200000</v>
      </c>
      <c r="C9" s="4" t="s">
        <v>31</v>
      </c>
    </row>
    <row r="10" spans="1:3" ht="18" customHeight="1" x14ac:dyDescent="0.2">
      <c r="A10" s="28" t="s">
        <v>32</v>
      </c>
      <c r="B10" s="28">
        <v>700</v>
      </c>
      <c r="C10" s="4" t="s">
        <v>33</v>
      </c>
    </row>
    <row r="11" spans="1:3" ht="18" customHeight="1" x14ac:dyDescent="0.2">
      <c r="A11" s="28" t="s">
        <v>34</v>
      </c>
      <c r="B11" s="29">
        <v>1000</v>
      </c>
      <c r="C11" s="4" t="s">
        <v>35</v>
      </c>
    </row>
    <row r="12" spans="1:3" ht="18" customHeight="1" x14ac:dyDescent="0.2">
      <c r="A12" s="28" t="s">
        <v>36</v>
      </c>
      <c r="B12" s="29">
        <v>1500</v>
      </c>
      <c r="C12" s="4" t="s">
        <v>33</v>
      </c>
    </row>
    <row r="13" spans="1:3" ht="18" customHeight="1" x14ac:dyDescent="0.2">
      <c r="A13" s="28" t="s">
        <v>10</v>
      </c>
      <c r="B13" s="29">
        <f>B12*B11</f>
        <v>1500000</v>
      </c>
      <c r="C13" s="4" t="s">
        <v>37</v>
      </c>
    </row>
    <row r="14" spans="1:3" ht="18" customHeight="1" x14ac:dyDescent="0.2">
      <c r="A14" s="28" t="s">
        <v>12</v>
      </c>
      <c r="B14" s="29">
        <f>B10*B11</f>
        <v>700000</v>
      </c>
      <c r="C14" s="4" t="s">
        <v>38</v>
      </c>
    </row>
    <row r="15" spans="1:3" ht="18" customHeight="1" x14ac:dyDescent="0.2">
      <c r="A15" s="30" t="s">
        <v>39</v>
      </c>
      <c r="B15" s="31">
        <v>0.12</v>
      </c>
    </row>
    <row r="17" spans="1:7" ht="18" customHeight="1" x14ac:dyDescent="0.2">
      <c r="A17" s="32" t="s">
        <v>40</v>
      </c>
    </row>
    <row r="18" spans="1:7" ht="18" customHeight="1" x14ac:dyDescent="0.2">
      <c r="A18" s="32" t="s">
        <v>41</v>
      </c>
    </row>
    <row r="19" spans="1:7" ht="18" customHeight="1" x14ac:dyDescent="0.2">
      <c r="A19" s="33" t="s">
        <v>312</v>
      </c>
    </row>
    <row r="20" spans="1:7" ht="18" customHeight="1" x14ac:dyDescent="0.2">
      <c r="A20" s="33" t="s">
        <v>313</v>
      </c>
    </row>
    <row r="22" spans="1:7" ht="18" customHeight="1" x14ac:dyDescent="0.2">
      <c r="A22" s="34" t="s">
        <v>18</v>
      </c>
      <c r="B22" s="35">
        <v>0</v>
      </c>
      <c r="C22" s="35">
        <v>1</v>
      </c>
      <c r="D22" s="35">
        <v>2</v>
      </c>
      <c r="E22" s="35">
        <v>3</v>
      </c>
      <c r="F22" s="35">
        <v>4</v>
      </c>
      <c r="G22" s="35">
        <v>5</v>
      </c>
    </row>
    <row r="23" spans="1:7" ht="18" customHeight="1" x14ac:dyDescent="0.2">
      <c r="A23" s="36" t="s">
        <v>5</v>
      </c>
      <c r="B23" s="37">
        <f>-B5</f>
        <v>-1400000</v>
      </c>
      <c r="C23" s="38"/>
      <c r="D23" s="38"/>
      <c r="E23" s="38"/>
      <c r="F23" s="38"/>
      <c r="G23" s="38"/>
    </row>
    <row r="24" spans="1:7" ht="18" customHeight="1" x14ac:dyDescent="0.2">
      <c r="A24" s="36" t="s">
        <v>7</v>
      </c>
      <c r="B24" s="38"/>
      <c r="C24" s="38"/>
      <c r="D24" s="38"/>
      <c r="E24" s="38"/>
      <c r="F24" s="38"/>
      <c r="G24" s="37">
        <f>B6</f>
        <v>250000</v>
      </c>
    </row>
    <row r="25" spans="1:7" ht="18" customHeight="1" x14ac:dyDescent="0.2">
      <c r="A25" s="36" t="s">
        <v>28</v>
      </c>
      <c r="B25" s="38"/>
      <c r="C25" s="37">
        <f>-B8</f>
        <v>-400000</v>
      </c>
      <c r="D25" s="37">
        <f>-B8</f>
        <v>-400000</v>
      </c>
      <c r="E25" s="38"/>
      <c r="F25" s="38"/>
      <c r="G25" s="38"/>
    </row>
    <row r="26" spans="1:7" ht="18" customHeight="1" x14ac:dyDescent="0.2">
      <c r="A26" s="36" t="s">
        <v>42</v>
      </c>
      <c r="B26" s="38"/>
      <c r="C26" s="37">
        <f>-B9</f>
        <v>-200000</v>
      </c>
      <c r="D26" s="37">
        <f>C26</f>
        <v>-200000</v>
      </c>
      <c r="E26" s="37">
        <f t="shared" ref="E26:F26" si="0">D26</f>
        <v>-200000</v>
      </c>
      <c r="F26" s="37">
        <f t="shared" si="0"/>
        <v>-200000</v>
      </c>
      <c r="G26" s="37">
        <f>F26</f>
        <v>-200000</v>
      </c>
    </row>
    <row r="27" spans="1:7" ht="18" customHeight="1" x14ac:dyDescent="0.2">
      <c r="A27" s="36" t="s">
        <v>43</v>
      </c>
      <c r="B27" s="38"/>
      <c r="C27" s="37">
        <f>B13</f>
        <v>1500000</v>
      </c>
      <c r="D27" s="37">
        <f>C27</f>
        <v>1500000</v>
      </c>
      <c r="E27" s="37">
        <f t="shared" ref="E27:G27" si="1">D27</f>
        <v>1500000</v>
      </c>
      <c r="F27" s="37">
        <f t="shared" si="1"/>
        <v>1500000</v>
      </c>
      <c r="G27" s="37">
        <f t="shared" si="1"/>
        <v>1500000</v>
      </c>
    </row>
    <row r="28" spans="1:7" ht="18" customHeight="1" x14ac:dyDescent="0.2">
      <c r="A28" s="36" t="s">
        <v>12</v>
      </c>
      <c r="B28" s="38"/>
      <c r="C28" s="37">
        <f>-B14</f>
        <v>-700000</v>
      </c>
      <c r="D28" s="37">
        <f>C28</f>
        <v>-700000</v>
      </c>
      <c r="E28" s="37">
        <f t="shared" ref="E28:G28" si="2">D28</f>
        <v>-700000</v>
      </c>
      <c r="F28" s="37">
        <f t="shared" si="2"/>
        <v>-700000</v>
      </c>
      <c r="G28" s="37">
        <f t="shared" si="2"/>
        <v>-700000</v>
      </c>
    </row>
    <row r="29" spans="1:7" ht="18" customHeight="1" x14ac:dyDescent="0.2">
      <c r="A29" s="36" t="s">
        <v>20</v>
      </c>
      <c r="B29" s="37">
        <f>SUM(B23:B28)</f>
        <v>-1400000</v>
      </c>
      <c r="C29" s="37">
        <f t="shared" ref="C29:G29" si="3">SUM(C23:C28)</f>
        <v>200000</v>
      </c>
      <c r="D29" s="37">
        <f t="shared" si="3"/>
        <v>200000</v>
      </c>
      <c r="E29" s="37">
        <f t="shared" si="3"/>
        <v>600000</v>
      </c>
      <c r="F29" s="37">
        <f t="shared" si="3"/>
        <v>600000</v>
      </c>
      <c r="G29" s="37">
        <f t="shared" si="3"/>
        <v>850000</v>
      </c>
    </row>
    <row r="30" spans="1:7" ht="18" customHeight="1" x14ac:dyDescent="0.2">
      <c r="A30" s="25" t="s">
        <v>44</v>
      </c>
      <c r="B30" s="26">
        <f>NPV(B15,C29:G29)+B29</f>
        <v>228702.02717338712</v>
      </c>
    </row>
    <row r="32" spans="1:7" ht="18" customHeight="1" x14ac:dyDescent="0.2">
      <c r="A32" s="32" t="s">
        <v>45</v>
      </c>
    </row>
    <row r="33" spans="1:2" ht="18" customHeight="1" x14ac:dyDescent="0.2">
      <c r="A33" s="32" t="s">
        <v>46</v>
      </c>
    </row>
    <row r="34" spans="1:2" ht="18" customHeight="1" x14ac:dyDescent="0.2">
      <c r="A34" s="32" t="s">
        <v>47</v>
      </c>
    </row>
    <row r="35" spans="1:2" ht="18" customHeight="1" x14ac:dyDescent="0.2">
      <c r="A35" s="33" t="s">
        <v>314</v>
      </c>
    </row>
    <row r="36" spans="1:2" ht="18" customHeight="1" x14ac:dyDescent="0.2">
      <c r="A36" s="33" t="s">
        <v>315</v>
      </c>
    </row>
    <row r="38" spans="1:2" ht="18" customHeight="1" x14ac:dyDescent="0.2">
      <c r="A38" s="39" t="s">
        <v>48</v>
      </c>
      <c r="B38" s="40">
        <f>-PMT(B15,B7,B30)</f>
        <v>63444.168052543806</v>
      </c>
    </row>
    <row r="40" spans="1:2" ht="18" customHeight="1" x14ac:dyDescent="0.2">
      <c r="A40" s="32" t="s">
        <v>49</v>
      </c>
    </row>
    <row r="41" spans="1:2" ht="18" customHeight="1" x14ac:dyDescent="0.2">
      <c r="A41" s="32" t="s">
        <v>50</v>
      </c>
    </row>
    <row r="42" spans="1:2" ht="18" customHeight="1" x14ac:dyDescent="0.2">
      <c r="A42" s="32" t="s">
        <v>51</v>
      </c>
    </row>
    <row r="43" spans="1:2" ht="18" customHeight="1" x14ac:dyDescent="0.2">
      <c r="A43" s="33" t="s">
        <v>316</v>
      </c>
    </row>
    <row r="44" spans="1:2" ht="18" customHeight="1" x14ac:dyDescent="0.2">
      <c r="A44" s="33" t="s">
        <v>317</v>
      </c>
    </row>
    <row r="46" spans="1:2" ht="18" customHeight="1" x14ac:dyDescent="0.2">
      <c r="A46" s="39" t="s">
        <v>52</v>
      </c>
      <c r="B46" s="41">
        <f>IRR(B29:G29)</f>
        <v>0.16989041306278829</v>
      </c>
    </row>
    <row r="47" spans="1:2" ht="18" customHeight="1" x14ac:dyDescent="0.2">
      <c r="A47" s="4" t="s">
        <v>311</v>
      </c>
    </row>
    <row r="48" spans="1:2" ht="18" customHeight="1" x14ac:dyDescent="0.2">
      <c r="A48" s="32" t="s">
        <v>53</v>
      </c>
    </row>
    <row r="49" spans="1:7" ht="18" customHeight="1" x14ac:dyDescent="0.2">
      <c r="A49" s="32" t="s">
        <v>54</v>
      </c>
    </row>
    <row r="50" spans="1:7" ht="18" customHeight="1" x14ac:dyDescent="0.2">
      <c r="A50" s="32" t="s">
        <v>55</v>
      </c>
    </row>
    <row r="51" spans="1:7" ht="18" customHeight="1" x14ac:dyDescent="0.2">
      <c r="A51" s="33" t="s">
        <v>318</v>
      </c>
    </row>
    <row r="52" spans="1:7" ht="18" customHeight="1" x14ac:dyDescent="0.2">
      <c r="A52" s="33" t="s">
        <v>319</v>
      </c>
    </row>
    <row r="54" spans="1:7" ht="18" customHeight="1" x14ac:dyDescent="0.2">
      <c r="A54" s="42" t="s">
        <v>18</v>
      </c>
      <c r="B54" s="43">
        <v>0</v>
      </c>
      <c r="C54" s="43">
        <v>1</v>
      </c>
      <c r="D54" s="43">
        <v>2</v>
      </c>
      <c r="E54" s="43">
        <v>3</v>
      </c>
      <c r="F54" s="43">
        <v>4</v>
      </c>
      <c r="G54" s="43">
        <v>5</v>
      </c>
    </row>
    <row r="55" spans="1:7" ht="18" customHeight="1" x14ac:dyDescent="0.2">
      <c r="A55" s="36" t="s">
        <v>56</v>
      </c>
      <c r="B55" s="37">
        <f>B29/1.1^B54</f>
        <v>-1400000</v>
      </c>
      <c r="C55" s="37">
        <f>C29/1.12^C54</f>
        <v>178571.42857142855</v>
      </c>
      <c r="D55" s="37">
        <f t="shared" ref="D55:G55" si="4">D29/1.12^D54</f>
        <v>159438.77551020405</v>
      </c>
      <c r="E55" s="37">
        <f t="shared" si="4"/>
        <v>427068.14868804655</v>
      </c>
      <c r="F55" s="37">
        <f t="shared" si="4"/>
        <v>381310.84704289871</v>
      </c>
      <c r="G55" s="37">
        <f t="shared" si="4"/>
        <v>482312.82736080937</v>
      </c>
    </row>
    <row r="56" spans="1:7" ht="18" customHeight="1" x14ac:dyDescent="0.2">
      <c r="A56" s="36" t="s">
        <v>57</v>
      </c>
      <c r="B56" s="37">
        <f>B55</f>
        <v>-1400000</v>
      </c>
      <c r="C56" s="37">
        <f>B56+C55</f>
        <v>-1221428.5714285714</v>
      </c>
      <c r="D56" s="37">
        <f t="shared" ref="D56:G56" si="5">C56+D55</f>
        <v>-1061989.7959183673</v>
      </c>
      <c r="E56" s="37">
        <f>D56+E55</f>
        <v>-634921.64723032084</v>
      </c>
      <c r="F56" s="37">
        <f t="shared" si="5"/>
        <v>-253610.80018742214</v>
      </c>
      <c r="G56" s="37">
        <f t="shared" si="5"/>
        <v>228702.02717338724</v>
      </c>
    </row>
    <row r="58" spans="1:7" ht="18" customHeight="1" x14ac:dyDescent="0.2">
      <c r="A58" s="4" t="s">
        <v>58</v>
      </c>
    </row>
    <row r="60" spans="1:7" ht="18" customHeight="1" x14ac:dyDescent="0.2">
      <c r="A60" s="32" t="s">
        <v>59</v>
      </c>
    </row>
    <row r="61" spans="1:7" ht="18" customHeight="1" x14ac:dyDescent="0.2">
      <c r="A61" s="32"/>
    </row>
    <row r="62" spans="1:7" ht="18" customHeight="1" x14ac:dyDescent="0.2">
      <c r="A62" s="44" t="s">
        <v>60</v>
      </c>
      <c r="B62" s="4" t="s">
        <v>61</v>
      </c>
      <c r="D62" s="45">
        <f>F54+((0-F56)/(G56-F56))*(G54-F54)</f>
        <v>4.5258222170352944</v>
      </c>
      <c r="E62" s="4" t="s">
        <v>62</v>
      </c>
      <c r="F62" s="46">
        <v>4</v>
      </c>
      <c r="G62" s="47" t="s">
        <v>63</v>
      </c>
    </row>
    <row r="63" spans="1:7" ht="18" customHeight="1" x14ac:dyDescent="0.2">
      <c r="E63" s="47"/>
      <c r="F63" s="48">
        <f>365*0.526</f>
        <v>191.99</v>
      </c>
      <c r="G63" s="47" t="s">
        <v>64</v>
      </c>
    </row>
    <row r="64" spans="1:7" ht="18" customHeight="1" x14ac:dyDescent="0.2">
      <c r="A64" s="4" t="s">
        <v>65</v>
      </c>
    </row>
    <row r="65" spans="1:1" ht="18" customHeight="1" x14ac:dyDescent="0.2">
      <c r="A65" s="4" t="s">
        <v>66</v>
      </c>
    </row>
    <row r="66" spans="1:1" ht="18" customHeight="1" x14ac:dyDescent="0.2">
      <c r="A66" s="4" t="s">
        <v>67</v>
      </c>
    </row>
    <row r="67" spans="1:1" ht="18" customHeight="1" x14ac:dyDescent="0.2">
      <c r="A67" s="4" t="s">
        <v>68</v>
      </c>
    </row>
    <row r="69" spans="1:1" ht="18" customHeight="1" x14ac:dyDescent="0.2">
      <c r="A69" s="32"/>
    </row>
  </sheetData>
  <hyperlinks>
    <hyperlink ref="B1" location="Forside!A1" display="Forside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zoomScale="80" zoomScaleNormal="80" workbookViewId="0">
      <selection activeCell="A31" sqref="A31"/>
    </sheetView>
  </sheetViews>
  <sheetFormatPr baseColWidth="10" defaultColWidth="24.5" defaultRowHeight="18" customHeight="1" x14ac:dyDescent="0.2"/>
  <cols>
    <col min="1" max="1" width="24.5" style="4"/>
    <col min="2" max="9" width="14.83203125" style="4" customWidth="1"/>
    <col min="10" max="10" width="17.6640625" style="4" customWidth="1"/>
    <col min="11" max="16384" width="24.5" style="4"/>
  </cols>
  <sheetData>
    <row r="1" spans="1:5" ht="18" customHeight="1" x14ac:dyDescent="0.2">
      <c r="A1" s="4" t="s">
        <v>69</v>
      </c>
      <c r="B1" s="2" t="s">
        <v>1</v>
      </c>
    </row>
    <row r="3" spans="1:5" ht="18" customHeight="1" x14ac:dyDescent="0.2">
      <c r="A3" s="49" t="s">
        <v>70</v>
      </c>
      <c r="B3" s="49"/>
      <c r="C3" s="49"/>
      <c r="D3" s="49"/>
      <c r="E3" s="49"/>
    </row>
    <row r="4" spans="1:5" ht="18" customHeight="1" x14ac:dyDescent="0.2">
      <c r="A4" s="50" t="s">
        <v>71</v>
      </c>
      <c r="B4" s="50"/>
      <c r="C4" s="50"/>
      <c r="D4" s="49"/>
      <c r="E4" s="49"/>
    </row>
    <row r="5" spans="1:5" ht="18" customHeight="1" x14ac:dyDescent="0.2">
      <c r="A5" s="50"/>
      <c r="B5" s="50"/>
      <c r="C5" s="50"/>
      <c r="D5" s="49"/>
      <c r="E5" s="49"/>
    </row>
    <row r="6" spans="1:5" ht="18" customHeight="1" x14ac:dyDescent="0.2">
      <c r="A6" s="51" t="s">
        <v>72</v>
      </c>
      <c r="B6" s="52">
        <v>10000000</v>
      </c>
      <c r="C6" s="50"/>
      <c r="D6" s="50"/>
    </row>
    <row r="7" spans="1:5" ht="18" customHeight="1" x14ac:dyDescent="0.2">
      <c r="A7" s="51" t="s">
        <v>9</v>
      </c>
      <c r="B7" s="52">
        <v>6</v>
      </c>
      <c r="C7" s="50"/>
      <c r="D7" s="50"/>
    </row>
    <row r="8" spans="1:5" ht="18" customHeight="1" x14ac:dyDescent="0.2">
      <c r="A8" s="51" t="s">
        <v>7</v>
      </c>
      <c r="B8" s="52">
        <v>800000</v>
      </c>
      <c r="C8" s="50"/>
      <c r="D8" s="50"/>
    </row>
    <row r="9" spans="1:5" ht="18" customHeight="1" x14ac:dyDescent="0.2">
      <c r="A9" s="51" t="s">
        <v>28</v>
      </c>
      <c r="B9" s="52">
        <f>3000000</f>
        <v>3000000</v>
      </c>
      <c r="C9" s="50" t="s">
        <v>73</v>
      </c>
      <c r="D9" s="50"/>
    </row>
    <row r="10" spans="1:5" ht="18" customHeight="1" x14ac:dyDescent="0.2">
      <c r="A10" s="51" t="s">
        <v>74</v>
      </c>
      <c r="B10" s="52">
        <f>2000000</f>
        <v>2000000</v>
      </c>
      <c r="C10" s="50" t="s">
        <v>75</v>
      </c>
      <c r="D10" s="50"/>
    </row>
    <row r="11" spans="1:5" ht="18" customHeight="1" x14ac:dyDescent="0.2">
      <c r="A11" s="53" t="s">
        <v>32</v>
      </c>
      <c r="B11" s="53">
        <v>450</v>
      </c>
      <c r="C11" s="50" t="s">
        <v>76</v>
      </c>
      <c r="D11" s="50"/>
    </row>
    <row r="12" spans="1:5" ht="18" customHeight="1" x14ac:dyDescent="0.2">
      <c r="A12" s="51" t="s">
        <v>77</v>
      </c>
      <c r="B12" s="51">
        <v>700</v>
      </c>
      <c r="C12" s="50" t="s">
        <v>78</v>
      </c>
      <c r="D12" s="50"/>
    </row>
    <row r="13" spans="1:5" ht="18" customHeight="1" x14ac:dyDescent="0.2">
      <c r="A13" s="51" t="s">
        <v>79</v>
      </c>
      <c r="B13" s="51">
        <v>500</v>
      </c>
      <c r="C13" s="50" t="s">
        <v>80</v>
      </c>
      <c r="D13" s="50"/>
    </row>
    <row r="14" spans="1:5" ht="18" customHeight="1" x14ac:dyDescent="0.2">
      <c r="A14" s="53" t="s">
        <v>81</v>
      </c>
      <c r="B14" s="54">
        <v>28012.900602294805</v>
      </c>
      <c r="C14" s="55"/>
      <c r="D14" s="50"/>
    </row>
    <row r="15" spans="1:5" ht="18" customHeight="1" x14ac:dyDescent="0.2">
      <c r="A15" s="53" t="s">
        <v>39</v>
      </c>
      <c r="B15" s="56">
        <v>0.15</v>
      </c>
      <c r="C15" s="50"/>
    </row>
    <row r="17" spans="1:8" ht="18" customHeight="1" x14ac:dyDescent="0.2">
      <c r="A17" s="57" t="s">
        <v>82</v>
      </c>
      <c r="B17" s="49"/>
      <c r="C17" s="49"/>
      <c r="D17" s="49"/>
      <c r="E17" s="49"/>
      <c r="F17" s="49"/>
      <c r="G17" s="49"/>
    </row>
    <row r="18" spans="1:8" ht="18" customHeight="1" x14ac:dyDescent="0.2">
      <c r="A18" s="57" t="s">
        <v>83</v>
      </c>
      <c r="B18" s="49"/>
      <c r="C18" s="49"/>
      <c r="D18" s="49"/>
      <c r="E18" s="49"/>
      <c r="F18" s="49"/>
      <c r="G18" s="49"/>
    </row>
    <row r="19" spans="1:8" ht="18" customHeight="1" x14ac:dyDescent="0.2">
      <c r="A19" s="57" t="s">
        <v>84</v>
      </c>
      <c r="B19" s="49"/>
      <c r="C19" s="49"/>
      <c r="D19" s="49"/>
      <c r="E19" s="49"/>
      <c r="F19" s="49"/>
      <c r="G19" s="49"/>
    </row>
    <row r="20" spans="1:8" ht="18" customHeight="1" x14ac:dyDescent="0.2">
      <c r="A20" s="57" t="s">
        <v>85</v>
      </c>
      <c r="B20" s="49"/>
      <c r="C20" s="49"/>
      <c r="D20" s="49"/>
      <c r="E20" s="49"/>
      <c r="F20" s="49"/>
      <c r="G20" s="49"/>
    </row>
    <row r="21" spans="1:8" ht="18" customHeight="1" x14ac:dyDescent="0.2">
      <c r="A21" s="57"/>
      <c r="B21" s="49"/>
      <c r="C21" s="49"/>
      <c r="D21" s="49"/>
      <c r="E21" s="49"/>
      <c r="F21" s="49"/>
      <c r="G21" s="49"/>
    </row>
    <row r="22" spans="1:8" ht="18" customHeight="1" x14ac:dyDescent="0.2">
      <c r="A22" s="58" t="s">
        <v>18</v>
      </c>
      <c r="B22" s="58">
        <v>0</v>
      </c>
      <c r="C22" s="58">
        <v>1</v>
      </c>
      <c r="D22" s="58">
        <v>2</v>
      </c>
      <c r="E22" s="58">
        <v>3</v>
      </c>
      <c r="F22" s="58">
        <v>4</v>
      </c>
      <c r="G22" s="59">
        <v>5</v>
      </c>
      <c r="H22" s="59">
        <v>6</v>
      </c>
    </row>
    <row r="23" spans="1:8" ht="18" customHeight="1" x14ac:dyDescent="0.2">
      <c r="A23" s="60" t="s">
        <v>72</v>
      </c>
      <c r="B23" s="61">
        <f>-B6</f>
        <v>-10000000</v>
      </c>
      <c r="C23" s="62"/>
      <c r="D23" s="62"/>
      <c r="E23" s="62"/>
      <c r="F23" s="62"/>
      <c r="G23" s="63"/>
      <c r="H23" s="63"/>
    </row>
    <row r="24" spans="1:8" ht="18" customHeight="1" x14ac:dyDescent="0.2">
      <c r="A24" s="60" t="s">
        <v>7</v>
      </c>
      <c r="B24" s="61"/>
      <c r="C24" s="62"/>
      <c r="D24" s="62"/>
      <c r="E24" s="62"/>
      <c r="F24" s="62"/>
      <c r="G24" s="63"/>
      <c r="H24" s="64">
        <f>B8</f>
        <v>800000</v>
      </c>
    </row>
    <row r="25" spans="1:8" ht="18" customHeight="1" x14ac:dyDescent="0.2">
      <c r="A25" s="60" t="s">
        <v>28</v>
      </c>
      <c r="B25" s="62"/>
      <c r="C25" s="61">
        <f>-B9</f>
        <v>-3000000</v>
      </c>
      <c r="D25" s="61">
        <f>-B10</f>
        <v>-2000000</v>
      </c>
      <c r="E25" s="61">
        <f>D25</f>
        <v>-2000000</v>
      </c>
      <c r="F25" s="61">
        <f t="shared" ref="F25:H25" si="0">E25</f>
        <v>-2000000</v>
      </c>
      <c r="G25" s="61">
        <f t="shared" si="0"/>
        <v>-2000000</v>
      </c>
      <c r="H25" s="64">
        <f t="shared" si="0"/>
        <v>-2000000</v>
      </c>
    </row>
    <row r="26" spans="1:8" ht="18" customHeight="1" x14ac:dyDescent="0.2">
      <c r="A26" s="60" t="s">
        <v>10</v>
      </c>
      <c r="B26" s="62"/>
      <c r="C26" s="61">
        <f>B14*B12</f>
        <v>19609030.421606362</v>
      </c>
      <c r="D26" s="61">
        <f>C26</f>
        <v>19609030.421606362</v>
      </c>
      <c r="E26" s="61">
        <f>D26</f>
        <v>19609030.421606362</v>
      </c>
      <c r="F26" s="61">
        <f>B14*B13</f>
        <v>14006450.301147403</v>
      </c>
      <c r="G26" s="61">
        <f t="shared" ref="G26:H26" si="1">F26</f>
        <v>14006450.301147403</v>
      </c>
      <c r="H26" s="61">
        <f t="shared" si="1"/>
        <v>14006450.301147403</v>
      </c>
    </row>
    <row r="27" spans="1:8" ht="18" customHeight="1" x14ac:dyDescent="0.2">
      <c r="A27" s="60" t="s">
        <v>12</v>
      </c>
      <c r="B27" s="62"/>
      <c r="C27" s="61">
        <f>-B11*B14</f>
        <v>-12605805.271032663</v>
      </c>
      <c r="D27" s="61">
        <f>C27</f>
        <v>-12605805.271032663</v>
      </c>
      <c r="E27" s="61">
        <f t="shared" ref="E27:H27" si="2">D27</f>
        <v>-12605805.271032663</v>
      </c>
      <c r="F27" s="61">
        <f t="shared" si="2"/>
        <v>-12605805.271032663</v>
      </c>
      <c r="G27" s="61">
        <f t="shared" si="2"/>
        <v>-12605805.271032663</v>
      </c>
      <c r="H27" s="61">
        <f t="shared" si="2"/>
        <v>-12605805.271032663</v>
      </c>
    </row>
    <row r="28" spans="1:8" ht="18" customHeight="1" x14ac:dyDescent="0.2">
      <c r="A28" s="60" t="s">
        <v>20</v>
      </c>
      <c r="B28" s="61">
        <f>SUM(B23:B27)</f>
        <v>-10000000</v>
      </c>
      <c r="C28" s="61">
        <f t="shared" ref="C28:H28" si="3">SUM(C23:C27)</f>
        <v>4003225.1505736988</v>
      </c>
      <c r="D28" s="61">
        <f t="shared" si="3"/>
        <v>5003225.1505736988</v>
      </c>
      <c r="E28" s="61">
        <f t="shared" si="3"/>
        <v>5003225.1505736988</v>
      </c>
      <c r="F28" s="61">
        <f t="shared" si="3"/>
        <v>-599354.96988525987</v>
      </c>
      <c r="G28" s="61">
        <f t="shared" si="3"/>
        <v>-599354.96988525987</v>
      </c>
      <c r="H28" s="61">
        <f t="shared" si="3"/>
        <v>200645.03011474013</v>
      </c>
    </row>
    <row r="29" spans="1:8" ht="18" customHeight="1" x14ac:dyDescent="0.2">
      <c r="A29" s="25" t="s">
        <v>44</v>
      </c>
      <c r="B29" s="26">
        <f>NPV(B15,C28:H28)+B28</f>
        <v>0</v>
      </c>
    </row>
    <row r="31" spans="1:8" ht="18" customHeight="1" x14ac:dyDescent="0.2">
      <c r="A31" s="4" t="s">
        <v>320</v>
      </c>
    </row>
  </sheetData>
  <hyperlinks>
    <hyperlink ref="B1" location="Forside!A1" display="Forside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35" zoomScale="80" zoomScaleNormal="80" workbookViewId="0">
      <selection activeCell="D25" sqref="D25"/>
    </sheetView>
  </sheetViews>
  <sheetFormatPr baseColWidth="10" defaultColWidth="24.5" defaultRowHeight="18" customHeight="1" x14ac:dyDescent="0.2"/>
  <cols>
    <col min="1" max="1" width="33.33203125" style="4" customWidth="1"/>
    <col min="2" max="10" width="14.83203125" style="4" customWidth="1"/>
    <col min="11" max="16384" width="24.5" style="4"/>
  </cols>
  <sheetData>
    <row r="1" spans="1:10" ht="18" customHeight="1" x14ac:dyDescent="0.2">
      <c r="A1" s="4" t="s">
        <v>86</v>
      </c>
      <c r="B1" s="2" t="s">
        <v>1</v>
      </c>
    </row>
    <row r="3" spans="1:10" ht="18" customHeight="1" x14ac:dyDescent="0.2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</row>
    <row r="4" spans="1:10" ht="18" customHeight="1" x14ac:dyDescent="0.2">
      <c r="A4" s="65" t="s">
        <v>88</v>
      </c>
      <c r="B4" s="65"/>
      <c r="C4" s="65"/>
      <c r="D4" s="65"/>
      <c r="E4" s="65"/>
      <c r="F4" s="65"/>
      <c r="G4" s="65"/>
      <c r="H4" s="65"/>
      <c r="I4" s="65"/>
      <c r="J4" s="65"/>
    </row>
    <row r="5" spans="1:10" ht="18" customHeight="1" x14ac:dyDescent="0.2">
      <c r="A5" s="66"/>
      <c r="B5" s="66"/>
      <c r="C5" s="66"/>
      <c r="D5" s="66"/>
      <c r="E5" s="66"/>
      <c r="F5" s="66"/>
      <c r="G5" s="66"/>
      <c r="H5" s="66"/>
      <c r="I5" s="66"/>
    </row>
    <row r="6" spans="1:10" ht="18" customHeight="1" x14ac:dyDescent="0.2">
      <c r="A6" s="51" t="s">
        <v>89</v>
      </c>
      <c r="B6" s="52">
        <v>700000</v>
      </c>
      <c r="C6" s="66" t="s">
        <v>90</v>
      </c>
      <c r="D6" s="66"/>
      <c r="E6" s="66"/>
      <c r="F6" s="66"/>
      <c r="G6" s="66"/>
      <c r="H6" s="66"/>
      <c r="I6" s="66"/>
    </row>
    <row r="7" spans="1:10" ht="18" customHeight="1" x14ac:dyDescent="0.2">
      <c r="A7" s="51" t="s">
        <v>91</v>
      </c>
      <c r="B7" s="52">
        <v>350000</v>
      </c>
      <c r="C7" s="66" t="s">
        <v>92</v>
      </c>
      <c r="D7" s="66"/>
      <c r="E7" s="66"/>
      <c r="F7" s="66"/>
      <c r="G7" s="66"/>
      <c r="H7" s="66"/>
      <c r="I7" s="66"/>
    </row>
    <row r="8" spans="1:10" ht="18" customHeight="1" x14ac:dyDescent="0.2">
      <c r="A8" s="51" t="s">
        <v>9</v>
      </c>
      <c r="B8" s="52">
        <v>6</v>
      </c>
      <c r="C8" s="66"/>
      <c r="D8" s="66"/>
      <c r="E8" s="66"/>
      <c r="F8" s="66"/>
      <c r="G8" s="66"/>
      <c r="H8" s="66"/>
      <c r="I8" s="66"/>
    </row>
    <row r="9" spans="1:10" ht="18" customHeight="1" x14ac:dyDescent="0.2">
      <c r="A9" s="51" t="s">
        <v>7</v>
      </c>
      <c r="B9" s="52">
        <v>-50000</v>
      </c>
      <c r="C9" s="66"/>
      <c r="D9" s="66"/>
      <c r="E9" s="66"/>
      <c r="F9" s="66"/>
      <c r="G9" s="66"/>
      <c r="H9" s="66"/>
      <c r="I9" s="66"/>
    </row>
    <row r="10" spans="1:10" ht="18" customHeight="1" x14ac:dyDescent="0.2">
      <c r="A10" s="53" t="s">
        <v>32</v>
      </c>
      <c r="B10" s="53">
        <v>110</v>
      </c>
      <c r="C10" s="66"/>
      <c r="D10" s="66"/>
      <c r="E10" s="66"/>
      <c r="F10" s="66"/>
      <c r="G10" s="66"/>
      <c r="H10" s="66"/>
      <c r="I10" s="66"/>
    </row>
    <row r="11" spans="1:10" ht="18" customHeight="1" x14ac:dyDescent="0.2">
      <c r="A11" s="51" t="s">
        <v>77</v>
      </c>
      <c r="B11" s="51">
        <v>150</v>
      </c>
      <c r="C11" s="66" t="s">
        <v>95</v>
      </c>
      <c r="D11" s="66"/>
      <c r="E11" s="66"/>
      <c r="F11" s="66"/>
      <c r="G11" s="66"/>
      <c r="H11" s="66"/>
      <c r="I11" s="66"/>
    </row>
    <row r="12" spans="1:10" ht="18" customHeight="1" x14ac:dyDescent="0.2">
      <c r="A12" s="51" t="s">
        <v>93</v>
      </c>
      <c r="B12" s="67">
        <v>0.1</v>
      </c>
      <c r="C12" s="66" t="s">
        <v>303</v>
      </c>
      <c r="D12" s="66"/>
      <c r="E12" s="66"/>
      <c r="F12" s="66"/>
      <c r="G12" s="66"/>
      <c r="H12" s="66"/>
      <c r="I12" s="66"/>
    </row>
    <row r="13" spans="1:10" ht="18" customHeight="1" x14ac:dyDescent="0.2">
      <c r="A13" s="53" t="s">
        <v>94</v>
      </c>
      <c r="B13" s="54">
        <v>5000</v>
      </c>
      <c r="C13" s="66" t="s">
        <v>95</v>
      </c>
      <c r="D13" s="66"/>
      <c r="E13" s="66"/>
      <c r="F13" s="66"/>
      <c r="G13" s="66"/>
      <c r="H13" s="66"/>
      <c r="I13" s="66"/>
    </row>
    <row r="14" spans="1:10" ht="18" customHeight="1" x14ac:dyDescent="0.2">
      <c r="A14" s="53" t="s">
        <v>96</v>
      </c>
      <c r="B14" s="54">
        <v>7000</v>
      </c>
      <c r="C14" s="66" t="s">
        <v>97</v>
      </c>
      <c r="D14" s="66"/>
      <c r="E14" s="66"/>
      <c r="F14" s="66"/>
      <c r="G14" s="66"/>
      <c r="H14" s="66"/>
      <c r="I14" s="66"/>
    </row>
    <row r="15" spans="1:10" ht="18" customHeight="1" x14ac:dyDescent="0.2">
      <c r="A15" s="53" t="s">
        <v>39</v>
      </c>
      <c r="B15" s="56">
        <v>0.12</v>
      </c>
      <c r="C15" s="66"/>
      <c r="D15" s="66"/>
      <c r="E15" s="66"/>
      <c r="F15" s="66"/>
      <c r="G15" s="66"/>
      <c r="H15" s="66"/>
      <c r="I15" s="66"/>
    </row>
    <row r="16" spans="1:10" ht="18" customHeight="1" x14ac:dyDescent="0.2">
      <c r="A16" s="68"/>
      <c r="B16" s="66"/>
      <c r="C16" s="66"/>
      <c r="D16" s="66"/>
      <c r="E16" s="66"/>
      <c r="F16" s="66"/>
      <c r="G16" s="66"/>
      <c r="H16" s="66"/>
      <c r="I16" s="66"/>
    </row>
    <row r="17" spans="1:9" ht="18" customHeight="1" x14ac:dyDescent="0.2">
      <c r="A17" s="32" t="s">
        <v>40</v>
      </c>
      <c r="B17" s="66"/>
      <c r="C17" s="66"/>
      <c r="D17" s="66"/>
      <c r="E17" s="66"/>
      <c r="F17" s="66"/>
      <c r="G17" s="66"/>
      <c r="H17" s="66"/>
      <c r="I17" s="66"/>
    </row>
    <row r="18" spans="1:9" ht="18" customHeight="1" x14ac:dyDescent="0.2">
      <c r="A18" s="32" t="s">
        <v>98</v>
      </c>
      <c r="B18" s="66"/>
      <c r="C18" s="66"/>
      <c r="D18" s="66"/>
      <c r="E18" s="66"/>
      <c r="F18" s="66"/>
      <c r="G18" s="66"/>
      <c r="H18" s="66"/>
      <c r="I18" s="66"/>
    </row>
    <row r="19" spans="1:9" ht="18" customHeight="1" x14ac:dyDescent="0.2">
      <c r="A19" s="33"/>
      <c r="B19" s="66"/>
      <c r="C19" s="66"/>
      <c r="D19" s="66"/>
      <c r="E19" s="66"/>
      <c r="F19" s="66"/>
      <c r="G19" s="66"/>
      <c r="H19" s="66"/>
      <c r="I19" s="66"/>
    </row>
    <row r="21" spans="1:9" ht="18" customHeight="1" x14ac:dyDescent="0.2">
      <c r="A21" s="69" t="s">
        <v>99</v>
      </c>
      <c r="B21" s="70"/>
      <c r="C21" s="70"/>
      <c r="D21" s="70"/>
      <c r="E21" s="70"/>
      <c r="F21" s="70"/>
      <c r="G21" s="70"/>
      <c r="H21" s="71"/>
    </row>
    <row r="22" spans="1:9" ht="18" customHeight="1" x14ac:dyDescent="0.2">
      <c r="A22" s="72" t="s">
        <v>18</v>
      </c>
      <c r="B22" s="72">
        <v>0</v>
      </c>
      <c r="C22" s="72">
        <v>1</v>
      </c>
      <c r="D22" s="72">
        <v>2</v>
      </c>
      <c r="E22" s="72">
        <v>3</v>
      </c>
      <c r="F22" s="72">
        <v>4</v>
      </c>
      <c r="G22" s="72">
        <v>5</v>
      </c>
      <c r="H22" s="72">
        <v>6</v>
      </c>
    </row>
    <row r="23" spans="1:9" ht="18" customHeight="1" x14ac:dyDescent="0.2">
      <c r="A23" s="73" t="s">
        <v>5</v>
      </c>
      <c r="B23" s="74">
        <f>-B6</f>
        <v>-700000</v>
      </c>
      <c r="C23" s="74">
        <f>-B7</f>
        <v>-350000</v>
      </c>
      <c r="D23" s="74">
        <f>C23</f>
        <v>-350000</v>
      </c>
      <c r="E23" s="74"/>
      <c r="F23" s="74"/>
      <c r="G23" s="74"/>
      <c r="H23" s="74"/>
    </row>
    <row r="24" spans="1:9" ht="18" customHeight="1" x14ac:dyDescent="0.2">
      <c r="A24" s="73" t="s">
        <v>7</v>
      </c>
      <c r="B24" s="74"/>
      <c r="C24" s="74"/>
      <c r="D24" s="74"/>
      <c r="E24" s="74"/>
      <c r="F24" s="74"/>
      <c r="G24" s="74"/>
      <c r="H24" s="74">
        <f>B9</f>
        <v>-50000</v>
      </c>
    </row>
    <row r="25" spans="1:9" ht="18" customHeight="1" x14ac:dyDescent="0.2">
      <c r="A25" s="73" t="s">
        <v>10</v>
      </c>
      <c r="B25" s="74"/>
      <c r="C25" s="74">
        <f>B11*B13</f>
        <v>750000</v>
      </c>
      <c r="D25" s="74">
        <f>(B11*(1+B15))*B14</f>
        <v>1176000.0000000002</v>
      </c>
      <c r="E25" s="74">
        <f>D25</f>
        <v>1176000.0000000002</v>
      </c>
      <c r="F25" s="74">
        <f t="shared" ref="F25:H25" si="0">E25</f>
        <v>1176000.0000000002</v>
      </c>
      <c r="G25" s="74">
        <f t="shared" si="0"/>
        <v>1176000.0000000002</v>
      </c>
      <c r="H25" s="74">
        <f t="shared" si="0"/>
        <v>1176000.0000000002</v>
      </c>
    </row>
    <row r="26" spans="1:9" ht="18" customHeight="1" x14ac:dyDescent="0.2">
      <c r="A26" s="73" t="s">
        <v>12</v>
      </c>
      <c r="B26" s="74"/>
      <c r="C26" s="74">
        <f>-B10*B13</f>
        <v>-550000</v>
      </c>
      <c r="D26" s="74">
        <f>-B14*B10</f>
        <v>-770000</v>
      </c>
      <c r="E26" s="74">
        <f>D26</f>
        <v>-770000</v>
      </c>
      <c r="F26" s="74">
        <f t="shared" ref="F26:H26" si="1">E26</f>
        <v>-770000</v>
      </c>
      <c r="G26" s="74">
        <f t="shared" si="1"/>
        <v>-770000</v>
      </c>
      <c r="H26" s="74">
        <f t="shared" si="1"/>
        <v>-770000</v>
      </c>
    </row>
    <row r="27" spans="1:9" ht="18" customHeight="1" x14ac:dyDescent="0.2">
      <c r="A27" s="73" t="s">
        <v>20</v>
      </c>
      <c r="B27" s="74">
        <f>SUM(B23:B26)</f>
        <v>-700000</v>
      </c>
      <c r="C27" s="74">
        <f t="shared" ref="C27:H27" si="2">SUM(C23:C26)</f>
        <v>-150000</v>
      </c>
      <c r="D27" s="74">
        <f t="shared" si="2"/>
        <v>56000.000000000233</v>
      </c>
      <c r="E27" s="74">
        <f t="shared" si="2"/>
        <v>406000.00000000023</v>
      </c>
      <c r="F27" s="74">
        <f t="shared" si="2"/>
        <v>406000.00000000023</v>
      </c>
      <c r="G27" s="74">
        <f t="shared" si="2"/>
        <v>406000.00000000023</v>
      </c>
      <c r="H27" s="74">
        <f t="shared" si="2"/>
        <v>356000.00000000023</v>
      </c>
    </row>
    <row r="28" spans="1:9" ht="18" customHeight="1" x14ac:dyDescent="0.2">
      <c r="A28" s="73" t="s">
        <v>100</v>
      </c>
      <c r="B28" s="74"/>
      <c r="C28" s="74"/>
      <c r="D28" s="74"/>
      <c r="E28" s="74"/>
      <c r="F28" s="74"/>
      <c r="G28" s="74"/>
      <c r="H28" s="74"/>
    </row>
    <row r="29" spans="1:9" ht="18" customHeight="1" x14ac:dyDescent="0.2">
      <c r="A29" s="75" t="s">
        <v>101</v>
      </c>
      <c r="B29" s="72"/>
      <c r="C29" s="76"/>
      <c r="D29" s="76"/>
      <c r="E29" s="76"/>
      <c r="F29" s="76"/>
      <c r="G29" s="76"/>
    </row>
    <row r="30" spans="1:9" ht="18" customHeight="1" x14ac:dyDescent="0.2">
      <c r="A30" s="77" t="s">
        <v>44</v>
      </c>
      <c r="B30" s="78">
        <f>NPV(B15,C27:H27)+B27</f>
        <v>168453.38871977013</v>
      </c>
      <c r="C30" s="76"/>
      <c r="D30" s="76"/>
      <c r="E30" s="76"/>
      <c r="F30" s="76"/>
      <c r="G30" s="76"/>
    </row>
    <row r="31" spans="1:9" ht="18" customHeight="1" x14ac:dyDescent="0.2">
      <c r="A31" s="76"/>
      <c r="B31" s="79"/>
      <c r="C31" s="76"/>
      <c r="D31" s="76"/>
      <c r="E31" s="76"/>
      <c r="F31" s="76"/>
      <c r="G31" s="76"/>
    </row>
    <row r="32" spans="1:9" ht="18" customHeight="1" x14ac:dyDescent="0.2">
      <c r="A32" s="32" t="s">
        <v>102</v>
      </c>
      <c r="B32" s="80"/>
    </row>
    <row r="33" spans="1:1" ht="18" customHeight="1" x14ac:dyDescent="0.2">
      <c r="A33" s="32" t="s">
        <v>103</v>
      </c>
    </row>
  </sheetData>
  <hyperlinks>
    <hyperlink ref="B1" location="Forside!A1" display="Forside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5"/>
  <sheetViews>
    <sheetView topLeftCell="A44" zoomScale="80" zoomScaleNormal="80" workbookViewId="0"/>
  </sheetViews>
  <sheetFormatPr baseColWidth="10" defaultColWidth="24.5" defaultRowHeight="18" customHeight="1" x14ac:dyDescent="0.2"/>
  <cols>
    <col min="1" max="1" width="33.33203125" style="4" customWidth="1"/>
    <col min="2" max="8" width="12.1640625" style="4" customWidth="1"/>
    <col min="9" max="16384" width="24.5" style="4"/>
  </cols>
  <sheetData>
    <row r="1" spans="1:8" ht="18" customHeight="1" x14ac:dyDescent="0.2">
      <c r="A1" s="4" t="s">
        <v>104</v>
      </c>
      <c r="B1" s="2" t="s">
        <v>1</v>
      </c>
    </row>
    <row r="3" spans="1:8" ht="18" customHeight="1" x14ac:dyDescent="0.2">
      <c r="A3" s="49" t="s">
        <v>105</v>
      </c>
      <c r="B3" s="65"/>
      <c r="C3" s="65"/>
      <c r="D3" s="65"/>
      <c r="E3" s="65"/>
      <c r="F3" s="65"/>
      <c r="G3" s="65"/>
      <c r="H3" s="65"/>
    </row>
    <row r="4" spans="1:8" ht="18" customHeight="1" x14ac:dyDescent="0.2">
      <c r="A4" s="66"/>
      <c r="B4" s="66"/>
      <c r="C4" s="66"/>
      <c r="D4" s="66"/>
      <c r="E4" s="66"/>
      <c r="F4" s="66"/>
      <c r="G4" s="66"/>
      <c r="H4" s="66"/>
    </row>
    <row r="5" spans="1:8" ht="18" customHeight="1" x14ac:dyDescent="0.2">
      <c r="A5" s="68"/>
      <c r="B5" s="66" t="s">
        <v>106</v>
      </c>
      <c r="C5" s="66" t="s">
        <v>107</v>
      </c>
      <c r="F5" s="66"/>
      <c r="G5" s="66"/>
      <c r="H5" s="66"/>
    </row>
    <row r="6" spans="1:8" ht="18" customHeight="1" x14ac:dyDescent="0.2">
      <c r="A6" s="51" t="s">
        <v>5</v>
      </c>
      <c r="B6" s="52">
        <v>2500000</v>
      </c>
      <c r="C6" s="52">
        <v>3000000</v>
      </c>
      <c r="F6" s="66"/>
      <c r="G6" s="66"/>
      <c r="H6" s="66"/>
    </row>
    <row r="7" spans="1:8" ht="18" customHeight="1" x14ac:dyDescent="0.2">
      <c r="A7" s="51" t="s">
        <v>9</v>
      </c>
      <c r="B7" s="52">
        <v>6</v>
      </c>
      <c r="C7" s="52">
        <v>6</v>
      </c>
      <c r="F7" s="66"/>
      <c r="G7" s="66"/>
      <c r="H7" s="66"/>
    </row>
    <row r="8" spans="1:8" ht="18" customHeight="1" x14ac:dyDescent="0.2">
      <c r="A8" s="51" t="s">
        <v>19</v>
      </c>
      <c r="B8" s="52">
        <v>500000</v>
      </c>
      <c r="C8" s="52">
        <v>750000</v>
      </c>
      <c r="F8" s="66"/>
      <c r="G8" s="66"/>
      <c r="H8" s="66"/>
    </row>
    <row r="9" spans="1:8" ht="18" customHeight="1" x14ac:dyDescent="0.2">
      <c r="A9" s="53" t="s">
        <v>32</v>
      </c>
      <c r="B9" s="53">
        <v>275</v>
      </c>
      <c r="C9" s="53">
        <v>275</v>
      </c>
      <c r="F9" s="66"/>
      <c r="G9" s="66"/>
      <c r="H9" s="66"/>
    </row>
    <row r="10" spans="1:8" ht="18" customHeight="1" x14ac:dyDescent="0.2">
      <c r="A10" s="51" t="s">
        <v>77</v>
      </c>
      <c r="B10" s="51">
        <v>500</v>
      </c>
      <c r="C10" s="51">
        <v>500</v>
      </c>
      <c r="F10" s="66"/>
      <c r="G10" s="66"/>
      <c r="H10" s="66"/>
    </row>
    <row r="11" spans="1:8" ht="18" customHeight="1" x14ac:dyDescent="0.2">
      <c r="A11" s="53" t="s">
        <v>108</v>
      </c>
      <c r="B11" s="54">
        <v>3000</v>
      </c>
      <c r="C11" s="54">
        <v>3000</v>
      </c>
      <c r="F11" s="66"/>
      <c r="G11" s="66"/>
      <c r="H11" s="66"/>
    </row>
    <row r="12" spans="1:8" ht="18" customHeight="1" x14ac:dyDescent="0.2">
      <c r="A12" s="53" t="s">
        <v>39</v>
      </c>
      <c r="B12" s="56">
        <v>0.11</v>
      </c>
      <c r="C12" s="56">
        <v>0.11</v>
      </c>
      <c r="F12" s="66"/>
      <c r="G12" s="66"/>
      <c r="H12" s="66"/>
    </row>
    <row r="13" spans="1:8" ht="18" customHeight="1" x14ac:dyDescent="0.2">
      <c r="A13" s="68"/>
      <c r="B13" s="66"/>
      <c r="C13" s="66"/>
      <c r="D13" s="66"/>
      <c r="E13" s="66"/>
      <c r="F13" s="66"/>
      <c r="G13" s="66"/>
      <c r="H13" s="66"/>
    </row>
    <row r="14" spans="1:8" ht="18" customHeight="1" x14ac:dyDescent="0.2">
      <c r="A14" s="32" t="s">
        <v>109</v>
      </c>
      <c r="B14" s="66"/>
      <c r="C14" s="66"/>
      <c r="D14" s="66"/>
      <c r="E14" s="66"/>
      <c r="F14" s="66"/>
      <c r="G14" s="66"/>
      <c r="H14" s="66"/>
    </row>
    <row r="15" spans="1:8" ht="18" customHeight="1" x14ac:dyDescent="0.2">
      <c r="A15" s="32" t="s">
        <v>110</v>
      </c>
      <c r="B15" s="66"/>
      <c r="C15" s="66"/>
      <c r="D15" s="66"/>
      <c r="E15" s="66"/>
      <c r="F15" s="66"/>
      <c r="G15" s="66"/>
      <c r="H15" s="66"/>
    </row>
    <row r="16" spans="1:8" ht="18" customHeight="1" x14ac:dyDescent="0.2">
      <c r="A16" s="33"/>
      <c r="B16" s="66"/>
      <c r="C16" s="66"/>
      <c r="D16" s="66"/>
      <c r="E16" s="66"/>
      <c r="F16" s="66"/>
      <c r="G16" s="66"/>
      <c r="H16" s="66"/>
    </row>
    <row r="17" spans="1:8" ht="18" customHeight="1" x14ac:dyDescent="0.2">
      <c r="A17" s="32"/>
      <c r="B17" s="66"/>
      <c r="C17" s="66"/>
      <c r="D17" s="66"/>
      <c r="E17" s="66"/>
      <c r="F17" s="66"/>
      <c r="G17" s="66"/>
      <c r="H17" s="66"/>
    </row>
    <row r="18" spans="1:8" ht="18" customHeight="1" x14ac:dyDescent="0.2">
      <c r="A18" s="69" t="s">
        <v>111</v>
      </c>
      <c r="B18" s="70"/>
      <c r="C18" s="70"/>
      <c r="D18" s="70"/>
      <c r="E18" s="70"/>
      <c r="F18" s="70"/>
      <c r="G18" s="70"/>
      <c r="H18" s="71"/>
    </row>
    <row r="19" spans="1:8" ht="18" customHeight="1" x14ac:dyDescent="0.2">
      <c r="A19" s="72" t="s">
        <v>18</v>
      </c>
      <c r="B19" s="72">
        <v>0</v>
      </c>
      <c r="C19" s="72">
        <v>1</v>
      </c>
      <c r="D19" s="72">
        <v>2</v>
      </c>
      <c r="E19" s="72">
        <v>3</v>
      </c>
      <c r="F19" s="72">
        <v>4</v>
      </c>
      <c r="G19" s="72">
        <v>5</v>
      </c>
      <c r="H19" s="72">
        <v>6</v>
      </c>
    </row>
    <row r="20" spans="1:8" ht="18" customHeight="1" x14ac:dyDescent="0.2">
      <c r="A20" s="73" t="s">
        <v>5</v>
      </c>
      <c r="B20" s="74"/>
      <c r="C20" s="74"/>
      <c r="D20" s="74"/>
      <c r="E20" s="74"/>
      <c r="F20" s="74"/>
      <c r="G20" s="74"/>
      <c r="H20" s="74"/>
    </row>
    <row r="21" spans="1:8" ht="18" customHeight="1" x14ac:dyDescent="0.2">
      <c r="A21" s="73" t="s">
        <v>7</v>
      </c>
      <c r="B21" s="74"/>
      <c r="C21" s="74"/>
      <c r="D21" s="74"/>
      <c r="E21" s="74"/>
      <c r="F21" s="74"/>
      <c r="G21" s="74"/>
      <c r="H21" s="74"/>
    </row>
    <row r="22" spans="1:8" ht="18" customHeight="1" x14ac:dyDescent="0.2">
      <c r="A22" s="73" t="s">
        <v>10</v>
      </c>
      <c r="B22" s="74"/>
      <c r="C22" s="74"/>
      <c r="D22" s="74"/>
      <c r="E22" s="74"/>
      <c r="F22" s="74"/>
      <c r="G22" s="74"/>
      <c r="H22" s="74"/>
    </row>
    <row r="23" spans="1:8" ht="18" customHeight="1" x14ac:dyDescent="0.2">
      <c r="A23" s="73" t="s">
        <v>12</v>
      </c>
      <c r="B23" s="74"/>
      <c r="C23" s="74"/>
      <c r="D23" s="74"/>
      <c r="E23" s="74"/>
      <c r="F23" s="74"/>
      <c r="G23" s="74"/>
      <c r="H23" s="74"/>
    </row>
    <row r="24" spans="1:8" ht="18" customHeight="1" x14ac:dyDescent="0.2">
      <c r="A24" s="73" t="s">
        <v>20</v>
      </c>
      <c r="B24" s="74"/>
      <c r="C24" s="74"/>
      <c r="D24" s="74"/>
      <c r="E24" s="74"/>
      <c r="F24" s="74"/>
      <c r="G24" s="74"/>
      <c r="H24" s="74"/>
    </row>
    <row r="25" spans="1:8" ht="18" customHeight="1" x14ac:dyDescent="0.2">
      <c r="A25" s="73" t="s">
        <v>100</v>
      </c>
      <c r="B25" s="74"/>
      <c r="C25" s="74"/>
      <c r="D25" s="74"/>
      <c r="E25" s="74"/>
      <c r="F25" s="74"/>
      <c r="G25" s="74"/>
      <c r="H25" s="74"/>
    </row>
    <row r="26" spans="1:8" ht="18" customHeight="1" x14ac:dyDescent="0.2">
      <c r="A26" s="81" t="s">
        <v>101</v>
      </c>
      <c r="B26" s="72"/>
      <c r="C26" s="76"/>
      <c r="D26" s="76"/>
      <c r="E26" s="76"/>
      <c r="F26" s="76"/>
      <c r="G26" s="76"/>
    </row>
    <row r="27" spans="1:8" ht="18" customHeight="1" x14ac:dyDescent="0.2">
      <c r="A27" s="82" t="s">
        <v>44</v>
      </c>
      <c r="B27" s="78"/>
      <c r="C27" s="76"/>
      <c r="D27" s="76"/>
      <c r="E27" s="76"/>
      <c r="F27" s="76"/>
      <c r="G27" s="76"/>
    </row>
    <row r="28" spans="1:8" ht="18" customHeight="1" x14ac:dyDescent="0.2">
      <c r="A28" s="32"/>
      <c r="B28" s="80"/>
    </row>
    <row r="29" spans="1:8" ht="18" customHeight="1" x14ac:dyDescent="0.2">
      <c r="A29" s="32" t="s">
        <v>112</v>
      </c>
    </row>
    <row r="30" spans="1:8" ht="18" customHeight="1" x14ac:dyDescent="0.2">
      <c r="A30" s="32" t="s">
        <v>110</v>
      </c>
    </row>
    <row r="32" spans="1:8" ht="18" customHeight="1" x14ac:dyDescent="0.2">
      <c r="A32" s="32"/>
    </row>
    <row r="33" spans="1:8" ht="18" customHeight="1" x14ac:dyDescent="0.2">
      <c r="A33" s="69" t="s">
        <v>113</v>
      </c>
      <c r="B33" s="70"/>
      <c r="C33" s="70"/>
      <c r="D33" s="70"/>
      <c r="E33" s="70"/>
      <c r="F33" s="70"/>
      <c r="G33" s="70"/>
      <c r="H33" s="71"/>
    </row>
    <row r="34" spans="1:8" ht="18" customHeight="1" x14ac:dyDescent="0.2">
      <c r="A34" s="72" t="s">
        <v>18</v>
      </c>
      <c r="B34" s="72">
        <v>0</v>
      </c>
      <c r="C34" s="72">
        <v>1</v>
      </c>
      <c r="D34" s="72">
        <v>2</v>
      </c>
      <c r="E34" s="72">
        <v>3</v>
      </c>
      <c r="F34" s="72">
        <v>4</v>
      </c>
      <c r="G34" s="72">
        <v>5</v>
      </c>
      <c r="H34" s="72">
        <v>6</v>
      </c>
    </row>
    <row r="35" spans="1:8" ht="18" customHeight="1" x14ac:dyDescent="0.2">
      <c r="A35" s="73" t="s">
        <v>5</v>
      </c>
      <c r="B35" s="74"/>
      <c r="C35" s="74"/>
      <c r="D35" s="74"/>
      <c r="E35" s="74"/>
      <c r="F35" s="74"/>
      <c r="G35" s="74"/>
      <c r="H35" s="74"/>
    </row>
    <row r="36" spans="1:8" ht="18" customHeight="1" x14ac:dyDescent="0.2">
      <c r="A36" s="73" t="s">
        <v>7</v>
      </c>
      <c r="B36" s="74"/>
      <c r="C36" s="74"/>
      <c r="D36" s="74"/>
      <c r="E36" s="74"/>
      <c r="F36" s="74"/>
      <c r="G36" s="74"/>
      <c r="H36" s="74"/>
    </row>
    <row r="37" spans="1:8" ht="18" customHeight="1" x14ac:dyDescent="0.2">
      <c r="A37" s="73" t="s">
        <v>10</v>
      </c>
      <c r="B37" s="74"/>
      <c r="C37" s="74"/>
      <c r="D37" s="74"/>
      <c r="E37" s="74"/>
      <c r="F37" s="74"/>
      <c r="G37" s="74"/>
      <c r="H37" s="74"/>
    </row>
    <row r="38" spans="1:8" ht="18" customHeight="1" x14ac:dyDescent="0.2">
      <c r="A38" s="73" t="s">
        <v>12</v>
      </c>
      <c r="B38" s="74"/>
      <c r="C38" s="74"/>
      <c r="D38" s="74"/>
      <c r="E38" s="74"/>
      <c r="F38" s="74"/>
      <c r="G38" s="74"/>
      <c r="H38" s="74"/>
    </row>
    <row r="39" spans="1:8" ht="18" customHeight="1" x14ac:dyDescent="0.2">
      <c r="A39" s="73" t="s">
        <v>20</v>
      </c>
      <c r="B39" s="74"/>
      <c r="C39" s="74"/>
      <c r="D39" s="74"/>
      <c r="E39" s="74"/>
      <c r="F39" s="74"/>
      <c r="G39" s="74"/>
      <c r="H39" s="74"/>
    </row>
    <row r="40" spans="1:8" ht="18" customHeight="1" x14ac:dyDescent="0.2">
      <c r="A40" s="73" t="s">
        <v>100</v>
      </c>
      <c r="B40" s="74"/>
      <c r="C40" s="74"/>
      <c r="D40" s="74"/>
      <c r="E40" s="74"/>
      <c r="F40" s="74"/>
      <c r="G40" s="74"/>
      <c r="H40" s="74"/>
    </row>
    <row r="41" spans="1:8" ht="18" customHeight="1" x14ac:dyDescent="0.2">
      <c r="A41" s="81" t="s">
        <v>101</v>
      </c>
      <c r="B41" s="72"/>
      <c r="C41" s="76"/>
      <c r="D41" s="76"/>
      <c r="E41" s="76"/>
      <c r="F41" s="76"/>
      <c r="G41" s="76"/>
    </row>
    <row r="42" spans="1:8" ht="18" customHeight="1" x14ac:dyDescent="0.2">
      <c r="A42" s="82" t="s">
        <v>44</v>
      </c>
      <c r="B42" s="78"/>
      <c r="C42" s="76"/>
      <c r="D42" s="76"/>
      <c r="E42" s="76"/>
      <c r="F42" s="76"/>
      <c r="G42" s="76"/>
    </row>
    <row r="44" spans="1:8" ht="18" customHeight="1" x14ac:dyDescent="0.2">
      <c r="A44" s="32" t="s">
        <v>114</v>
      </c>
    </row>
    <row r="45" spans="1:8" ht="18" customHeight="1" x14ac:dyDescent="0.2">
      <c r="A45" s="32" t="s">
        <v>115</v>
      </c>
    </row>
  </sheetData>
  <hyperlinks>
    <hyperlink ref="B1" location="Forside!A1" display="Forside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1"/>
  <sheetViews>
    <sheetView topLeftCell="A75" zoomScale="80" zoomScaleNormal="80" workbookViewId="0">
      <selection activeCell="B58" sqref="B58"/>
    </sheetView>
  </sheetViews>
  <sheetFormatPr baseColWidth="10" defaultColWidth="24.5" defaultRowHeight="18" customHeight="1" x14ac:dyDescent="0.2"/>
  <cols>
    <col min="1" max="1" width="39.5" style="4" customWidth="1"/>
    <col min="2" max="14" width="12.1640625" style="4" customWidth="1"/>
    <col min="15" max="16384" width="24.5" style="4"/>
  </cols>
  <sheetData>
    <row r="1" spans="1:10" ht="18" customHeight="1" x14ac:dyDescent="0.2">
      <c r="A1" s="4" t="s">
        <v>116</v>
      </c>
      <c r="B1" s="2" t="s">
        <v>1</v>
      </c>
    </row>
    <row r="3" spans="1:10" ht="18" customHeight="1" x14ac:dyDescent="0.2">
      <c r="A3" s="49" t="s">
        <v>117</v>
      </c>
      <c r="B3" s="65"/>
      <c r="C3" s="65"/>
      <c r="D3" s="65"/>
      <c r="E3" s="65"/>
      <c r="F3" s="65"/>
      <c r="G3" s="65"/>
      <c r="H3" s="65"/>
      <c r="I3" s="65"/>
      <c r="J3" s="65"/>
    </row>
    <row r="4" spans="1:10" ht="18" customHeight="1" x14ac:dyDescent="0.2">
      <c r="A4" s="49" t="s">
        <v>118</v>
      </c>
      <c r="B4" s="65"/>
      <c r="C4" s="65"/>
      <c r="D4" s="65"/>
      <c r="E4" s="65"/>
      <c r="F4" s="65"/>
      <c r="G4" s="65"/>
      <c r="H4" s="65"/>
      <c r="I4" s="65"/>
      <c r="J4" s="65"/>
    </row>
    <row r="5" spans="1:10" ht="18" customHeight="1" x14ac:dyDescent="0.2">
      <c r="A5" s="49" t="s">
        <v>119</v>
      </c>
      <c r="B5" s="65"/>
      <c r="C5" s="65"/>
      <c r="D5" s="65"/>
      <c r="E5" s="65"/>
      <c r="F5" s="65"/>
      <c r="G5" s="65"/>
      <c r="H5" s="65"/>
      <c r="I5" s="65"/>
      <c r="J5" s="65"/>
    </row>
    <row r="6" spans="1:10" ht="18" customHeight="1" x14ac:dyDescent="0.2">
      <c r="A6" s="49" t="s">
        <v>120</v>
      </c>
      <c r="B6" s="65"/>
      <c r="C6" s="65"/>
      <c r="D6" s="65"/>
      <c r="E6" s="65"/>
      <c r="F6" s="65"/>
      <c r="G6" s="65"/>
      <c r="H6" s="65"/>
      <c r="I6" s="65"/>
      <c r="J6" s="65"/>
    </row>
    <row r="7" spans="1:10" ht="18" customHeight="1" x14ac:dyDescent="0.2">
      <c r="A7" s="49" t="s">
        <v>121</v>
      </c>
      <c r="B7" s="65"/>
      <c r="C7" s="65"/>
      <c r="D7" s="65"/>
      <c r="E7" s="65"/>
      <c r="F7" s="65"/>
      <c r="G7" s="65"/>
      <c r="H7" s="65"/>
      <c r="I7" s="65"/>
      <c r="J7" s="65"/>
    </row>
    <row r="8" spans="1:10" ht="18" customHeight="1" x14ac:dyDescent="0.2">
      <c r="A8" s="66"/>
      <c r="B8" s="66"/>
      <c r="C8" s="66"/>
      <c r="D8" s="66"/>
      <c r="E8" s="66"/>
      <c r="F8" s="66"/>
      <c r="G8" s="66"/>
      <c r="H8" s="66"/>
      <c r="I8" s="66"/>
    </row>
    <row r="9" spans="1:10" ht="18" customHeight="1" x14ac:dyDescent="0.2">
      <c r="A9" s="68" t="s">
        <v>122</v>
      </c>
      <c r="B9" s="66"/>
      <c r="C9" s="66"/>
      <c r="F9" s="66"/>
      <c r="G9" s="66"/>
      <c r="H9" s="66"/>
      <c r="I9" s="66"/>
    </row>
    <row r="10" spans="1:10" ht="18" customHeight="1" x14ac:dyDescent="0.2">
      <c r="A10" s="51" t="s">
        <v>5</v>
      </c>
      <c r="B10" s="52">
        <v>5000000</v>
      </c>
      <c r="C10" s="66"/>
      <c r="F10" s="66"/>
      <c r="G10" s="66"/>
      <c r="H10" s="66"/>
      <c r="I10" s="66"/>
    </row>
    <row r="11" spans="1:10" ht="18" customHeight="1" x14ac:dyDescent="0.2">
      <c r="A11" s="51" t="s">
        <v>9</v>
      </c>
      <c r="B11" s="52">
        <v>7</v>
      </c>
      <c r="C11" s="66"/>
      <c r="F11" s="66"/>
      <c r="G11" s="66"/>
      <c r="H11" s="66"/>
      <c r="I11" s="66"/>
    </row>
    <row r="12" spans="1:10" ht="18" customHeight="1" x14ac:dyDescent="0.2">
      <c r="A12" s="51" t="s">
        <v>19</v>
      </c>
      <c r="B12" s="52">
        <v>1000000</v>
      </c>
      <c r="C12" s="66"/>
      <c r="F12" s="66"/>
      <c r="G12" s="66"/>
      <c r="H12" s="66"/>
      <c r="I12" s="66"/>
    </row>
    <row r="13" spans="1:10" ht="18" customHeight="1" x14ac:dyDescent="0.2">
      <c r="A13" s="53" t="s">
        <v>32</v>
      </c>
      <c r="B13" s="53">
        <v>500</v>
      </c>
      <c r="C13" s="66"/>
      <c r="F13" s="66"/>
      <c r="G13" s="66"/>
      <c r="H13" s="66"/>
      <c r="I13" s="66"/>
    </row>
    <row r="14" spans="1:10" ht="18" customHeight="1" x14ac:dyDescent="0.2">
      <c r="A14" s="51" t="s">
        <v>77</v>
      </c>
      <c r="B14" s="51">
        <v>750</v>
      </c>
      <c r="C14" s="66"/>
      <c r="F14" s="66"/>
      <c r="G14" s="66"/>
      <c r="H14" s="66"/>
      <c r="I14" s="66"/>
    </row>
    <row r="15" spans="1:10" ht="18" customHeight="1" x14ac:dyDescent="0.2">
      <c r="A15" s="53" t="s">
        <v>108</v>
      </c>
      <c r="B15" s="54">
        <v>5000</v>
      </c>
      <c r="C15" s="66"/>
      <c r="F15" s="66"/>
      <c r="G15" s="66"/>
      <c r="H15" s="66"/>
      <c r="I15" s="66"/>
    </row>
    <row r="16" spans="1:10" ht="18" customHeight="1" x14ac:dyDescent="0.2">
      <c r="A16" s="53" t="s">
        <v>39</v>
      </c>
      <c r="B16" s="56">
        <v>0.12</v>
      </c>
      <c r="C16" s="66"/>
      <c r="F16" s="66"/>
      <c r="G16" s="66"/>
      <c r="H16" s="66"/>
      <c r="I16" s="66"/>
    </row>
    <row r="17" spans="1:9" ht="18" customHeight="1" x14ac:dyDescent="0.2">
      <c r="A17" s="68"/>
      <c r="B17" s="66"/>
      <c r="C17" s="66"/>
      <c r="D17" s="66"/>
      <c r="E17" s="66"/>
      <c r="F17" s="66"/>
      <c r="G17" s="66"/>
      <c r="H17" s="66"/>
      <c r="I17" s="66"/>
    </row>
    <row r="18" spans="1:9" ht="18" customHeight="1" x14ac:dyDescent="0.2">
      <c r="A18" s="32" t="s">
        <v>123</v>
      </c>
      <c r="B18" s="66"/>
      <c r="C18" s="66"/>
      <c r="D18" s="66"/>
      <c r="E18" s="66"/>
      <c r="F18" s="66"/>
      <c r="G18" s="66"/>
      <c r="H18" s="66"/>
      <c r="I18" s="66"/>
    </row>
    <row r="19" spans="1:9" ht="18" customHeight="1" x14ac:dyDescent="0.2">
      <c r="A19" s="32" t="s">
        <v>110</v>
      </c>
      <c r="B19" s="66"/>
      <c r="C19" s="66"/>
      <c r="D19" s="66"/>
      <c r="E19" s="66"/>
      <c r="F19" s="66"/>
      <c r="G19" s="66"/>
      <c r="H19" s="66"/>
      <c r="I19" s="66"/>
    </row>
    <row r="20" spans="1:9" ht="18" customHeight="1" x14ac:dyDescent="0.2">
      <c r="A20" s="33" t="s">
        <v>321</v>
      </c>
      <c r="B20" s="66"/>
      <c r="C20" s="66"/>
      <c r="D20" s="66"/>
      <c r="E20" s="66"/>
      <c r="F20" s="66"/>
      <c r="G20" s="66"/>
      <c r="H20" s="66"/>
      <c r="I20" s="66"/>
    </row>
    <row r="21" spans="1:9" ht="18" customHeight="1" x14ac:dyDescent="0.2">
      <c r="B21" s="66"/>
      <c r="C21" s="66"/>
      <c r="D21" s="66"/>
      <c r="E21" s="66"/>
      <c r="F21" s="66"/>
      <c r="G21" s="66"/>
      <c r="H21" s="66"/>
      <c r="I21" s="66"/>
    </row>
    <row r="22" spans="1:9" ht="18" customHeight="1" x14ac:dyDescent="0.2">
      <c r="A22" s="69" t="s">
        <v>124</v>
      </c>
      <c r="B22" s="70"/>
      <c r="C22" s="70"/>
      <c r="D22" s="70"/>
      <c r="E22" s="70"/>
      <c r="F22" s="70"/>
      <c r="G22" s="70"/>
      <c r="H22" s="71"/>
      <c r="I22" s="71"/>
    </row>
    <row r="23" spans="1:9" ht="18" customHeight="1" x14ac:dyDescent="0.2">
      <c r="A23" s="72" t="s">
        <v>18</v>
      </c>
      <c r="B23" s="72">
        <v>0</v>
      </c>
      <c r="C23" s="72">
        <v>1</v>
      </c>
      <c r="D23" s="72">
        <v>2</v>
      </c>
      <c r="E23" s="72">
        <v>3</v>
      </c>
      <c r="F23" s="72">
        <v>4</v>
      </c>
      <c r="G23" s="72">
        <v>5</v>
      </c>
      <c r="H23" s="72">
        <v>6</v>
      </c>
      <c r="I23" s="72">
        <v>7</v>
      </c>
    </row>
    <row r="24" spans="1:9" ht="18" customHeight="1" x14ac:dyDescent="0.2">
      <c r="A24" s="73" t="s">
        <v>5</v>
      </c>
      <c r="B24" s="74">
        <f>-B10</f>
        <v>-5000000</v>
      </c>
      <c r="C24" s="74"/>
      <c r="D24" s="74"/>
      <c r="E24" s="74"/>
      <c r="F24" s="74"/>
      <c r="G24" s="74"/>
      <c r="H24" s="74"/>
      <c r="I24" s="74"/>
    </row>
    <row r="25" spans="1:9" ht="18" customHeight="1" x14ac:dyDescent="0.2">
      <c r="A25" s="73" t="s">
        <v>7</v>
      </c>
      <c r="B25" s="74"/>
      <c r="C25" s="74"/>
      <c r="D25" s="74"/>
      <c r="E25" s="74"/>
      <c r="F25" s="74"/>
      <c r="G25" s="74"/>
      <c r="H25" s="74"/>
      <c r="I25" s="74">
        <f>B12</f>
        <v>1000000</v>
      </c>
    </row>
    <row r="26" spans="1:9" ht="18" customHeight="1" x14ac:dyDescent="0.2">
      <c r="A26" s="73" t="s">
        <v>10</v>
      </c>
      <c r="B26" s="74"/>
      <c r="C26" s="74">
        <f>$B$15*$B$14</f>
        <v>3750000</v>
      </c>
      <c r="D26" s="74">
        <f t="shared" ref="D26:I26" si="0">$B$15*$B$14</f>
        <v>3750000</v>
      </c>
      <c r="E26" s="74">
        <f t="shared" si="0"/>
        <v>3750000</v>
      </c>
      <c r="F26" s="74">
        <f t="shared" si="0"/>
        <v>3750000</v>
      </c>
      <c r="G26" s="74">
        <f t="shared" si="0"/>
        <v>3750000</v>
      </c>
      <c r="H26" s="74">
        <f t="shared" si="0"/>
        <v>3750000</v>
      </c>
      <c r="I26" s="74">
        <f t="shared" si="0"/>
        <v>3750000</v>
      </c>
    </row>
    <row r="27" spans="1:9" ht="18" customHeight="1" x14ac:dyDescent="0.2">
      <c r="A27" s="73" t="s">
        <v>12</v>
      </c>
      <c r="B27" s="74"/>
      <c r="C27" s="74">
        <f>-$B$15*$B$13</f>
        <v>-2500000</v>
      </c>
      <c r="D27" s="74">
        <f t="shared" ref="D27:I27" si="1">-$B$15*$B$13</f>
        <v>-2500000</v>
      </c>
      <c r="E27" s="74">
        <f t="shared" si="1"/>
        <v>-2500000</v>
      </c>
      <c r="F27" s="74">
        <f t="shared" si="1"/>
        <v>-2500000</v>
      </c>
      <c r="G27" s="74">
        <f t="shared" si="1"/>
        <v>-2500000</v>
      </c>
      <c r="H27" s="74">
        <f t="shared" si="1"/>
        <v>-2500000</v>
      </c>
      <c r="I27" s="74">
        <f t="shared" si="1"/>
        <v>-2500000</v>
      </c>
    </row>
    <row r="28" spans="1:9" ht="18" customHeight="1" x14ac:dyDescent="0.2">
      <c r="A28" s="73" t="s">
        <v>20</v>
      </c>
      <c r="B28" s="74">
        <f>SUM(B24:B27)</f>
        <v>-5000000</v>
      </c>
      <c r="C28" s="74">
        <f>SUM(C24:C27)</f>
        <v>1250000</v>
      </c>
      <c r="D28" s="74">
        <f t="shared" ref="D28:I28" si="2">SUM(D24:D27)</f>
        <v>1250000</v>
      </c>
      <c r="E28" s="74">
        <f t="shared" si="2"/>
        <v>1250000</v>
      </c>
      <c r="F28" s="74">
        <f t="shared" si="2"/>
        <v>1250000</v>
      </c>
      <c r="G28" s="74">
        <f t="shared" si="2"/>
        <v>1250000</v>
      </c>
      <c r="H28" s="74">
        <f t="shared" si="2"/>
        <v>1250000</v>
      </c>
      <c r="I28" s="74">
        <f t="shared" si="2"/>
        <v>2250000</v>
      </c>
    </row>
    <row r="29" spans="1:9" ht="18" customHeight="1" x14ac:dyDescent="0.2">
      <c r="A29" s="73" t="s">
        <v>100</v>
      </c>
      <c r="B29" s="74">
        <f>B28</f>
        <v>-5000000</v>
      </c>
      <c r="C29" s="74">
        <f>SUM(C25:C27)/(1+$B$16)^C23</f>
        <v>1116071.4285714284</v>
      </c>
      <c r="D29" s="74">
        <f>SUM(D25:D27)/(1+$B$16)^D23</f>
        <v>996492.34693877539</v>
      </c>
      <c r="E29" s="74">
        <f t="shared" ref="E29:I29" si="3">SUM(E25:E27)/(1+$B$16)^E23</f>
        <v>889725.30976676359</v>
      </c>
      <c r="F29" s="74">
        <f t="shared" si="3"/>
        <v>794397.59800603893</v>
      </c>
      <c r="G29" s="74">
        <f t="shared" si="3"/>
        <v>709283.56964824907</v>
      </c>
      <c r="H29" s="74">
        <f t="shared" si="3"/>
        <v>633288.90147165081</v>
      </c>
      <c r="I29" s="74">
        <f t="shared" si="3"/>
        <v>1017785.7345080102</v>
      </c>
    </row>
    <row r="30" spans="1:9" ht="18" customHeight="1" x14ac:dyDescent="0.2">
      <c r="A30" s="81" t="s">
        <v>101</v>
      </c>
      <c r="B30" s="68">
        <f>SUM(C29:I29)+B29</f>
        <v>1157044.8889109176</v>
      </c>
      <c r="C30" s="76"/>
      <c r="D30" s="76"/>
      <c r="E30" s="76"/>
      <c r="F30" s="76"/>
      <c r="G30" s="76"/>
    </row>
    <row r="31" spans="1:9" ht="18" customHeight="1" x14ac:dyDescent="0.2">
      <c r="A31" s="82" t="s">
        <v>44</v>
      </c>
      <c r="B31" s="72">
        <f>NPV(B16,C28:I28)+B28</f>
        <v>1157044.8889109157</v>
      </c>
      <c r="C31" s="76"/>
      <c r="D31" s="76"/>
      <c r="E31" s="76"/>
      <c r="F31" s="76"/>
      <c r="G31" s="76"/>
    </row>
    <row r="32" spans="1:9" ht="18" customHeight="1" x14ac:dyDescent="0.2">
      <c r="A32" s="82" t="s">
        <v>125</v>
      </c>
      <c r="B32" s="83">
        <f>IRR(B28:I28)</f>
        <v>0.18515128772514222</v>
      </c>
      <c r="C32" s="76"/>
      <c r="D32" s="76"/>
      <c r="E32" s="76"/>
      <c r="F32" s="76"/>
      <c r="G32" s="76"/>
    </row>
    <row r="33" spans="1:14" ht="18" customHeight="1" x14ac:dyDescent="0.2">
      <c r="A33" s="84" t="s">
        <v>126</v>
      </c>
      <c r="B33" s="85">
        <f>-PMT(B16,B11,'I6'!B31)</f>
        <v>253529.05639443613</v>
      </c>
      <c r="C33" s="76"/>
      <c r="D33" s="76"/>
      <c r="E33" s="76"/>
      <c r="F33" s="76"/>
      <c r="G33" s="76"/>
    </row>
    <row r="34" spans="1:14" ht="18" customHeight="1" x14ac:dyDescent="0.2">
      <c r="A34" s="32"/>
      <c r="B34" s="80"/>
    </row>
    <row r="35" spans="1:14" ht="18" customHeight="1" x14ac:dyDescent="0.2">
      <c r="A35" s="68" t="s">
        <v>127</v>
      </c>
      <c r="B35" s="66"/>
    </row>
    <row r="36" spans="1:14" ht="18" customHeight="1" x14ac:dyDescent="0.2">
      <c r="A36" s="51" t="s">
        <v>5</v>
      </c>
      <c r="B36" s="52">
        <v>10000000</v>
      </c>
    </row>
    <row r="37" spans="1:14" ht="18" customHeight="1" x14ac:dyDescent="0.2">
      <c r="A37" s="51" t="s">
        <v>9</v>
      </c>
      <c r="B37" s="52">
        <v>12</v>
      </c>
    </row>
    <row r="38" spans="1:14" ht="18" customHeight="1" x14ac:dyDescent="0.2">
      <c r="A38" s="51" t="s">
        <v>19</v>
      </c>
      <c r="B38" s="52">
        <v>2000000</v>
      </c>
    </row>
    <row r="39" spans="1:14" ht="18" customHeight="1" x14ac:dyDescent="0.2">
      <c r="A39" s="53" t="s">
        <v>32</v>
      </c>
      <c r="B39" s="53">
        <v>400</v>
      </c>
    </row>
    <row r="40" spans="1:14" ht="18" customHeight="1" x14ac:dyDescent="0.2">
      <c r="A40" s="51" t="s">
        <v>77</v>
      </c>
      <c r="B40" s="51">
        <v>750</v>
      </c>
    </row>
    <row r="41" spans="1:14" ht="18" customHeight="1" x14ac:dyDescent="0.2">
      <c r="A41" s="53" t="s">
        <v>108</v>
      </c>
      <c r="B41" s="54">
        <v>5000</v>
      </c>
    </row>
    <row r="42" spans="1:14" ht="18" customHeight="1" x14ac:dyDescent="0.2">
      <c r="A42" s="53" t="s">
        <v>39</v>
      </c>
      <c r="B42" s="56">
        <v>0.12</v>
      </c>
    </row>
    <row r="44" spans="1:14" ht="18" customHeight="1" x14ac:dyDescent="0.2">
      <c r="A44" s="32" t="s">
        <v>128</v>
      </c>
    </row>
    <row r="45" spans="1:14" ht="18" customHeight="1" x14ac:dyDescent="0.2">
      <c r="A45" s="32" t="s">
        <v>110</v>
      </c>
    </row>
    <row r="46" spans="1:14" ht="18" customHeight="1" x14ac:dyDescent="0.2">
      <c r="A46" s="33" t="s">
        <v>321</v>
      </c>
    </row>
    <row r="47" spans="1:14" ht="18" customHeight="1" x14ac:dyDescent="0.2">
      <c r="A47" s="32"/>
    </row>
    <row r="48" spans="1:14" ht="18" customHeight="1" x14ac:dyDescent="0.2">
      <c r="A48" s="69" t="s">
        <v>129</v>
      </c>
      <c r="B48" s="70"/>
      <c r="C48" s="70"/>
      <c r="D48" s="70"/>
      <c r="E48" s="70"/>
      <c r="F48" s="70"/>
      <c r="G48" s="70"/>
      <c r="H48" s="71"/>
      <c r="I48" s="71"/>
      <c r="J48" s="71"/>
      <c r="K48" s="71"/>
      <c r="L48" s="71"/>
      <c r="M48" s="71"/>
      <c r="N48" s="71"/>
    </row>
    <row r="49" spans="1:14" ht="18" customHeight="1" x14ac:dyDescent="0.2">
      <c r="A49" s="72" t="s">
        <v>18</v>
      </c>
      <c r="B49" s="72">
        <v>0</v>
      </c>
      <c r="C49" s="72">
        <v>1</v>
      </c>
      <c r="D49" s="72">
        <v>2</v>
      </c>
      <c r="E49" s="72">
        <v>3</v>
      </c>
      <c r="F49" s="72">
        <v>4</v>
      </c>
      <c r="G49" s="72">
        <v>5</v>
      </c>
      <c r="H49" s="72">
        <v>6</v>
      </c>
      <c r="I49" s="72">
        <v>7</v>
      </c>
      <c r="J49" s="72">
        <v>8</v>
      </c>
      <c r="K49" s="72">
        <v>9</v>
      </c>
      <c r="L49" s="72">
        <v>10</v>
      </c>
      <c r="M49" s="72">
        <v>11</v>
      </c>
      <c r="N49" s="72">
        <v>12</v>
      </c>
    </row>
    <row r="50" spans="1:14" ht="18" customHeight="1" x14ac:dyDescent="0.2">
      <c r="A50" s="73" t="s">
        <v>5</v>
      </c>
      <c r="B50" s="74">
        <f>-B36</f>
        <v>-10000000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 ht="18" customHeight="1" x14ac:dyDescent="0.2">
      <c r="A51" s="73" t="s">
        <v>7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>
        <f>B38</f>
        <v>2000000</v>
      </c>
    </row>
    <row r="52" spans="1:14" ht="18" customHeight="1" x14ac:dyDescent="0.2">
      <c r="A52" s="73" t="s">
        <v>10</v>
      </c>
      <c r="B52" s="74"/>
      <c r="C52" s="74">
        <f>$B$40*$B$41</f>
        <v>3750000</v>
      </c>
      <c r="D52" s="74">
        <f t="shared" ref="D52:N52" si="4">$B$40*$B$41</f>
        <v>3750000</v>
      </c>
      <c r="E52" s="74">
        <f t="shared" si="4"/>
        <v>3750000</v>
      </c>
      <c r="F52" s="74">
        <f t="shared" si="4"/>
        <v>3750000</v>
      </c>
      <c r="G52" s="74">
        <f t="shared" si="4"/>
        <v>3750000</v>
      </c>
      <c r="H52" s="74">
        <f t="shared" si="4"/>
        <v>3750000</v>
      </c>
      <c r="I52" s="74">
        <f t="shared" si="4"/>
        <v>3750000</v>
      </c>
      <c r="J52" s="74">
        <f t="shared" si="4"/>
        <v>3750000</v>
      </c>
      <c r="K52" s="74">
        <f t="shared" si="4"/>
        <v>3750000</v>
      </c>
      <c r="L52" s="74">
        <f t="shared" si="4"/>
        <v>3750000</v>
      </c>
      <c r="M52" s="74">
        <f t="shared" si="4"/>
        <v>3750000</v>
      </c>
      <c r="N52" s="74">
        <f t="shared" si="4"/>
        <v>3750000</v>
      </c>
    </row>
    <row r="53" spans="1:14" ht="18" customHeight="1" x14ac:dyDescent="0.2">
      <c r="A53" s="73" t="s">
        <v>12</v>
      </c>
      <c r="B53" s="74"/>
      <c r="C53" s="74">
        <f>-$B$39*$B$41</f>
        <v>-2000000</v>
      </c>
      <c r="D53" s="74">
        <f t="shared" ref="D53:N53" si="5">-$B$39*$B$41</f>
        <v>-2000000</v>
      </c>
      <c r="E53" s="74">
        <f t="shared" si="5"/>
        <v>-2000000</v>
      </c>
      <c r="F53" s="74">
        <f t="shared" si="5"/>
        <v>-2000000</v>
      </c>
      <c r="G53" s="74">
        <f t="shared" si="5"/>
        <v>-2000000</v>
      </c>
      <c r="H53" s="74">
        <f t="shared" si="5"/>
        <v>-2000000</v>
      </c>
      <c r="I53" s="74">
        <f t="shared" si="5"/>
        <v>-2000000</v>
      </c>
      <c r="J53" s="74">
        <f t="shared" si="5"/>
        <v>-2000000</v>
      </c>
      <c r="K53" s="74">
        <f t="shared" si="5"/>
        <v>-2000000</v>
      </c>
      <c r="L53" s="74">
        <f t="shared" si="5"/>
        <v>-2000000</v>
      </c>
      <c r="M53" s="74">
        <f t="shared" si="5"/>
        <v>-2000000</v>
      </c>
      <c r="N53" s="74">
        <f t="shared" si="5"/>
        <v>-2000000</v>
      </c>
    </row>
    <row r="54" spans="1:14" ht="18" customHeight="1" x14ac:dyDescent="0.2">
      <c r="A54" s="73" t="s">
        <v>20</v>
      </c>
      <c r="B54" s="74">
        <f>SUM(B50:B53)</f>
        <v>-10000000</v>
      </c>
      <c r="C54" s="74">
        <f t="shared" ref="C54:N54" si="6">SUM(C50:C53)</f>
        <v>1750000</v>
      </c>
      <c r="D54" s="74">
        <f t="shared" si="6"/>
        <v>1750000</v>
      </c>
      <c r="E54" s="74">
        <f t="shared" si="6"/>
        <v>1750000</v>
      </c>
      <c r="F54" s="74">
        <f t="shared" si="6"/>
        <v>1750000</v>
      </c>
      <c r="G54" s="74">
        <f t="shared" si="6"/>
        <v>1750000</v>
      </c>
      <c r="H54" s="74">
        <f t="shared" si="6"/>
        <v>1750000</v>
      </c>
      <c r="I54" s="74">
        <f t="shared" si="6"/>
        <v>1750000</v>
      </c>
      <c r="J54" s="74">
        <f t="shared" si="6"/>
        <v>1750000</v>
      </c>
      <c r="K54" s="74">
        <f t="shared" si="6"/>
        <v>1750000</v>
      </c>
      <c r="L54" s="74">
        <f t="shared" si="6"/>
        <v>1750000</v>
      </c>
      <c r="M54" s="74">
        <f t="shared" si="6"/>
        <v>1750000</v>
      </c>
      <c r="N54" s="74">
        <f t="shared" si="6"/>
        <v>3750000</v>
      </c>
    </row>
    <row r="55" spans="1:14" ht="18" customHeight="1" x14ac:dyDescent="0.2">
      <c r="A55" s="73" t="s">
        <v>100</v>
      </c>
      <c r="B55" s="74">
        <f>B54</f>
        <v>-10000000</v>
      </c>
      <c r="C55" s="74">
        <f>SUM(C51:C53)/(1+$B$42)^C49</f>
        <v>1562499.9999999998</v>
      </c>
      <c r="D55" s="74">
        <f t="shared" ref="D55:N55" si="7">SUM(D51:D53)/(1+$B$42)^D49</f>
        <v>1395089.2857142854</v>
      </c>
      <c r="E55" s="74">
        <f t="shared" si="7"/>
        <v>1245615.4336734691</v>
      </c>
      <c r="F55" s="74">
        <f t="shared" si="7"/>
        <v>1112156.6372084545</v>
      </c>
      <c r="G55" s="74">
        <f t="shared" si="7"/>
        <v>992996.99750754866</v>
      </c>
      <c r="H55" s="74">
        <f t="shared" si="7"/>
        <v>886604.46206031123</v>
      </c>
      <c r="I55" s="74">
        <f t="shared" si="7"/>
        <v>791611.12683956348</v>
      </c>
      <c r="J55" s="74">
        <f t="shared" si="7"/>
        <v>706795.64896389598</v>
      </c>
      <c r="K55" s="74">
        <f t="shared" si="7"/>
        <v>631067.5437177642</v>
      </c>
      <c r="L55" s="74">
        <f t="shared" si="7"/>
        <v>563453.16403371806</v>
      </c>
      <c r="M55" s="74">
        <f t="shared" si="7"/>
        <v>503083.18217296241</v>
      </c>
      <c r="N55" s="74">
        <f t="shared" si="7"/>
        <v>962531.59854520881</v>
      </c>
    </row>
    <row r="56" spans="1:14" ht="18" customHeight="1" x14ac:dyDescent="0.2">
      <c r="A56" s="81" t="s">
        <v>101</v>
      </c>
      <c r="B56" s="72">
        <f>SUM(C55:N55)+B55</f>
        <v>1353505.0804371815</v>
      </c>
      <c r="C56" s="76"/>
      <c r="D56" s="76"/>
      <c r="E56" s="76"/>
      <c r="F56" s="76"/>
      <c r="G56" s="76"/>
    </row>
    <row r="57" spans="1:14" ht="18" customHeight="1" x14ac:dyDescent="0.2">
      <c r="A57" s="82" t="s">
        <v>44</v>
      </c>
      <c r="B57" s="78">
        <f>NPV(B42,C54:N54)+B54</f>
        <v>1353505.0804371815</v>
      </c>
      <c r="C57" s="76"/>
      <c r="D57" s="76"/>
      <c r="E57" s="76"/>
      <c r="F57" s="76"/>
      <c r="G57" s="76"/>
    </row>
    <row r="58" spans="1:14" ht="18" customHeight="1" x14ac:dyDescent="0.2">
      <c r="A58" s="82" t="s">
        <v>125</v>
      </c>
      <c r="B58" s="83">
        <f>IRR(B54:N54)</f>
        <v>0.14687981676399531</v>
      </c>
      <c r="C58" s="76"/>
      <c r="D58" s="76"/>
      <c r="E58" s="76"/>
      <c r="F58" s="76"/>
      <c r="G58" s="76"/>
    </row>
    <row r="59" spans="1:14" ht="18" customHeight="1" x14ac:dyDescent="0.2">
      <c r="A59" s="84" t="s">
        <v>126</v>
      </c>
      <c r="B59" s="85">
        <f>-PMT(B42,B37,B57)</f>
        <v>218505.53924803302</v>
      </c>
      <c r="C59" s="76"/>
      <c r="D59" s="76"/>
      <c r="E59" s="76"/>
      <c r="F59" s="76"/>
      <c r="G59" s="76"/>
    </row>
    <row r="61" spans="1:14" ht="18" customHeight="1" x14ac:dyDescent="0.2">
      <c r="A61" s="32" t="s">
        <v>130</v>
      </c>
    </row>
  </sheetData>
  <hyperlinks>
    <hyperlink ref="B1" location="Forside!A1" display="Forside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3"/>
  <sheetViews>
    <sheetView topLeftCell="A41" zoomScale="80" zoomScaleNormal="80" workbookViewId="0">
      <selection activeCell="B20" sqref="B20"/>
    </sheetView>
  </sheetViews>
  <sheetFormatPr baseColWidth="10" defaultColWidth="24.5" defaultRowHeight="18" customHeight="1" x14ac:dyDescent="0.2"/>
  <cols>
    <col min="1" max="1" width="31.1640625" style="4" customWidth="1"/>
    <col min="2" max="7" width="14.83203125" style="4" customWidth="1"/>
    <col min="8" max="16384" width="24.5" style="4"/>
  </cols>
  <sheetData>
    <row r="1" spans="1:3" ht="18" customHeight="1" x14ac:dyDescent="0.2">
      <c r="A1" s="4" t="s">
        <v>131</v>
      </c>
      <c r="B1" s="2" t="s">
        <v>1</v>
      </c>
    </row>
    <row r="3" spans="1:3" ht="18" customHeight="1" x14ac:dyDescent="0.2">
      <c r="A3" s="86" t="s">
        <v>132</v>
      </c>
    </row>
    <row r="4" spans="1:3" ht="18" customHeight="1" x14ac:dyDescent="0.2">
      <c r="A4" s="86" t="s">
        <v>133</v>
      </c>
    </row>
    <row r="5" spans="1:3" ht="18" customHeight="1" x14ac:dyDescent="0.2">
      <c r="A5" s="86"/>
    </row>
    <row r="6" spans="1:3" ht="18" customHeight="1" x14ac:dyDescent="0.2">
      <c r="A6" s="86"/>
      <c r="B6" s="87" t="s">
        <v>134</v>
      </c>
      <c r="C6" s="87" t="s">
        <v>135</v>
      </c>
    </row>
    <row r="7" spans="1:3" ht="18" customHeight="1" x14ac:dyDescent="0.2">
      <c r="A7" s="88" t="s">
        <v>136</v>
      </c>
      <c r="B7" s="64">
        <v>120000000</v>
      </c>
      <c r="C7" s="64">
        <v>160000000</v>
      </c>
    </row>
    <row r="8" spans="1:3" ht="18" customHeight="1" x14ac:dyDescent="0.2">
      <c r="A8" s="89" t="s">
        <v>7</v>
      </c>
      <c r="B8" s="74">
        <v>20000000</v>
      </c>
      <c r="C8" s="74">
        <v>24000000</v>
      </c>
    </row>
    <row r="9" spans="1:3" ht="18" customHeight="1" x14ac:dyDescent="0.2">
      <c r="A9" s="89" t="s">
        <v>9</v>
      </c>
      <c r="B9" s="74">
        <v>15</v>
      </c>
      <c r="C9" s="74">
        <v>18</v>
      </c>
    </row>
    <row r="10" spans="1:3" ht="18" customHeight="1" x14ac:dyDescent="0.2">
      <c r="A10" s="89" t="s">
        <v>137</v>
      </c>
      <c r="B10" s="74">
        <v>25000000</v>
      </c>
      <c r="C10" s="74">
        <v>20000000</v>
      </c>
    </row>
    <row r="11" spans="1:3" ht="18" customHeight="1" x14ac:dyDescent="0.2">
      <c r="A11" s="89" t="s">
        <v>138</v>
      </c>
      <c r="B11" s="74">
        <v>19500000</v>
      </c>
      <c r="C11" s="74">
        <v>16500000</v>
      </c>
    </row>
    <row r="12" spans="1:3" ht="18" customHeight="1" x14ac:dyDescent="0.2">
      <c r="A12" s="89" t="s">
        <v>39</v>
      </c>
      <c r="B12" s="90">
        <v>0.1</v>
      </c>
      <c r="C12" s="90">
        <v>0.1</v>
      </c>
    </row>
    <row r="14" spans="1:3" ht="18" customHeight="1" x14ac:dyDescent="0.2">
      <c r="A14" s="91" t="s">
        <v>139</v>
      </c>
    </row>
    <row r="15" spans="1:3" ht="18" customHeight="1" x14ac:dyDescent="0.2">
      <c r="A15" s="92" t="s">
        <v>140</v>
      </c>
    </row>
    <row r="16" spans="1:3" ht="18" customHeight="1" x14ac:dyDescent="0.2">
      <c r="A16" s="86"/>
    </row>
    <row r="17" spans="1:3" ht="18" customHeight="1" x14ac:dyDescent="0.2">
      <c r="A17" s="93"/>
    </row>
    <row r="18" spans="1:3" ht="18" customHeight="1" x14ac:dyDescent="0.2">
      <c r="A18" s="94"/>
      <c r="B18" s="95" t="s">
        <v>134</v>
      </c>
      <c r="C18" s="95" t="s">
        <v>135</v>
      </c>
    </row>
    <row r="19" spans="1:3" ht="18" customHeight="1" x14ac:dyDescent="0.2">
      <c r="A19" s="96" t="s">
        <v>141</v>
      </c>
      <c r="B19" s="97">
        <f>-B7</f>
        <v>-120000000</v>
      </c>
      <c r="C19" s="97">
        <f>-C7</f>
        <v>-160000000</v>
      </c>
    </row>
    <row r="20" spans="1:3" ht="18" customHeight="1" x14ac:dyDescent="0.2">
      <c r="A20" s="96" t="s">
        <v>142</v>
      </c>
      <c r="B20" s="97">
        <f>B8/(1+B12)^15</f>
        <v>4787840.9873832678</v>
      </c>
      <c r="C20" s="97">
        <f>C8/(1+C12)^18</f>
        <v>4316610.957821128</v>
      </c>
    </row>
    <row r="21" spans="1:3" ht="18" customHeight="1" x14ac:dyDescent="0.2">
      <c r="A21" s="96" t="s">
        <v>143</v>
      </c>
      <c r="B21" s="97"/>
      <c r="C21" s="97"/>
    </row>
    <row r="22" spans="1:3" ht="18" customHeight="1" x14ac:dyDescent="0.2">
      <c r="A22" s="96" t="s">
        <v>144</v>
      </c>
      <c r="B22" s="97"/>
      <c r="C22" s="97"/>
    </row>
    <row r="23" spans="1:3" ht="18" customHeight="1" x14ac:dyDescent="0.2">
      <c r="A23" s="98" t="s">
        <v>101</v>
      </c>
      <c r="B23" s="99"/>
      <c r="C23" s="99"/>
    </row>
    <row r="25" spans="1:3" ht="18" customHeight="1" x14ac:dyDescent="0.2">
      <c r="A25" s="91" t="s">
        <v>307</v>
      </c>
    </row>
    <row r="26" spans="1:3" ht="18" customHeight="1" x14ac:dyDescent="0.2">
      <c r="A26" s="91" t="s">
        <v>145</v>
      </c>
    </row>
    <row r="28" spans="1:3" ht="18" customHeight="1" x14ac:dyDescent="0.2">
      <c r="A28" s="86"/>
      <c r="B28" s="87" t="s">
        <v>134</v>
      </c>
      <c r="C28" s="87" t="s">
        <v>135</v>
      </c>
    </row>
    <row r="29" spans="1:3" ht="18" customHeight="1" x14ac:dyDescent="0.2">
      <c r="A29" s="88" t="s">
        <v>136</v>
      </c>
      <c r="B29" s="64"/>
      <c r="C29" s="64"/>
    </row>
    <row r="30" spans="1:3" ht="18" customHeight="1" x14ac:dyDescent="0.2">
      <c r="A30" s="89" t="s">
        <v>7</v>
      </c>
      <c r="B30" s="64"/>
      <c r="C30" s="64"/>
    </row>
    <row r="31" spans="1:3" ht="18" customHeight="1" x14ac:dyDescent="0.2">
      <c r="A31" s="89" t="s">
        <v>9</v>
      </c>
      <c r="B31" s="64"/>
      <c r="C31" s="64"/>
    </row>
    <row r="32" spans="1:3" ht="18" customHeight="1" x14ac:dyDescent="0.2">
      <c r="A32" s="89" t="s">
        <v>137</v>
      </c>
      <c r="B32" s="64"/>
      <c r="C32" s="64"/>
    </row>
    <row r="33" spans="1:3" ht="18" customHeight="1" x14ac:dyDescent="0.2">
      <c r="A33" s="89" t="s">
        <v>138</v>
      </c>
      <c r="B33" s="64"/>
      <c r="C33" s="64"/>
    </row>
    <row r="34" spans="1:3" ht="18" customHeight="1" x14ac:dyDescent="0.2">
      <c r="A34" s="89" t="s">
        <v>39</v>
      </c>
      <c r="B34" s="100"/>
      <c r="C34" s="100"/>
    </row>
    <row r="35" spans="1:3" ht="18" customHeight="1" x14ac:dyDescent="0.2">
      <c r="A35" s="88" t="s">
        <v>146</v>
      </c>
      <c r="B35" s="101"/>
    </row>
    <row r="37" spans="1:3" ht="18" customHeight="1" x14ac:dyDescent="0.2">
      <c r="A37" s="94"/>
      <c r="B37" s="95" t="s">
        <v>134</v>
      </c>
      <c r="C37" s="95" t="s">
        <v>135</v>
      </c>
    </row>
    <row r="38" spans="1:3" ht="18" customHeight="1" x14ac:dyDescent="0.2">
      <c r="A38" s="96" t="s">
        <v>141</v>
      </c>
      <c r="B38" s="97"/>
      <c r="C38" s="97"/>
    </row>
    <row r="39" spans="1:3" ht="18" customHeight="1" x14ac:dyDescent="0.2">
      <c r="A39" s="96" t="s">
        <v>142</v>
      </c>
      <c r="B39" s="97"/>
      <c r="C39" s="97"/>
    </row>
    <row r="40" spans="1:3" ht="18" customHeight="1" x14ac:dyDescent="0.2">
      <c r="A40" s="96" t="s">
        <v>143</v>
      </c>
      <c r="B40" s="97"/>
      <c r="C40" s="97"/>
    </row>
    <row r="41" spans="1:3" ht="18" customHeight="1" x14ac:dyDescent="0.2">
      <c r="A41" s="96" t="s">
        <v>144</v>
      </c>
      <c r="B41" s="97"/>
      <c r="C41" s="97"/>
    </row>
    <row r="42" spans="1:3" ht="18" customHeight="1" x14ac:dyDescent="0.2">
      <c r="A42" s="98" t="s">
        <v>101</v>
      </c>
      <c r="B42" s="99"/>
      <c r="C42" s="99"/>
    </row>
    <row r="43" spans="1:3" ht="18" customHeight="1" x14ac:dyDescent="0.2">
      <c r="A43" s="39" t="s">
        <v>147</v>
      </c>
      <c r="B43" s="102"/>
    </row>
  </sheetData>
  <hyperlinks>
    <hyperlink ref="B1" location="Forside!A1" display="Forside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0"/>
  <sheetViews>
    <sheetView topLeftCell="A48" zoomScale="80" zoomScaleNormal="80" workbookViewId="0">
      <selection activeCell="H61" sqref="H61"/>
    </sheetView>
  </sheetViews>
  <sheetFormatPr baseColWidth="10" defaultColWidth="24.5" defaultRowHeight="18" customHeight="1" x14ac:dyDescent="0.2"/>
  <cols>
    <col min="1" max="1" width="33.33203125" style="4" customWidth="1"/>
    <col min="2" max="10" width="12.1640625" style="4" customWidth="1"/>
    <col min="11" max="16384" width="24.5" style="4"/>
  </cols>
  <sheetData>
    <row r="1" spans="1:8" ht="18" customHeight="1" x14ac:dyDescent="0.2">
      <c r="A1" s="4" t="s">
        <v>148</v>
      </c>
      <c r="B1" s="2" t="s">
        <v>1</v>
      </c>
    </row>
    <row r="3" spans="1:8" ht="18" customHeight="1" x14ac:dyDescent="0.2">
      <c r="A3" s="49" t="s">
        <v>105</v>
      </c>
      <c r="B3" s="65"/>
      <c r="C3" s="65"/>
      <c r="D3" s="65"/>
      <c r="E3" s="65"/>
      <c r="F3" s="65"/>
      <c r="G3" s="65"/>
      <c r="H3" s="65"/>
    </row>
    <row r="4" spans="1:8" ht="18" customHeight="1" x14ac:dyDescent="0.2">
      <c r="A4" s="66"/>
      <c r="B4" s="66"/>
      <c r="C4" s="66"/>
      <c r="D4" s="66"/>
      <c r="E4" s="66"/>
      <c r="F4" s="66"/>
      <c r="G4" s="66"/>
      <c r="H4" s="66"/>
    </row>
    <row r="5" spans="1:8" ht="18" customHeight="1" x14ac:dyDescent="0.2">
      <c r="A5" s="68"/>
      <c r="B5" s="66" t="s">
        <v>106</v>
      </c>
      <c r="C5" s="66" t="s">
        <v>107</v>
      </c>
      <c r="F5" s="66"/>
      <c r="G5" s="66"/>
      <c r="H5" s="66"/>
    </row>
    <row r="6" spans="1:8" ht="18" customHeight="1" x14ac:dyDescent="0.2">
      <c r="A6" s="51" t="s">
        <v>5</v>
      </c>
      <c r="B6" s="52">
        <v>1000000</v>
      </c>
      <c r="C6" s="52">
        <v>1500000</v>
      </c>
      <c r="F6" s="66"/>
      <c r="G6" s="66"/>
      <c r="H6" s="66"/>
    </row>
    <row r="7" spans="1:8" ht="18" customHeight="1" x14ac:dyDescent="0.2">
      <c r="A7" s="51" t="s">
        <v>9</v>
      </c>
      <c r="B7" s="52">
        <v>6</v>
      </c>
      <c r="C7" s="52">
        <v>8</v>
      </c>
      <c r="F7" s="66"/>
      <c r="G7" s="66"/>
      <c r="H7" s="66"/>
    </row>
    <row r="8" spans="1:8" ht="18" customHeight="1" x14ac:dyDescent="0.2">
      <c r="A8" s="51" t="s">
        <v>19</v>
      </c>
      <c r="B8" s="52">
        <v>250000</v>
      </c>
      <c r="C8" s="52">
        <v>350000</v>
      </c>
      <c r="F8" s="66"/>
      <c r="G8" s="66"/>
      <c r="H8" s="66"/>
    </row>
    <row r="9" spans="1:8" ht="18" customHeight="1" x14ac:dyDescent="0.2">
      <c r="A9" s="53" t="s">
        <v>32</v>
      </c>
      <c r="B9" s="53">
        <v>150</v>
      </c>
      <c r="C9" s="53">
        <v>125</v>
      </c>
      <c r="F9" s="66"/>
      <c r="G9" s="66"/>
      <c r="H9" s="66"/>
    </row>
    <row r="10" spans="1:8" ht="18" customHeight="1" x14ac:dyDescent="0.2">
      <c r="A10" s="51" t="s">
        <v>77</v>
      </c>
      <c r="B10" s="51">
        <v>300</v>
      </c>
      <c r="C10" s="51">
        <v>300</v>
      </c>
      <c r="F10" s="66"/>
      <c r="G10" s="66"/>
      <c r="H10" s="66"/>
    </row>
    <row r="11" spans="1:8" ht="18" customHeight="1" x14ac:dyDescent="0.2">
      <c r="A11" s="53" t="s">
        <v>108</v>
      </c>
      <c r="B11" s="54">
        <v>2050</v>
      </c>
      <c r="C11" s="54">
        <v>2050</v>
      </c>
      <c r="F11" s="66"/>
      <c r="G11" s="66"/>
      <c r="H11" s="66"/>
    </row>
    <row r="12" spans="1:8" ht="18" customHeight="1" x14ac:dyDescent="0.2">
      <c r="A12" s="53" t="s">
        <v>39</v>
      </c>
      <c r="B12" s="56">
        <v>0.12</v>
      </c>
      <c r="C12" s="56">
        <v>0.12</v>
      </c>
      <c r="F12" s="66"/>
      <c r="G12" s="66"/>
      <c r="H12" s="66"/>
    </row>
    <row r="13" spans="1:8" ht="18" customHeight="1" x14ac:dyDescent="0.2">
      <c r="A13" s="68"/>
      <c r="B13" s="66"/>
      <c r="C13" s="66"/>
      <c r="D13" s="66"/>
      <c r="E13" s="66"/>
      <c r="F13" s="66"/>
      <c r="G13" s="66"/>
      <c r="H13" s="66"/>
    </row>
    <row r="14" spans="1:8" ht="18" customHeight="1" x14ac:dyDescent="0.2">
      <c r="A14" s="32" t="s">
        <v>149</v>
      </c>
      <c r="B14" s="66"/>
      <c r="C14" s="66"/>
      <c r="D14" s="66"/>
      <c r="E14" s="66"/>
      <c r="F14" s="66"/>
      <c r="G14" s="66"/>
      <c r="H14" s="66"/>
    </row>
    <row r="15" spans="1:8" ht="18" customHeight="1" x14ac:dyDescent="0.2">
      <c r="A15" s="32" t="s">
        <v>110</v>
      </c>
      <c r="B15" s="66"/>
      <c r="C15" s="66"/>
      <c r="D15" s="66"/>
      <c r="E15" s="66"/>
      <c r="F15" s="66"/>
      <c r="G15" s="66"/>
      <c r="H15" s="66"/>
    </row>
    <row r="16" spans="1:8" ht="18" customHeight="1" x14ac:dyDescent="0.2">
      <c r="B16" s="66"/>
      <c r="C16" s="66"/>
      <c r="D16" s="66"/>
      <c r="E16" s="66"/>
      <c r="F16" s="66"/>
      <c r="G16" s="66"/>
      <c r="H16" s="66"/>
    </row>
    <row r="17" spans="1:8" ht="18" customHeight="1" x14ac:dyDescent="0.2">
      <c r="A17" s="32"/>
      <c r="B17" s="66"/>
      <c r="C17" s="66"/>
      <c r="D17" s="66"/>
      <c r="E17" s="66"/>
      <c r="F17" s="66"/>
      <c r="G17" s="66"/>
      <c r="H17" s="66"/>
    </row>
    <row r="18" spans="1:8" ht="18" customHeight="1" x14ac:dyDescent="0.2">
      <c r="A18" s="69" t="s">
        <v>111</v>
      </c>
      <c r="B18" s="70"/>
      <c r="C18" s="70"/>
      <c r="D18" s="70"/>
      <c r="E18" s="70"/>
      <c r="F18" s="70"/>
      <c r="G18" s="70"/>
      <c r="H18" s="71"/>
    </row>
    <row r="19" spans="1:8" ht="18" customHeight="1" x14ac:dyDescent="0.2">
      <c r="A19" s="72" t="s">
        <v>18</v>
      </c>
      <c r="B19" s="72">
        <v>0</v>
      </c>
      <c r="C19" s="72">
        <v>1</v>
      </c>
      <c r="D19" s="72">
        <v>2</v>
      </c>
      <c r="E19" s="72">
        <v>3</v>
      </c>
      <c r="F19" s="72">
        <v>4</v>
      </c>
      <c r="G19" s="72">
        <v>5</v>
      </c>
      <c r="H19" s="72">
        <v>6</v>
      </c>
    </row>
    <row r="20" spans="1:8" ht="18" customHeight="1" x14ac:dyDescent="0.2">
      <c r="A20" s="73" t="s">
        <v>5</v>
      </c>
      <c r="B20" s="74">
        <f>-B6</f>
        <v>-1000000</v>
      </c>
      <c r="C20" s="74"/>
      <c r="D20" s="74"/>
      <c r="E20" s="74"/>
      <c r="F20" s="74"/>
      <c r="G20" s="74"/>
      <c r="H20" s="74"/>
    </row>
    <row r="21" spans="1:8" ht="18" customHeight="1" x14ac:dyDescent="0.2">
      <c r="A21" s="73" t="s">
        <v>7</v>
      </c>
      <c r="B21" s="74"/>
      <c r="C21" s="74"/>
      <c r="D21" s="74"/>
      <c r="E21" s="74"/>
      <c r="F21" s="74"/>
      <c r="G21" s="74"/>
      <c r="H21" s="74">
        <f>B8</f>
        <v>250000</v>
      </c>
    </row>
    <row r="22" spans="1:8" ht="18" customHeight="1" x14ac:dyDescent="0.2">
      <c r="A22" s="73" t="s">
        <v>10</v>
      </c>
      <c r="B22" s="74"/>
      <c r="C22" s="74">
        <f>B11*B10</f>
        <v>615000</v>
      </c>
      <c r="D22" s="74">
        <f>C22</f>
        <v>615000</v>
      </c>
      <c r="E22" s="74">
        <f t="shared" ref="E22:H22" si="0">D22</f>
        <v>615000</v>
      </c>
      <c r="F22" s="74">
        <f t="shared" si="0"/>
        <v>615000</v>
      </c>
      <c r="G22" s="74">
        <f t="shared" si="0"/>
        <v>615000</v>
      </c>
      <c r="H22" s="74">
        <f t="shared" si="0"/>
        <v>615000</v>
      </c>
    </row>
    <row r="23" spans="1:8" ht="18" customHeight="1" x14ac:dyDescent="0.2">
      <c r="A23" s="73" t="s">
        <v>12</v>
      </c>
      <c r="B23" s="74"/>
      <c r="C23" s="74">
        <f>-B9*B11</f>
        <v>-307500</v>
      </c>
      <c r="D23" s="74">
        <f>C23</f>
        <v>-307500</v>
      </c>
      <c r="E23" s="74">
        <f t="shared" ref="E23:H23" si="1">D23</f>
        <v>-307500</v>
      </c>
      <c r="F23" s="74">
        <f t="shared" si="1"/>
        <v>-307500</v>
      </c>
      <c r="G23" s="74">
        <f t="shared" si="1"/>
        <v>-307500</v>
      </c>
      <c r="H23" s="74">
        <f t="shared" si="1"/>
        <v>-307500</v>
      </c>
    </row>
    <row r="24" spans="1:8" ht="18" customHeight="1" x14ac:dyDescent="0.2">
      <c r="A24" s="73" t="s">
        <v>20</v>
      </c>
      <c r="B24" s="74">
        <f>SUM(B20:B23)</f>
        <v>-1000000</v>
      </c>
      <c r="C24" s="74">
        <f t="shared" ref="C24:H24" si="2">SUM(C20:C23)</f>
        <v>307500</v>
      </c>
      <c r="D24" s="74">
        <f t="shared" si="2"/>
        <v>307500</v>
      </c>
      <c r="E24" s="74">
        <f t="shared" si="2"/>
        <v>307500</v>
      </c>
      <c r="F24" s="74">
        <f t="shared" si="2"/>
        <v>307500</v>
      </c>
      <c r="G24" s="74">
        <f t="shared" si="2"/>
        <v>307500</v>
      </c>
      <c r="H24" s="74">
        <f t="shared" si="2"/>
        <v>557500</v>
      </c>
    </row>
    <row r="25" spans="1:8" ht="18" customHeight="1" x14ac:dyDescent="0.2">
      <c r="A25" s="73" t="s">
        <v>100</v>
      </c>
      <c r="B25" s="74">
        <f>B24</f>
        <v>-1000000</v>
      </c>
      <c r="C25" s="74">
        <f>C24/(1+$B$12)^C19</f>
        <v>274553.57142857142</v>
      </c>
      <c r="D25" s="74">
        <f t="shared" ref="D25:H25" si="3">D24/(1+$B$12)^D19</f>
        <v>245137.11734693873</v>
      </c>
      <c r="E25" s="74">
        <f t="shared" si="3"/>
        <v>218872.42620262384</v>
      </c>
      <c r="F25" s="74">
        <f t="shared" si="3"/>
        <v>195421.80910948559</v>
      </c>
      <c r="G25" s="74">
        <f t="shared" si="3"/>
        <v>174483.75813346927</v>
      </c>
      <c r="H25" s="74">
        <f t="shared" si="3"/>
        <v>282446.85005635628</v>
      </c>
    </row>
    <row r="26" spans="1:8" ht="18" customHeight="1" x14ac:dyDescent="0.2">
      <c r="A26" s="81" t="s">
        <v>101</v>
      </c>
      <c r="B26" s="72">
        <f>SUM(C25:H25)+B25</f>
        <v>390915.53227744531</v>
      </c>
      <c r="C26" s="76"/>
      <c r="D26" s="76"/>
      <c r="E26" s="76"/>
      <c r="F26" s="76"/>
      <c r="G26" s="76"/>
    </row>
    <row r="27" spans="1:8" ht="18" customHeight="1" x14ac:dyDescent="0.2">
      <c r="A27" s="82" t="s">
        <v>44</v>
      </c>
      <c r="B27" s="78">
        <f>NPV(B12,C24:H24)+B25</f>
        <v>390915.53227744484</v>
      </c>
      <c r="C27" s="76"/>
      <c r="D27" s="76"/>
      <c r="E27" s="76"/>
      <c r="F27" s="76"/>
      <c r="G27" s="76"/>
    </row>
    <row r="28" spans="1:8" ht="18" customHeight="1" x14ac:dyDescent="0.2">
      <c r="A28" s="77" t="s">
        <v>126</v>
      </c>
      <c r="B28" s="78">
        <f>-PMT(B12,B7,B27)</f>
        <v>95080.711181527877</v>
      </c>
      <c r="C28" s="76"/>
      <c r="D28" s="76"/>
      <c r="E28" s="76"/>
      <c r="F28" s="76"/>
      <c r="G28" s="76"/>
    </row>
    <row r="29" spans="1:8" ht="18" customHeight="1" x14ac:dyDescent="0.2">
      <c r="A29" s="32"/>
      <c r="B29" s="80"/>
    </row>
    <row r="30" spans="1:8" ht="18" customHeight="1" x14ac:dyDescent="0.2">
      <c r="A30" s="32" t="s">
        <v>150</v>
      </c>
    </row>
    <row r="31" spans="1:8" ht="18" customHeight="1" x14ac:dyDescent="0.2">
      <c r="A31" s="32" t="s">
        <v>110</v>
      </c>
    </row>
    <row r="33" spans="1:10" ht="18" customHeight="1" x14ac:dyDescent="0.2">
      <c r="A33" s="32"/>
    </row>
    <row r="34" spans="1:10" ht="18" customHeight="1" x14ac:dyDescent="0.2">
      <c r="A34" s="69" t="s">
        <v>113</v>
      </c>
      <c r="B34" s="70"/>
      <c r="C34" s="70"/>
      <c r="D34" s="70"/>
      <c r="E34" s="70"/>
      <c r="F34" s="70"/>
      <c r="G34" s="70"/>
      <c r="H34" s="71"/>
      <c r="I34" s="71"/>
      <c r="J34" s="71"/>
    </row>
    <row r="35" spans="1:10" ht="18" customHeight="1" x14ac:dyDescent="0.2">
      <c r="A35" s="72" t="s">
        <v>18</v>
      </c>
      <c r="B35" s="72">
        <v>0</v>
      </c>
      <c r="C35" s="72">
        <v>1</v>
      </c>
      <c r="D35" s="72">
        <v>2</v>
      </c>
      <c r="E35" s="72">
        <v>3</v>
      </c>
      <c r="F35" s="72">
        <v>4</v>
      </c>
      <c r="G35" s="72">
        <v>5</v>
      </c>
      <c r="H35" s="72">
        <v>6</v>
      </c>
      <c r="I35" s="72">
        <v>7</v>
      </c>
      <c r="J35" s="72">
        <v>8</v>
      </c>
    </row>
    <row r="36" spans="1:10" ht="18" customHeight="1" x14ac:dyDescent="0.2">
      <c r="A36" s="73" t="s">
        <v>5</v>
      </c>
      <c r="B36" s="74">
        <f>-C6</f>
        <v>-1500000</v>
      </c>
      <c r="C36" s="74"/>
      <c r="D36" s="74"/>
      <c r="E36" s="74"/>
      <c r="F36" s="74"/>
      <c r="G36" s="74"/>
      <c r="H36" s="74"/>
      <c r="I36" s="74"/>
      <c r="J36" s="74"/>
    </row>
    <row r="37" spans="1:10" ht="18" customHeight="1" x14ac:dyDescent="0.2">
      <c r="A37" s="73" t="s">
        <v>7</v>
      </c>
      <c r="B37" s="74"/>
      <c r="C37" s="74"/>
      <c r="D37" s="74"/>
      <c r="E37" s="74"/>
      <c r="F37" s="74"/>
      <c r="G37" s="74"/>
      <c r="H37" s="74"/>
      <c r="I37" s="74"/>
      <c r="J37" s="74">
        <f>C8</f>
        <v>350000</v>
      </c>
    </row>
    <row r="38" spans="1:10" ht="18" customHeight="1" x14ac:dyDescent="0.2">
      <c r="A38" s="73" t="s">
        <v>10</v>
      </c>
      <c r="B38" s="74"/>
      <c r="C38" s="74">
        <f>$C$10*$C$11</f>
        <v>615000</v>
      </c>
      <c r="D38" s="74">
        <f t="shared" ref="D38:J38" si="4">$C$10*$C$11</f>
        <v>615000</v>
      </c>
      <c r="E38" s="74">
        <f t="shared" si="4"/>
        <v>615000</v>
      </c>
      <c r="F38" s="74">
        <f t="shared" si="4"/>
        <v>615000</v>
      </c>
      <c r="G38" s="74">
        <f t="shared" si="4"/>
        <v>615000</v>
      </c>
      <c r="H38" s="74">
        <f t="shared" si="4"/>
        <v>615000</v>
      </c>
      <c r="I38" s="74">
        <f t="shared" si="4"/>
        <v>615000</v>
      </c>
      <c r="J38" s="74">
        <f t="shared" si="4"/>
        <v>615000</v>
      </c>
    </row>
    <row r="39" spans="1:10" ht="18" customHeight="1" x14ac:dyDescent="0.2">
      <c r="A39" s="73" t="s">
        <v>12</v>
      </c>
      <c r="B39" s="74"/>
      <c r="C39" s="74">
        <f>-$C$11*$C$9</f>
        <v>-256250</v>
      </c>
      <c r="D39" s="74">
        <f t="shared" ref="D39:J39" si="5">-$C$11*$C$9</f>
        <v>-256250</v>
      </c>
      <c r="E39" s="74">
        <f t="shared" si="5"/>
        <v>-256250</v>
      </c>
      <c r="F39" s="74">
        <f t="shared" si="5"/>
        <v>-256250</v>
      </c>
      <c r="G39" s="74">
        <f t="shared" si="5"/>
        <v>-256250</v>
      </c>
      <c r="H39" s="74">
        <f t="shared" si="5"/>
        <v>-256250</v>
      </c>
      <c r="I39" s="74">
        <f t="shared" si="5"/>
        <v>-256250</v>
      </c>
      <c r="J39" s="74">
        <f t="shared" si="5"/>
        <v>-256250</v>
      </c>
    </row>
    <row r="40" spans="1:10" ht="18" customHeight="1" x14ac:dyDescent="0.2">
      <c r="A40" s="73" t="s">
        <v>20</v>
      </c>
      <c r="B40" s="74">
        <f>SUM(B36:B39)</f>
        <v>-1500000</v>
      </c>
      <c r="C40" s="74">
        <f t="shared" ref="C40:I40" si="6">SUM(C36:C39)</f>
        <v>358750</v>
      </c>
      <c r="D40" s="74">
        <f t="shared" si="6"/>
        <v>358750</v>
      </c>
      <c r="E40" s="74">
        <f t="shared" si="6"/>
        <v>358750</v>
      </c>
      <c r="F40" s="74">
        <f t="shared" si="6"/>
        <v>358750</v>
      </c>
      <c r="G40" s="74">
        <f t="shared" si="6"/>
        <v>358750</v>
      </c>
      <c r="H40" s="74">
        <f t="shared" si="6"/>
        <v>358750</v>
      </c>
      <c r="I40" s="74">
        <f t="shared" si="6"/>
        <v>358750</v>
      </c>
      <c r="J40" s="74">
        <f>SUM(J36:J39)</f>
        <v>708750</v>
      </c>
    </row>
    <row r="41" spans="1:10" ht="18" customHeight="1" x14ac:dyDescent="0.2">
      <c r="A41" s="73" t="s">
        <v>100</v>
      </c>
      <c r="B41" s="74">
        <f>B40</f>
        <v>-1500000</v>
      </c>
      <c r="C41" s="74">
        <f>C40/(1+$C$12)^C35</f>
        <v>320312.49999999994</v>
      </c>
      <c r="D41" s="74">
        <f t="shared" ref="D41:J41" si="7">D40/(1+$C$12)^D35</f>
        <v>285993.30357142852</v>
      </c>
      <c r="E41" s="74">
        <f t="shared" si="7"/>
        <v>255351.16390306115</v>
      </c>
      <c r="F41" s="74">
        <f t="shared" si="7"/>
        <v>227992.11062773317</v>
      </c>
      <c r="G41" s="74">
        <f t="shared" si="7"/>
        <v>203564.38448904749</v>
      </c>
      <c r="H41" s="74">
        <f t="shared" si="7"/>
        <v>181753.91472236378</v>
      </c>
      <c r="I41" s="74">
        <f t="shared" si="7"/>
        <v>162280.28100211051</v>
      </c>
      <c r="J41" s="74">
        <f t="shared" si="7"/>
        <v>286252.23783037788</v>
      </c>
    </row>
    <row r="42" spans="1:10" ht="18" customHeight="1" x14ac:dyDescent="0.2">
      <c r="A42" s="81" t="s">
        <v>101</v>
      </c>
      <c r="B42" s="72">
        <f>SUM(C41:J41)+B41</f>
        <v>423499.89614612237</v>
      </c>
      <c r="C42" s="76"/>
      <c r="D42" s="76"/>
      <c r="E42" s="76"/>
      <c r="F42" s="76"/>
      <c r="G42" s="76"/>
    </row>
    <row r="43" spans="1:10" ht="18" customHeight="1" x14ac:dyDescent="0.2">
      <c r="A43" s="82" t="s">
        <v>44</v>
      </c>
      <c r="B43" s="78">
        <f>NPV(C12,C40:J40)+B40</f>
        <v>423499.89614612237</v>
      </c>
      <c r="C43" s="76"/>
      <c r="D43" s="76"/>
      <c r="E43" s="76"/>
      <c r="F43" s="76"/>
      <c r="G43" s="76"/>
    </row>
    <row r="44" spans="1:10" ht="18" customHeight="1" x14ac:dyDescent="0.2">
      <c r="A44" s="77" t="s">
        <v>126</v>
      </c>
      <c r="B44" s="78">
        <f>-PMT(C12,C7,B43)</f>
        <v>85251.732416909552</v>
      </c>
      <c r="C44" s="76"/>
      <c r="D44" s="76"/>
      <c r="E44" s="76"/>
      <c r="F44" s="76"/>
      <c r="G44" s="76"/>
    </row>
    <row r="46" spans="1:10" ht="18" customHeight="1" x14ac:dyDescent="0.2">
      <c r="A46" s="32" t="s">
        <v>151</v>
      </c>
    </row>
    <row r="47" spans="1:10" ht="18" customHeight="1" x14ac:dyDescent="0.2">
      <c r="A47" s="33" t="s">
        <v>325</v>
      </c>
    </row>
    <row r="48" spans="1:10" ht="18" customHeight="1" x14ac:dyDescent="0.2">
      <c r="A48" s="33" t="s">
        <v>326</v>
      </c>
    </row>
    <row r="50" spans="1:2" ht="18" customHeight="1" x14ac:dyDescent="0.2">
      <c r="A50" s="32" t="s">
        <v>152</v>
      </c>
    </row>
    <row r="51" spans="1:2" ht="18" customHeight="1" x14ac:dyDescent="0.2">
      <c r="A51" s="32" t="s">
        <v>153</v>
      </c>
    </row>
    <row r="52" spans="1:2" ht="18" customHeight="1" x14ac:dyDescent="0.2">
      <c r="A52" s="33" t="s">
        <v>327</v>
      </c>
    </row>
    <row r="53" spans="1:2" ht="18" customHeight="1" x14ac:dyDescent="0.2">
      <c r="A53" s="33" t="s">
        <v>328</v>
      </c>
    </row>
    <row r="54" spans="1:2" ht="18" customHeight="1" x14ac:dyDescent="0.2">
      <c r="A54" s="4" t="s">
        <v>330</v>
      </c>
    </row>
    <row r="56" spans="1:2" ht="18" customHeight="1" x14ac:dyDescent="0.2">
      <c r="A56" s="44" t="s">
        <v>154</v>
      </c>
    </row>
    <row r="57" spans="1:2" ht="18" customHeight="1" x14ac:dyDescent="0.2">
      <c r="A57" s="25" t="s">
        <v>106</v>
      </c>
      <c r="B57" s="26">
        <f>B28/B12</f>
        <v>792339.25984606566</v>
      </c>
    </row>
    <row r="58" spans="1:2" ht="18" customHeight="1" x14ac:dyDescent="0.2">
      <c r="A58" s="25" t="s">
        <v>107</v>
      </c>
      <c r="B58" s="26">
        <f>B44/C12</f>
        <v>710431.10347424634</v>
      </c>
    </row>
    <row r="60" spans="1:2" ht="18" customHeight="1" x14ac:dyDescent="0.2">
      <c r="A60" s="4" t="s">
        <v>331</v>
      </c>
    </row>
  </sheetData>
  <hyperlinks>
    <hyperlink ref="B1" location="Forside!A1" display="Forsid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Forside</vt:lpstr>
      <vt:lpstr>I1</vt:lpstr>
      <vt:lpstr>I2</vt:lpstr>
      <vt:lpstr>I3</vt:lpstr>
      <vt:lpstr>I4</vt:lpstr>
      <vt:lpstr>I5</vt:lpstr>
      <vt:lpstr>I6</vt:lpstr>
      <vt:lpstr>I7</vt:lpstr>
      <vt:lpstr>I8</vt:lpstr>
      <vt:lpstr>I9</vt:lpstr>
      <vt:lpstr>I10</vt:lpstr>
      <vt:lpstr>I11</vt:lpstr>
      <vt:lpstr>I12</vt:lpstr>
      <vt:lpstr>I13</vt:lpstr>
      <vt:lpstr>I14</vt:lpstr>
      <vt:lpstr>I15</vt:lpstr>
    </vt:vector>
  </TitlesOfParts>
  <Company>SAMF-IT,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Johannesen</dc:creator>
  <cp:lastModifiedBy>Jeppe Vanderhaegen</cp:lastModifiedBy>
  <dcterms:created xsi:type="dcterms:W3CDTF">2018-02-06T16:34:45Z</dcterms:created>
  <dcterms:modified xsi:type="dcterms:W3CDTF">2021-04-07T19:03:50Z</dcterms:modified>
</cp:coreProperties>
</file>