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pee/Documents/University/2. Sem /EØ/Materiale/"/>
    </mc:Choice>
  </mc:AlternateContent>
  <xr:revisionPtr revIDLastSave="0" documentId="13_ncr:1_{89F811E0-B978-B044-8529-06D97CD42794}" xr6:coauthVersionLast="47" xr6:coauthVersionMax="47" xr10:uidLastSave="{00000000-0000-0000-0000-000000000000}"/>
  <bookViews>
    <workbookView xWindow="0" yWindow="460" windowWidth="25600" windowHeight="14200" tabRatio="872" firstSheet="22" activeTab="34" xr2:uid="{00000000-000D-0000-FFFF-FFFF00000000}"/>
  </bookViews>
  <sheets>
    <sheet name="Forside" sheetId="1" r:id="rId1"/>
    <sheet name="R1" sheetId="55" r:id="rId2"/>
    <sheet name="R2" sheetId="63" r:id="rId3"/>
    <sheet name="R3" sheetId="217" r:id="rId4"/>
    <sheet name="R4" sheetId="216" r:id="rId5"/>
    <sheet name="R5" sheetId="215" r:id="rId6"/>
    <sheet name="R6" sheetId="64" r:id="rId7"/>
    <sheet name="R7" sheetId="65" r:id="rId8"/>
    <sheet name="R8" sheetId="107" r:id="rId9"/>
    <sheet name="R9" sheetId="100" r:id="rId10"/>
    <sheet name="R10" sheetId="218" r:id="rId11"/>
    <sheet name="R11" sheetId="109" r:id="rId12"/>
    <sheet name="R12" sheetId="219" r:id="rId13"/>
    <sheet name="R13" sheetId="111" r:id="rId14"/>
    <sheet name="R14" sheetId="113" r:id="rId15"/>
    <sheet name="R15" sheetId="118" r:id="rId16"/>
    <sheet name="R16" sheetId="136" r:id="rId17"/>
    <sheet name="R17" sheetId="66" r:id="rId18"/>
    <sheet name="R18" sheetId="67" r:id="rId19"/>
    <sheet name="R19" sheetId="125" r:id="rId20"/>
    <sheet name="R20" sheetId="128" r:id="rId21"/>
    <sheet name="R21" sheetId="117" r:id="rId22"/>
    <sheet name="R22" sheetId="130" r:id="rId23"/>
    <sheet name="R23" sheetId="119" r:id="rId24"/>
    <sheet name="R24" sheetId="121" r:id="rId25"/>
    <sheet name="R25" sheetId="122" r:id="rId26"/>
    <sheet name="R26" sheetId="57" r:id="rId27"/>
    <sheet name="R27" sheetId="220" r:id="rId28"/>
    <sheet name="R28" sheetId="221" r:id="rId29"/>
    <sheet name="R29" sheetId="222" r:id="rId30"/>
    <sheet name="R30" sheetId="147" r:id="rId31"/>
    <sheet name="R31" sheetId="69" r:id="rId32"/>
    <sheet name="R32" sheetId="224" r:id="rId33"/>
    <sheet name="R33" sheetId="225" r:id="rId34"/>
    <sheet name="R34" sheetId="73" r:id="rId35"/>
    <sheet name="R35" sheetId="74" r:id="rId36"/>
    <sheet name="R36" sheetId="75" r:id="rId37"/>
    <sheet name="R37" sheetId="77" r:id="rId38"/>
    <sheet name="R38" sheetId="223" r:id="rId39"/>
    <sheet name="R39" sheetId="131" r:id="rId40"/>
    <sheet name="R40" sheetId="133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73" l="1"/>
  <c r="C23" i="133"/>
  <c r="B39" i="133"/>
  <c r="B41" i="133"/>
  <c r="B40" i="133"/>
  <c r="B34" i="133"/>
  <c r="B33" i="133"/>
  <c r="B32" i="133"/>
  <c r="B19" i="131"/>
  <c r="B30" i="133"/>
  <c r="O28" i="133"/>
  <c r="O27" i="133"/>
  <c r="P27" i="133" s="1"/>
  <c r="F27" i="133"/>
  <c r="G27" i="133"/>
  <c r="H27" i="133"/>
  <c r="I27" i="133"/>
  <c r="J27" i="133"/>
  <c r="K27" i="133"/>
  <c r="L27" i="133"/>
  <c r="M27" i="133"/>
  <c r="N27" i="133"/>
  <c r="E27" i="133"/>
  <c r="P18" i="131"/>
  <c r="G18" i="131"/>
  <c r="H18" i="131"/>
  <c r="I18" i="131"/>
  <c r="J18" i="131"/>
  <c r="K18" i="131"/>
  <c r="L18" i="131"/>
  <c r="M18" i="131"/>
  <c r="N18" i="131"/>
  <c r="O18" i="131"/>
  <c r="F18" i="131"/>
  <c r="D1" i="131"/>
  <c r="B47" i="74"/>
  <c r="B24" i="131"/>
  <c r="B23" i="131"/>
  <c r="C19" i="75"/>
  <c r="D19" i="75"/>
  <c r="E19" i="75"/>
  <c r="E24" i="75" s="1"/>
  <c r="F19" i="75"/>
  <c r="F24" i="75" s="1"/>
  <c r="B19" i="75"/>
  <c r="B42" i="223"/>
  <c r="C37" i="223"/>
  <c r="D37" i="223"/>
  <c r="D39" i="223" s="1"/>
  <c r="B39" i="223"/>
  <c r="C39" i="223"/>
  <c r="B37" i="223"/>
  <c r="C43" i="223"/>
  <c r="D43" i="223"/>
  <c r="B43" i="223"/>
  <c r="C42" i="223"/>
  <c r="D42" i="223"/>
  <c r="C41" i="223"/>
  <c r="D41" i="223"/>
  <c r="B41" i="223"/>
  <c r="B28" i="75"/>
  <c r="B28" i="223"/>
  <c r="B30" i="223"/>
  <c r="C38" i="223"/>
  <c r="D38" i="223"/>
  <c r="B38" i="223"/>
  <c r="B29" i="223"/>
  <c r="C40" i="223"/>
  <c r="D40" i="223"/>
  <c r="B40" i="223"/>
  <c r="C29" i="223"/>
  <c r="D29" i="223"/>
  <c r="B35" i="223"/>
  <c r="B34" i="223"/>
  <c r="D36" i="223"/>
  <c r="C36" i="223"/>
  <c r="B36" i="223"/>
  <c r="C35" i="223"/>
  <c r="D35" i="223"/>
  <c r="C34" i="223"/>
  <c r="D34" i="223"/>
  <c r="C33" i="223"/>
  <c r="D33" i="223"/>
  <c r="B33" i="223"/>
  <c r="C30" i="223"/>
  <c r="D30" i="223"/>
  <c r="B30" i="77"/>
  <c r="C28" i="223"/>
  <c r="D28" i="223"/>
  <c r="C32" i="77"/>
  <c r="D32" i="77"/>
  <c r="B32" i="77"/>
  <c r="D28" i="77"/>
  <c r="C28" i="77"/>
  <c r="B28" i="77"/>
  <c r="B27" i="77"/>
  <c r="B29" i="77"/>
  <c r="C31" i="77"/>
  <c r="D31" i="77"/>
  <c r="B31" i="77"/>
  <c r="B40" i="74"/>
  <c r="C30" i="77"/>
  <c r="D30" i="77"/>
  <c r="B39" i="74"/>
  <c r="C38" i="74"/>
  <c r="D38" i="74"/>
  <c r="B38" i="74"/>
  <c r="B43" i="74"/>
  <c r="B23" i="73"/>
  <c r="B36" i="74"/>
  <c r="C28" i="75"/>
  <c r="D28" i="75"/>
  <c r="E28" i="75"/>
  <c r="F28" i="75"/>
  <c r="B24" i="75"/>
  <c r="C23" i="75"/>
  <c r="D23" i="75"/>
  <c r="E23" i="75"/>
  <c r="E26" i="75" s="1"/>
  <c r="F23" i="75"/>
  <c r="F26" i="75" s="1"/>
  <c r="B23" i="75"/>
  <c r="B22" i="75"/>
  <c r="B21" i="75"/>
  <c r="B20" i="75"/>
  <c r="B18" i="75"/>
  <c r="B17" i="75"/>
  <c r="F16" i="75"/>
  <c r="C16" i="75"/>
  <c r="D16" i="75"/>
  <c r="E16" i="75"/>
  <c r="B16" i="75"/>
  <c r="C42" i="74"/>
  <c r="D42" i="74"/>
  <c r="C41" i="74"/>
  <c r="D41" i="74"/>
  <c r="C45" i="74"/>
  <c r="D45" i="74"/>
  <c r="B37" i="74"/>
  <c r="C43" i="74"/>
  <c r="D43" i="74"/>
  <c r="C47" i="74"/>
  <c r="D47" i="74"/>
  <c r="B42" i="74"/>
  <c r="B35" i="74"/>
  <c r="B45" i="74"/>
  <c r="B11" i="77"/>
  <c r="B10" i="77"/>
  <c r="B9" i="77"/>
  <c r="C29" i="77"/>
  <c r="D29" i="77"/>
  <c r="C27" i="77"/>
  <c r="D27" i="77"/>
  <c r="C10" i="77"/>
  <c r="D10" i="77"/>
  <c r="C15" i="77"/>
  <c r="C17" i="77" s="1"/>
  <c r="D15" i="77"/>
  <c r="D17" i="77" s="1"/>
  <c r="B19" i="77"/>
  <c r="B18" i="77"/>
  <c r="B17" i="77"/>
  <c r="B15" i="77"/>
  <c r="C17" i="75"/>
  <c r="D17" i="75"/>
  <c r="E17" i="75"/>
  <c r="F17" i="75"/>
  <c r="C18" i="75"/>
  <c r="D18" i="75"/>
  <c r="E18" i="75"/>
  <c r="F18" i="75"/>
  <c r="C20" i="75"/>
  <c r="D20" i="75"/>
  <c r="E20" i="75"/>
  <c r="F20" i="75"/>
  <c r="C21" i="75"/>
  <c r="D21" i="75"/>
  <c r="E21" i="75"/>
  <c r="F21" i="75"/>
  <c r="C22" i="75"/>
  <c r="D22" i="75"/>
  <c r="E22" i="75"/>
  <c r="F22" i="75"/>
  <c r="C24" i="75"/>
  <c r="D24" i="75"/>
  <c r="C25" i="75"/>
  <c r="D25" i="75"/>
  <c r="E25" i="75"/>
  <c r="F25" i="75"/>
  <c r="C26" i="75"/>
  <c r="D26" i="75"/>
  <c r="B26" i="75"/>
  <c r="B25" i="75"/>
  <c r="C44" i="74"/>
  <c r="D44" i="74"/>
  <c r="B44" i="74"/>
  <c r="B41" i="74"/>
  <c r="C36" i="74"/>
  <c r="D36" i="74"/>
  <c r="C37" i="74"/>
  <c r="D37" i="74"/>
  <c r="C39" i="74"/>
  <c r="D39" i="74"/>
  <c r="C40" i="74"/>
  <c r="D40" i="74"/>
  <c r="C35" i="74"/>
  <c r="D35" i="74"/>
  <c r="B15" i="73"/>
  <c r="C23" i="73"/>
  <c r="C22" i="73"/>
  <c r="B22" i="73"/>
  <c r="C19" i="73"/>
  <c r="B19" i="73"/>
  <c r="B16" i="73"/>
  <c r="C18" i="73"/>
  <c r="B18" i="73"/>
  <c r="J25" i="224"/>
  <c r="J38" i="224"/>
  <c r="J35" i="224"/>
  <c r="J31" i="224"/>
  <c r="I44" i="225" l="1"/>
  <c r="I40" i="225"/>
  <c r="J39" i="224"/>
  <c r="J34" i="224"/>
  <c r="J33" i="224"/>
  <c r="I32" i="224"/>
  <c r="I30" i="224"/>
  <c r="I29" i="224"/>
  <c r="I28" i="224"/>
  <c r="I27" i="224"/>
  <c r="I26" i="224"/>
  <c r="I24" i="224"/>
  <c r="I23" i="224"/>
  <c r="G18" i="224"/>
  <c r="G19" i="224"/>
  <c r="G23" i="224"/>
  <c r="H15" i="224"/>
  <c r="H22" i="224"/>
  <c r="G21" i="224"/>
  <c r="G20" i="224"/>
  <c r="G17" i="224"/>
  <c r="G16" i="224"/>
  <c r="H22" i="147"/>
  <c r="Q14" i="147"/>
  <c r="B24" i="147"/>
  <c r="I39" i="222"/>
  <c r="H39" i="222"/>
  <c r="E24" i="147" l="1"/>
  <c r="E23" i="147"/>
  <c r="E19" i="147"/>
  <c r="J40" i="69" l="1"/>
  <c r="J39" i="69"/>
  <c r="I39" i="225" l="1"/>
  <c r="I38" i="225"/>
  <c r="I37" i="225"/>
  <c r="I36" i="225"/>
  <c r="H35" i="225"/>
  <c r="H34" i="225"/>
  <c r="H31" i="225"/>
  <c r="H28" i="225"/>
  <c r="I29" i="225"/>
  <c r="H33" i="225"/>
  <c r="H32" i="225"/>
  <c r="H30" i="225"/>
  <c r="I27" i="225"/>
  <c r="H26" i="225"/>
  <c r="H25" i="225"/>
  <c r="F24" i="225"/>
  <c r="F23" i="225"/>
  <c r="G39" i="69"/>
  <c r="G38" i="69"/>
  <c r="F22" i="225"/>
  <c r="F21" i="225"/>
  <c r="F20" i="225"/>
  <c r="F19" i="225"/>
  <c r="F18" i="225"/>
  <c r="F17" i="225"/>
  <c r="F16" i="225"/>
  <c r="G15" i="225"/>
  <c r="E31" i="225"/>
  <c r="D16" i="225"/>
  <c r="E31" i="224"/>
  <c r="F32" i="224"/>
  <c r="F27" i="224"/>
  <c r="E16" i="224"/>
  <c r="E17" i="69"/>
  <c r="E20" i="224"/>
  <c r="E37" i="224"/>
  <c r="F36" i="224"/>
  <c r="G17" i="69"/>
  <c r="J37" i="69"/>
  <c r="J36" i="69"/>
  <c r="J33" i="69"/>
  <c r="J32" i="69"/>
  <c r="J31" i="69"/>
  <c r="J30" i="69"/>
  <c r="I29" i="69"/>
  <c r="I28" i="69"/>
  <c r="I27" i="69"/>
  <c r="I26" i="69"/>
  <c r="J25" i="69"/>
  <c r="G23" i="69"/>
  <c r="G22" i="69"/>
  <c r="G21" i="69"/>
  <c r="G20" i="69"/>
  <c r="G19" i="69"/>
  <c r="G18" i="69"/>
  <c r="E21" i="147"/>
  <c r="M19" i="147"/>
  <c r="N15" i="147"/>
  <c r="N14" i="147"/>
  <c r="B22" i="147"/>
  <c r="B20" i="147"/>
  <c r="B19" i="147"/>
  <c r="H4" i="147"/>
  <c r="I4" i="147"/>
  <c r="B21" i="147" s="1"/>
  <c r="G39" i="222"/>
  <c r="K17" i="221"/>
  <c r="J17" i="221"/>
  <c r="L17" i="221" l="1"/>
  <c r="I9" i="67"/>
  <c r="E19" i="216"/>
  <c r="E20" i="216"/>
  <c r="E22" i="216"/>
  <c r="B44" i="215"/>
  <c r="B36" i="215"/>
  <c r="L8" i="216"/>
  <c r="F9" i="63" a="1"/>
  <c r="F9" i="63" s="1"/>
  <c r="G10" i="63"/>
  <c r="E15" i="63"/>
  <c r="E24" i="63"/>
  <c r="J26" i="121" a="1"/>
  <c r="J26" i="121" s="1"/>
  <c r="I26" i="121" a="1"/>
  <c r="I26" i="121" s="1"/>
  <c r="H27" i="121" a="1"/>
  <c r="H27" i="121" s="1"/>
  <c r="H26" i="121"/>
  <c r="B27" i="121"/>
  <c r="F26" i="121"/>
  <c r="F27" i="121"/>
  <c r="F28" i="121"/>
  <c r="F32" i="121"/>
  <c r="F33" i="121"/>
  <c r="F31" i="121"/>
  <c r="F37" i="121"/>
  <c r="F38" i="121"/>
  <c r="F36" i="121"/>
  <c r="C27" i="121"/>
  <c r="D27" i="121"/>
  <c r="E27" i="121"/>
  <c r="G11" i="121"/>
  <c r="B32" i="121" a="1"/>
  <c r="B32" i="121" s="1"/>
  <c r="C31" i="121"/>
  <c r="D31" i="121"/>
  <c r="E31" i="121"/>
  <c r="B31" i="121"/>
  <c r="H9" i="121"/>
  <c r="D18" i="122"/>
  <c r="C18" i="122"/>
  <c r="E14" i="122"/>
  <c r="B18" i="122"/>
  <c r="C14" i="122"/>
  <c r="D14" i="122"/>
  <c r="B14" i="122"/>
  <c r="C17" i="73"/>
  <c r="C15" i="73"/>
  <c r="C16" i="73"/>
  <c r="E18" i="122" l="1"/>
  <c r="B28" i="122" s="1" a="1"/>
  <c r="B29" i="122" a="1"/>
  <c r="B29" i="122" s="1"/>
  <c r="E24" i="122"/>
  <c r="C23" i="122"/>
  <c r="D23" i="122"/>
  <c r="C24" i="122"/>
  <c r="D24" i="122"/>
  <c r="C25" i="122"/>
  <c r="B24" i="122"/>
  <c r="B23" i="122"/>
  <c r="C36" i="121"/>
  <c r="D36" i="121"/>
  <c r="E36" i="121"/>
  <c r="C37" i="121"/>
  <c r="D37" i="121"/>
  <c r="E37" i="121"/>
  <c r="B36" i="121"/>
  <c r="D28" i="121"/>
  <c r="E28" i="121"/>
  <c r="C28" i="121"/>
  <c r="B28" i="121"/>
  <c r="H10" i="121"/>
  <c r="C18" i="128"/>
  <c r="D12" i="125"/>
  <c r="E12" i="125"/>
  <c r="F12" i="125"/>
  <c r="C12" i="125"/>
  <c r="I4" i="121"/>
  <c r="F12" i="121"/>
  <c r="E12" i="121"/>
  <c r="D12" i="121"/>
  <c r="C12" i="121"/>
  <c r="B12" i="121"/>
  <c r="B37" i="130"/>
  <c r="B39" i="130"/>
  <c r="B38" i="130"/>
  <c r="B40" i="130"/>
  <c r="C29" i="130"/>
  <c r="C24" i="130"/>
  <c r="D25" i="130"/>
  <c r="D24" i="130"/>
  <c r="D30" i="130"/>
  <c r="B30" i="130"/>
  <c r="D29" i="130"/>
  <c r="B29" i="130"/>
  <c r="B28" i="130"/>
  <c r="B25" i="130"/>
  <c r="B24" i="130"/>
  <c r="B23" i="130"/>
  <c r="D19" i="130"/>
  <c r="E20" i="130"/>
  <c r="E22" i="130"/>
  <c r="E23" i="130"/>
  <c r="E24" i="130"/>
  <c r="E25" i="130"/>
  <c r="E27" i="130"/>
  <c r="E28" i="130"/>
  <c r="E29" i="130"/>
  <c r="E30" i="130"/>
  <c r="D20" i="130"/>
  <c r="E19" i="130"/>
  <c r="E18" i="130"/>
  <c r="E18" i="128"/>
  <c r="D18" i="128"/>
  <c r="E15" i="128"/>
  <c r="D15" i="128"/>
  <c r="B18" i="128"/>
  <c r="C15" i="128"/>
  <c r="B15" i="128"/>
  <c r="D41" i="66"/>
  <c r="C41" i="66"/>
  <c r="B12" i="125"/>
  <c r="L5" i="67"/>
  <c r="L6" i="67"/>
  <c r="L7" i="67"/>
  <c r="L8" i="67"/>
  <c r="L9" i="67"/>
  <c r="L10" i="67"/>
  <c r="L11" i="67"/>
  <c r="L12" i="67"/>
  <c r="L4" i="67"/>
  <c r="I29" i="67"/>
  <c r="K28" i="67"/>
  <c r="I28" i="67"/>
  <c r="J4" i="67"/>
  <c r="K4" i="67" s="1"/>
  <c r="M4" i="67" s="1"/>
  <c r="I5" i="67"/>
  <c r="I6" i="67"/>
  <c r="I7" i="67"/>
  <c r="I8" i="67"/>
  <c r="I10" i="67"/>
  <c r="I11" i="67"/>
  <c r="J16" i="67"/>
  <c r="I17" i="67"/>
  <c r="I16" i="67"/>
  <c r="J15" i="67"/>
  <c r="I4" i="67"/>
  <c r="M17" i="67"/>
  <c r="N17" i="67" s="1"/>
  <c r="N16" i="67"/>
  <c r="O16" i="67" s="1"/>
  <c r="M16" i="67"/>
  <c r="O15" i="67"/>
  <c r="N15" i="67"/>
  <c r="M15" i="67"/>
  <c r="K27" i="67"/>
  <c r="J27" i="67"/>
  <c r="G14" i="67"/>
  <c r="B15" i="67" s="1"/>
  <c r="B16" i="67" s="1"/>
  <c r="B17" i="67" s="1"/>
  <c r="B18" i="67" s="1"/>
  <c r="B19" i="67" s="1"/>
  <c r="B20" i="67" s="1"/>
  <c r="B21" i="67" s="1"/>
  <c r="B22" i="67" s="1"/>
  <c r="G16" i="67"/>
  <c r="E15" i="67" s="1"/>
  <c r="E16" i="67" s="1"/>
  <c r="E17" i="67" s="1"/>
  <c r="E18" i="67" s="1"/>
  <c r="E19" i="67" s="1"/>
  <c r="E20" i="67" s="1"/>
  <c r="E21" i="67" s="1"/>
  <c r="E22" i="67" s="1"/>
  <c r="E23" i="67" s="1"/>
  <c r="G15" i="67"/>
  <c r="C18" i="67" s="1"/>
  <c r="C22" i="67" s="1"/>
  <c r="B16" i="66"/>
  <c r="D16" i="66" s="1"/>
  <c r="B17" i="66" s="1"/>
  <c r="D17" i="66" s="1"/>
  <c r="B18" i="66" s="1"/>
  <c r="D18" i="66" s="1"/>
  <c r="B19" i="66" s="1"/>
  <c r="D19" i="66" s="1"/>
  <c r="B20" i="66" s="1"/>
  <c r="D20" i="66" s="1"/>
  <c r="B21" i="66" s="1"/>
  <c r="D21" i="66" s="1"/>
  <c r="B22" i="66" s="1"/>
  <c r="D22" i="66" s="1"/>
  <c r="B23" i="66" s="1"/>
  <c r="D23" i="66" s="1"/>
  <c r="D15" i="66"/>
  <c r="D14" i="66"/>
  <c r="B15" i="66"/>
  <c r="B32" i="66"/>
  <c r="B14" i="66"/>
  <c r="D33" i="66"/>
  <c r="C33" i="66"/>
  <c r="B34" i="66"/>
  <c r="C34" i="66" s="1"/>
  <c r="D34" i="66" s="1"/>
  <c r="B35" i="66" s="1"/>
  <c r="B33" i="66"/>
  <c r="D32" i="66"/>
  <c r="C32" i="66"/>
  <c r="C50" i="111"/>
  <c r="B50" i="111"/>
  <c r="A51" i="111"/>
  <c r="L19" i="216"/>
  <c r="L18" i="216"/>
  <c r="B37" i="65"/>
  <c r="D32" i="64"/>
  <c r="D33" i="64"/>
  <c r="D31" i="64"/>
  <c r="C17" i="64" a="1"/>
  <c r="C17" i="64" s="1"/>
  <c r="C27" i="64" a="1"/>
  <c r="C27" i="64" s="1"/>
  <c r="D29" i="215"/>
  <c r="A41" i="215" a="1"/>
  <c r="A41" i="215" s="1"/>
  <c r="D18" i="215"/>
  <c r="D17" i="215"/>
  <c r="D16" i="215"/>
  <c r="D15" i="215"/>
  <c r="D14" i="215"/>
  <c r="D12" i="215"/>
  <c r="D11" i="215"/>
  <c r="D10" i="215"/>
  <c r="D9" i="215"/>
  <c r="A17" i="215"/>
  <c r="A16" i="215"/>
  <c r="A15" i="215"/>
  <c r="A14" i="215"/>
  <c r="A13" i="215"/>
  <c r="A12" i="215"/>
  <c r="A11" i="215"/>
  <c r="A10" i="215"/>
  <c r="A9" i="215"/>
  <c r="F20" i="217"/>
  <c r="F16" i="217"/>
  <c r="E19" i="217"/>
  <c r="C15" i="217"/>
  <c r="D23" i="63" a="1"/>
  <c r="D23" i="63" s="1"/>
  <c r="J15" i="55"/>
  <c r="J23" i="55"/>
  <c r="B44" i="111"/>
  <c r="D43" i="111"/>
  <c r="H16" i="219"/>
  <c r="J15" i="219"/>
  <c r="J20" i="219" s="1"/>
  <c r="H20" i="219"/>
  <c r="H15" i="219"/>
  <c r="H27" i="219"/>
  <c r="G25" i="219" a="1"/>
  <c r="G25" i="219" s="1"/>
  <c r="H24" i="219"/>
  <c r="E28" i="219"/>
  <c r="E26" i="219"/>
  <c r="I18" i="219" a="1"/>
  <c r="I18" i="219" s="1"/>
  <c r="H23" i="219"/>
  <c r="B19" i="219"/>
  <c r="B19" i="109"/>
  <c r="H25" i="109" s="1"/>
  <c r="H27" i="109" s="1"/>
  <c r="J15" i="109" s="1"/>
  <c r="J20" i="109" s="1"/>
  <c r="B18" i="109"/>
  <c r="B32" i="64"/>
  <c r="B31" i="64"/>
  <c r="B33" i="64" s="1"/>
  <c r="H20" i="109"/>
  <c r="E28" i="109"/>
  <c r="E26" i="109"/>
  <c r="B12" i="107"/>
  <c r="B19" i="107" s="1"/>
  <c r="B21" i="107" s="1"/>
  <c r="B17" i="107"/>
  <c r="B8" i="107"/>
  <c r="D36" i="65"/>
  <c r="C38" i="65"/>
  <c r="D38" i="65"/>
  <c r="D37" i="65"/>
  <c r="C37" i="65"/>
  <c r="C36" i="65"/>
  <c r="B38" i="65"/>
  <c r="B36" i="65"/>
  <c r="C35" i="65"/>
  <c r="D35" i="65"/>
  <c r="B35" i="65"/>
  <c r="D31" i="65"/>
  <c r="D32" i="65"/>
  <c r="D33" i="65"/>
  <c r="C32" i="65"/>
  <c r="C33" i="65"/>
  <c r="B33" i="65"/>
  <c r="B32" i="65"/>
  <c r="D30" i="65"/>
  <c r="C30" i="65"/>
  <c r="A25" i="64" a="1"/>
  <c r="A25" i="64" s="1"/>
  <c r="C26" i="64" a="1"/>
  <c r="C26" i="64" s="1"/>
  <c r="C25" i="64" a="1"/>
  <c r="C25" i="64" s="1"/>
  <c r="A30" i="64" a="1"/>
  <c r="A30" i="64" s="1"/>
  <c r="A29" i="64" a="1"/>
  <c r="A29" i="64" s="1"/>
  <c r="A28" i="64" a="1"/>
  <c r="A28" i="64" s="1"/>
  <c r="A21" i="64" a="1"/>
  <c r="A21" i="64" s="1"/>
  <c r="A20" i="64" a="1"/>
  <c r="A20" i="64" s="1"/>
  <c r="A19" i="64" a="1"/>
  <c r="A19" i="64" s="1"/>
  <c r="A24" i="64" a="1"/>
  <c r="A24" i="64" s="1"/>
  <c r="A16" i="64" a="1"/>
  <c r="A16" i="64" s="1"/>
  <c r="C21" i="64" a="1"/>
  <c r="C21" i="64" s="1"/>
  <c r="C16" i="64" a="1"/>
  <c r="C16" i="64" s="1"/>
  <c r="C15" i="64" a="1"/>
  <c r="C15" i="64" s="1"/>
  <c r="G23" i="64"/>
  <c r="F22" i="64" a="1"/>
  <c r="F22" i="64" s="1"/>
  <c r="G21" i="64"/>
  <c r="F20" i="64" a="1"/>
  <c r="F20" i="64" s="1"/>
  <c r="G19" i="64"/>
  <c r="F18" i="64" a="1"/>
  <c r="F18" i="64" s="1"/>
  <c r="F17" i="64" a="1"/>
  <c r="F17" i="64" s="1"/>
  <c r="G16" i="64"/>
  <c r="F15" i="64" a="1"/>
  <c r="F15" i="64" s="1"/>
  <c r="F14" i="64" a="1"/>
  <c r="F14" i="64" s="1"/>
  <c r="C39" i="215" a="1"/>
  <c r="C39" i="215" s="1"/>
  <c r="C28" i="215" a="1"/>
  <c r="C28" i="215" s="1"/>
  <c r="A40" i="215" a="1"/>
  <c r="A40" i="215" s="1"/>
  <c r="A42" i="215" a="1"/>
  <c r="A42" i="215" s="1"/>
  <c r="A39" i="215" a="1"/>
  <c r="A39" i="215" s="1"/>
  <c r="A34" i="215" a="1"/>
  <c r="A34" i="215" s="1"/>
  <c r="A26" i="215" a="1"/>
  <c r="A26" i="215" s="1"/>
  <c r="A31" i="215" a="1"/>
  <c r="A31" i="215" s="1"/>
  <c r="A30" i="215" a="1"/>
  <c r="A30" i="215" s="1"/>
  <c r="A29" i="215" a="1"/>
  <c r="A29" i="215" s="1"/>
  <c r="C38" i="215" a="1"/>
  <c r="C38" i="215" s="1"/>
  <c r="C37" i="215" a="1"/>
  <c r="C37" i="215" s="1"/>
  <c r="C26" i="215" a="1"/>
  <c r="C26" i="215" s="1"/>
  <c r="C33" i="215" a="1"/>
  <c r="C33" i="215" s="1"/>
  <c r="G34" i="215"/>
  <c r="G30" i="215"/>
  <c r="G29" i="215"/>
  <c r="G28" i="215"/>
  <c r="G31" i="215" s="1"/>
  <c r="G33" i="215" s="1"/>
  <c r="G35" i="215" s="1"/>
  <c r="C27" i="215" s="1" a="1"/>
  <c r="C27" i="215" s="1"/>
  <c r="G27" i="215"/>
  <c r="G26" i="215"/>
  <c r="L21" i="216"/>
  <c r="L16" i="216"/>
  <c r="L14" i="216"/>
  <c r="L13" i="216"/>
  <c r="L12" i="216"/>
  <c r="L11" i="216"/>
  <c r="L10" i="216"/>
  <c r="L15" i="216" s="1"/>
  <c r="L17" i="216" s="1"/>
  <c r="L20" i="216" s="1"/>
  <c r="L22" i="216" s="1"/>
  <c r="L9" i="216"/>
  <c r="L7" i="216"/>
  <c r="E21" i="216"/>
  <c r="E18" i="216"/>
  <c r="E17" i="216"/>
  <c r="E16" i="216"/>
  <c r="E15" i="216"/>
  <c r="E10" i="216"/>
  <c r="E7" i="216"/>
  <c r="E14" i="216"/>
  <c r="E13" i="216"/>
  <c r="E12" i="216"/>
  <c r="E11" i="216"/>
  <c r="E9" i="216"/>
  <c r="E8" i="216"/>
  <c r="F18" i="217"/>
  <c r="H17" i="217"/>
  <c r="B14" i="217"/>
  <c r="G13" i="217"/>
  <c r="F12" i="217"/>
  <c r="E11" i="217"/>
  <c r="D10" i="217"/>
  <c r="C9" i="217"/>
  <c r="F8" i="217"/>
  <c r="B7" i="217"/>
  <c r="D11" i="63" a="1"/>
  <c r="D11" i="63" s="1"/>
  <c r="D22" i="63" a="1"/>
  <c r="D22" i="63" s="1"/>
  <c r="D21" i="63" a="1"/>
  <c r="D21" i="63" s="1"/>
  <c r="G26" i="63"/>
  <c r="G24" i="63"/>
  <c r="F7" i="63" a="1"/>
  <c r="F7" i="63" s="1"/>
  <c r="F8" i="63" a="1"/>
  <c r="F8" i="63" s="1"/>
  <c r="G20" i="63"/>
  <c r="G15" i="63"/>
  <c r="F14" i="63" a="1"/>
  <c r="F14" i="63" s="1"/>
  <c r="F19" i="63" a="1"/>
  <c r="F19" i="63" s="1"/>
  <c r="F18" i="63" a="1"/>
  <c r="F18" i="63" s="1"/>
  <c r="D20" i="63" a="1"/>
  <c r="D20" i="63" s="1"/>
  <c r="D19" i="63" a="1"/>
  <c r="D19" i="63" s="1"/>
  <c r="D18" i="63" a="1"/>
  <c r="D18" i="63" s="1"/>
  <c r="D14" i="63" a="1"/>
  <c r="D14" i="63" s="1"/>
  <c r="D10" i="63" a="1"/>
  <c r="D10" i="63" s="1"/>
  <c r="D7" i="63" a="1"/>
  <c r="D7" i="63" s="1"/>
  <c r="H23" i="55"/>
  <c r="D24" i="55"/>
  <c r="E22" i="55"/>
  <c r="G21" i="55"/>
  <c r="H20" i="55"/>
  <c r="F19" i="55"/>
  <c r="C14" i="55"/>
  <c r="C18" i="55"/>
  <c r="B17" i="55"/>
  <c r="E16" i="55"/>
  <c r="B12" i="55"/>
  <c r="J13" i="55"/>
  <c r="G11" i="55"/>
  <c r="I10" i="55"/>
  <c r="H8" i="55"/>
  <c r="C7" i="55"/>
  <c r="C9" i="55"/>
  <c r="B20" i="223"/>
  <c r="C16" i="223"/>
  <c r="C20" i="223" s="1"/>
  <c r="D12" i="223"/>
  <c r="B12" i="223"/>
  <c r="C9" i="223"/>
  <c r="C12" i="223" s="1"/>
  <c r="F9" i="75"/>
  <c r="F11" i="75" s="1"/>
  <c r="E9" i="75"/>
  <c r="E11" i="75" s="1"/>
  <c r="D9" i="75"/>
  <c r="D11" i="75" s="1"/>
  <c r="C9" i="75"/>
  <c r="C11" i="75" s="1"/>
  <c r="B9" i="75"/>
  <c r="B11" i="75" s="1"/>
  <c r="B33" i="121" l="1" a="1"/>
  <c r="B37" i="121"/>
  <c r="B28" i="122"/>
  <c r="B30" i="122" s="1"/>
  <c r="C30" i="122"/>
  <c r="D30" i="122"/>
  <c r="E30" i="122"/>
  <c r="D25" i="122"/>
  <c r="E23" i="122"/>
  <c r="B25" i="122"/>
  <c r="O17" i="67"/>
  <c r="M18" i="67" s="1"/>
  <c r="K15" i="67"/>
  <c r="J28" i="67"/>
  <c r="J5" i="67" s="1"/>
  <c r="C16" i="67"/>
  <c r="C20" i="67" s="1"/>
  <c r="C24" i="67" s="1"/>
  <c r="C19" i="67"/>
  <c r="C23" i="67" s="1"/>
  <c r="C15" i="67"/>
  <c r="D15" i="67" s="1"/>
  <c r="F15" i="67" s="1"/>
  <c r="D22" i="67"/>
  <c r="F22" i="67" s="1"/>
  <c r="C17" i="67"/>
  <c r="C21" i="67" s="1"/>
  <c r="D21" i="67" s="1"/>
  <c r="F21" i="67" s="1"/>
  <c r="D18" i="67"/>
  <c r="F18" i="67" s="1"/>
  <c r="C35" i="66"/>
  <c r="D35" i="66" s="1"/>
  <c r="B36" i="66" s="1"/>
  <c r="D44" i="215"/>
  <c r="D46" i="215"/>
  <c r="E26" i="63"/>
  <c r="D16" i="223"/>
  <c r="D20" i="223" s="1"/>
  <c r="F34" i="215"/>
  <c r="F30" i="215"/>
  <c r="F29" i="215"/>
  <c r="F27" i="215"/>
  <c r="F26" i="215"/>
  <c r="B33" i="121" l="1"/>
  <c r="B38" i="121" s="1"/>
  <c r="C38" i="121"/>
  <c r="D38" i="121"/>
  <c r="E38" i="121"/>
  <c r="E25" i="122"/>
  <c r="K5" i="67"/>
  <c r="M5" i="67" s="1"/>
  <c r="N18" i="67"/>
  <c r="O18" i="67" s="1"/>
  <c r="M19" i="67" s="1"/>
  <c r="K16" i="67"/>
  <c r="D16" i="67"/>
  <c r="F16" i="67" s="1"/>
  <c r="D17" i="67"/>
  <c r="F17" i="67" s="1"/>
  <c r="D20" i="67"/>
  <c r="F20" i="67" s="1"/>
  <c r="D19" i="67"/>
  <c r="F19" i="67" s="1"/>
  <c r="D24" i="67"/>
  <c r="F24" i="67" s="1"/>
  <c r="D23" i="67"/>
  <c r="F23" i="67" s="1"/>
  <c r="C36" i="66"/>
  <c r="D36" i="66" s="1"/>
  <c r="B37" i="66" s="1"/>
  <c r="B46" i="215"/>
  <c r="B19" i="111"/>
  <c r="D19" i="111"/>
  <c r="B43" i="111"/>
  <c r="I45" i="225"/>
  <c r="H45" i="225"/>
  <c r="H47" i="225" s="1"/>
  <c r="G45" i="225"/>
  <c r="F45" i="225"/>
  <c r="F46" i="225" s="1"/>
  <c r="E45" i="225"/>
  <c r="D45" i="225"/>
  <c r="C45" i="225"/>
  <c r="B45" i="225"/>
  <c r="J40" i="224"/>
  <c r="I40" i="224"/>
  <c r="H40" i="224"/>
  <c r="H42" i="224" s="1"/>
  <c r="G40" i="224"/>
  <c r="F40" i="224"/>
  <c r="E40" i="224"/>
  <c r="D40" i="224"/>
  <c r="C40" i="224"/>
  <c r="B10" i="133"/>
  <c r="E10" i="133"/>
  <c r="D9" i="77"/>
  <c r="D11" i="77"/>
  <c r="D12" i="77"/>
  <c r="D13" i="77"/>
  <c r="C14" i="77"/>
  <c r="D14" i="77" s="1"/>
  <c r="D16" i="77"/>
  <c r="D18" i="77"/>
  <c r="D19" i="77" s="1"/>
  <c r="C9" i="77"/>
  <c r="C11" i="77"/>
  <c r="C12" i="77"/>
  <c r="C13" i="77"/>
  <c r="C16" i="77"/>
  <c r="C18" i="77"/>
  <c r="C19" i="77" s="1"/>
  <c r="B12" i="77"/>
  <c r="B13" i="77"/>
  <c r="B16" i="77"/>
  <c r="D28" i="74"/>
  <c r="C28" i="74"/>
  <c r="B28" i="74"/>
  <c r="D33" i="74"/>
  <c r="C33" i="74"/>
  <c r="B33" i="74"/>
  <c r="D9" i="74"/>
  <c r="D11" i="74" s="1"/>
  <c r="D13" i="74" s="1"/>
  <c r="D15" i="74" s="1"/>
  <c r="D18" i="74" s="1"/>
  <c r="C9" i="74"/>
  <c r="C11" i="74" s="1"/>
  <c r="C13" i="74" s="1"/>
  <c r="C15" i="74" s="1"/>
  <c r="C18" i="74" s="1"/>
  <c r="B9" i="74"/>
  <c r="B11" i="74" s="1"/>
  <c r="B13" i="74" s="1"/>
  <c r="B15" i="74" s="1"/>
  <c r="B18" i="74" s="1"/>
  <c r="B16" i="147"/>
  <c r="B23" i="147" s="1"/>
  <c r="B25" i="147" s="1"/>
  <c r="H20" i="147" s="1"/>
  <c r="H21" i="147" s="1"/>
  <c r="H24" i="147" s="1"/>
  <c r="F11" i="121"/>
  <c r="F10" i="121"/>
  <c r="F9" i="121"/>
  <c r="E14" i="128"/>
  <c r="D14" i="128"/>
  <c r="C14" i="128"/>
  <c r="B14" i="128"/>
  <c r="B20" i="133"/>
  <c r="B9" i="131"/>
  <c r="D25" i="77"/>
  <c r="C25" i="77"/>
  <c r="B25" i="77"/>
  <c r="J38" i="69"/>
  <c r="I38" i="69"/>
  <c r="I40" i="69" s="1"/>
  <c r="H38" i="69"/>
  <c r="E38" i="69"/>
  <c r="F38" i="69"/>
  <c r="D38" i="69"/>
  <c r="C38" i="69"/>
  <c r="E9" i="131"/>
  <c r="H8" i="131"/>
  <c r="E10" i="122"/>
  <c r="E9" i="122"/>
  <c r="E8" i="122"/>
  <c r="E7" i="122"/>
  <c r="J29" i="67" l="1"/>
  <c r="J17" i="67"/>
  <c r="N19" i="67"/>
  <c r="O19" i="67" s="1"/>
  <c r="M20" i="67" s="1"/>
  <c r="F25" i="67"/>
  <c r="C37" i="66"/>
  <c r="D37" i="66" s="1"/>
  <c r="B38" i="66" s="1"/>
  <c r="G40" i="69"/>
  <c r="F47" i="225"/>
  <c r="J41" i="224"/>
  <c r="J42" i="224" s="1"/>
  <c r="H40" i="69"/>
  <c r="G41" i="224"/>
  <c r="G42" i="224" s="1"/>
  <c r="I42" i="224"/>
  <c r="G47" i="225"/>
  <c r="I46" i="225"/>
  <c r="I47" i="225" s="1"/>
  <c r="J6" i="67" l="1"/>
  <c r="K29" i="67"/>
  <c r="I30" i="67" s="1"/>
  <c r="K17" i="67"/>
  <c r="I18" i="67" s="1"/>
  <c r="N20" i="67"/>
  <c r="O20" i="67" s="1"/>
  <c r="M21" i="67" s="1"/>
  <c r="C38" i="66"/>
  <c r="D38" i="66" s="1"/>
  <c r="B39" i="66" s="1"/>
  <c r="J30" i="67" l="1"/>
  <c r="J7" i="67" s="1"/>
  <c r="K6" i="67"/>
  <c r="M6" i="67" s="1"/>
  <c r="J18" i="67"/>
  <c r="K18" i="67" s="1"/>
  <c r="I19" i="67" s="1"/>
  <c r="N21" i="67"/>
  <c r="O21" i="67" s="1"/>
  <c r="M22" i="67" s="1"/>
  <c r="C39" i="66"/>
  <c r="D39" i="66" s="1"/>
  <c r="B40" i="66" s="1"/>
  <c r="K30" i="67" l="1"/>
  <c r="I31" i="67" s="1"/>
  <c r="N22" i="67"/>
  <c r="O22" i="67" s="1"/>
  <c r="M23" i="67" s="1"/>
  <c r="C40" i="66"/>
  <c r="D40" i="66" s="1"/>
  <c r="B41" i="66" s="1"/>
  <c r="K31" i="67" l="1"/>
  <c r="I32" i="67" s="1"/>
  <c r="J31" i="67"/>
  <c r="J8" i="67"/>
  <c r="K7" i="67"/>
  <c r="M7" i="67" s="1"/>
  <c r="J19" i="67"/>
  <c r="K19" i="67" s="1"/>
  <c r="I20" i="67" s="1"/>
  <c r="N23" i="67"/>
  <c r="O23" i="67" s="1"/>
  <c r="D44" i="66"/>
  <c r="J32" i="67" l="1"/>
  <c r="J9" i="67" s="1"/>
  <c r="K8" i="67"/>
  <c r="M8" i="67" s="1"/>
  <c r="J20" i="67"/>
  <c r="K32" i="67" l="1"/>
  <c r="I33" i="67" s="1"/>
  <c r="J33" i="67" s="1"/>
  <c r="J10" i="67" s="1"/>
  <c r="K33" i="67"/>
  <c r="I34" i="67" s="1"/>
  <c r="J34" i="67" s="1"/>
  <c r="J11" i="67" s="1"/>
  <c r="K9" i="67"/>
  <c r="M9" i="67" s="1"/>
  <c r="K20" i="67"/>
  <c r="I21" i="67" s="1"/>
  <c r="K34" i="67" l="1"/>
  <c r="I35" i="67" s="1"/>
  <c r="J21" i="67"/>
  <c r="J35" i="67" l="1"/>
  <c r="K35" i="67" s="1"/>
  <c r="I36" i="67" s="1"/>
  <c r="K21" i="67"/>
  <c r="I22" i="67" s="1"/>
  <c r="J12" i="67" l="1"/>
  <c r="K10" i="67"/>
  <c r="M10" i="67" s="1"/>
  <c r="J36" i="67" l="1"/>
  <c r="K36" i="67" s="1"/>
  <c r="K12" i="67"/>
  <c r="M12" i="67" s="1"/>
  <c r="J13" i="67"/>
  <c r="K13" i="67" s="1"/>
  <c r="M13" i="67" s="1"/>
  <c r="J22" i="67"/>
  <c r="K22" i="67"/>
  <c r="I23" i="67" s="1"/>
  <c r="J23" i="67" l="1"/>
  <c r="K11" i="67"/>
  <c r="M11" i="67" s="1"/>
  <c r="M14" i="67" s="1"/>
  <c r="K23" i="67" l="1"/>
  <c r="I24" i="67" s="1"/>
  <c r="J24" i="67" l="1"/>
  <c r="K24" i="6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<sst xmlns="http://schemas.openxmlformats.org/spreadsheetml/2006/main" count="1535" uniqueCount="894">
  <si>
    <t>A</t>
  </si>
  <si>
    <t>B</t>
  </si>
  <si>
    <t>C</t>
  </si>
  <si>
    <t>Overskud</t>
  </si>
  <si>
    <t>Udbytte</t>
  </si>
  <si>
    <t>EGENKAPITAL</t>
    <phoneticPr fontId="0" type="noConversion"/>
  </si>
  <si>
    <t>GÆLD</t>
    <phoneticPr fontId="0" type="noConversion"/>
  </si>
  <si>
    <t>BALANCE</t>
    <phoneticPr fontId="0" type="noConversion"/>
  </si>
  <si>
    <t>RESULTATOPGØRELSE</t>
    <phoneticPr fontId="0" type="noConversion"/>
  </si>
  <si>
    <t>OMSÆTNING</t>
    <phoneticPr fontId="0" type="noConversion"/>
  </si>
  <si>
    <t>Immaterielle anlægsaktiver</t>
    <phoneticPr fontId="0" type="noConversion"/>
  </si>
  <si>
    <t>Materielle anlægsaktiver</t>
    <phoneticPr fontId="0" type="noConversion"/>
  </si>
  <si>
    <t>Finansielle anlægsaktiver</t>
    <phoneticPr fontId="0" type="noConversion"/>
  </si>
  <si>
    <t>Varebeholdninger</t>
    <phoneticPr fontId="0" type="noConversion"/>
  </si>
  <si>
    <t>Tilgodehavender</t>
    <phoneticPr fontId="0" type="noConversion"/>
  </si>
  <si>
    <t>Likvide beholdninger</t>
    <phoneticPr fontId="0" type="noConversion"/>
  </si>
  <si>
    <t>Inventar</t>
    <phoneticPr fontId="0" type="noConversion"/>
  </si>
  <si>
    <t>Varevogn</t>
    <phoneticPr fontId="0" type="noConversion"/>
  </si>
  <si>
    <t>Goodwill</t>
    <phoneticPr fontId="0" type="noConversion"/>
  </si>
  <si>
    <t>Produktionsanlæg</t>
    <phoneticPr fontId="0" type="noConversion"/>
  </si>
  <si>
    <t>Patentrettighed</t>
    <phoneticPr fontId="0" type="noConversion"/>
  </si>
  <si>
    <t>Ejendom</t>
    <phoneticPr fontId="0" type="noConversion"/>
  </si>
  <si>
    <t>Råvarelager</t>
    <phoneticPr fontId="0" type="noConversion"/>
  </si>
  <si>
    <t>Aktier i datterselskab</t>
    <phoneticPr fontId="0" type="noConversion"/>
  </si>
  <si>
    <t>Renteomkostninger</t>
    <phoneticPr fontId="0" type="noConversion"/>
  </si>
  <si>
    <t>Varelager</t>
    <phoneticPr fontId="0" type="noConversion"/>
  </si>
  <si>
    <t>AKTIVER</t>
    <phoneticPr fontId="0" type="noConversion"/>
  </si>
  <si>
    <t>PASSIVER</t>
    <phoneticPr fontId="0" type="noConversion"/>
  </si>
  <si>
    <t>Egenkapital</t>
  </si>
  <si>
    <t>Varebil</t>
  </si>
  <si>
    <t>Varelager</t>
  </si>
  <si>
    <t>Bankindestående</t>
  </si>
  <si>
    <t>I alt</t>
  </si>
  <si>
    <t>Varebiler</t>
  </si>
  <si>
    <t>Indfør nedenstående poster korrekt i balancen</t>
    <phoneticPr fontId="0" type="noConversion"/>
  </si>
  <si>
    <t>BELØB</t>
    <phoneticPr fontId="0" type="noConversion"/>
  </si>
  <si>
    <t>Lagerejendom</t>
    <phoneticPr fontId="0" type="noConversion"/>
  </si>
  <si>
    <t>Råvarer og hjælpematerialer</t>
    <phoneticPr fontId="0" type="noConversion"/>
  </si>
  <si>
    <t>Varer under produktion</t>
    <phoneticPr fontId="0" type="noConversion"/>
  </si>
  <si>
    <t>Færdigvarer</t>
    <phoneticPr fontId="0" type="noConversion"/>
  </si>
  <si>
    <t>MATERIELLE</t>
    <phoneticPr fontId="0" type="noConversion"/>
  </si>
  <si>
    <t>FINANSIELLE</t>
    <phoneticPr fontId="0" type="noConversion"/>
  </si>
  <si>
    <t>Kassekredit</t>
    <phoneticPr fontId="0" type="noConversion"/>
  </si>
  <si>
    <t>Leverandørgæld</t>
    <phoneticPr fontId="0" type="noConversion"/>
  </si>
  <si>
    <t>Kassebeholdning</t>
    <phoneticPr fontId="0" type="noConversion"/>
  </si>
  <si>
    <t>Afskrivninger</t>
    <phoneticPr fontId="0" type="noConversion"/>
  </si>
  <si>
    <t>Vareforbrug</t>
    <phoneticPr fontId="0" type="noConversion"/>
  </si>
  <si>
    <t>Produktrettigheder til BlaBla®</t>
    <phoneticPr fontId="0" type="noConversion"/>
  </si>
  <si>
    <t>Realkreditlån</t>
    <phoneticPr fontId="0" type="noConversion"/>
  </si>
  <si>
    <t>1.000DKK</t>
    <phoneticPr fontId="0" type="noConversion"/>
  </si>
  <si>
    <t>ANLÆGSAKTIVER</t>
    <phoneticPr fontId="0" type="noConversion"/>
  </si>
  <si>
    <t>IMMATERIELLE</t>
    <phoneticPr fontId="0" type="noConversion"/>
  </si>
  <si>
    <t>ÅRETS RESULTAT</t>
    <phoneticPr fontId="0" type="noConversion"/>
  </si>
  <si>
    <t>LEVETID</t>
    <phoneticPr fontId="0" type="noConversion"/>
  </si>
  <si>
    <t>år</t>
    <phoneticPr fontId="0" type="noConversion"/>
  </si>
  <si>
    <t>PERIODE</t>
    <phoneticPr fontId="0" type="noConversion"/>
  </si>
  <si>
    <t>AFSKRIVNINGSPROCENT</t>
    <phoneticPr fontId="0" type="noConversion"/>
  </si>
  <si>
    <t>år</t>
    <phoneticPr fontId="0" type="noConversion"/>
  </si>
  <si>
    <t>FUN FACT:</t>
    <phoneticPr fontId="0" type="noConversion"/>
  </si>
  <si>
    <t>Derfor skal man huske at afskrive hele restbeløbet i den sidste afskrivningsperiode</t>
    <phoneticPr fontId="0" type="noConversion"/>
  </si>
  <si>
    <t>PERIODE</t>
    <phoneticPr fontId="0" type="noConversion"/>
  </si>
  <si>
    <t>AFSKRIVNINGER</t>
    <phoneticPr fontId="0" type="noConversion"/>
  </si>
  <si>
    <t>8 ÅR</t>
    <phoneticPr fontId="0" type="noConversion"/>
  </si>
  <si>
    <t>10 ÅR</t>
    <phoneticPr fontId="0" type="noConversion"/>
  </si>
  <si>
    <t>8+10 ÅR</t>
    <phoneticPr fontId="0" type="noConversion"/>
  </si>
  <si>
    <t>2x9 ÅR</t>
    <phoneticPr fontId="0" type="noConversion"/>
  </si>
  <si>
    <t>20%+30%</t>
    <phoneticPr fontId="0" type="noConversion"/>
  </si>
  <si>
    <t>2x25%</t>
    <phoneticPr fontId="0" type="noConversion"/>
  </si>
  <si>
    <t>Efterposteringer:</t>
    <phoneticPr fontId="0" type="noConversion"/>
  </si>
  <si>
    <t>5. Momskontiene afsluttes</t>
    <phoneticPr fontId="0" type="noConversion"/>
  </si>
  <si>
    <t xml:space="preserve">           SALDOBALANCE 31/12</t>
  </si>
  <si>
    <t xml:space="preserve">              EFTERPOSTERINGER</t>
  </si>
  <si>
    <t xml:space="preserve">            RESULTATOPGØRELSE</t>
  </si>
  <si>
    <t xml:space="preserve">                          BALANCE</t>
  </si>
  <si>
    <t>Kontonavn</t>
  </si>
  <si>
    <t>Debet</t>
  </si>
  <si>
    <t>Kredit</t>
  </si>
  <si>
    <t>Vareforbrug</t>
  </si>
  <si>
    <t>Øvrige omkostninger</t>
  </si>
  <si>
    <t>Afskrivning på inventar</t>
  </si>
  <si>
    <t>Renteomkostninger</t>
  </si>
  <si>
    <t>Inventar</t>
  </si>
  <si>
    <t>Varedebitorer</t>
  </si>
  <si>
    <t>Egenkapital primo</t>
  </si>
  <si>
    <t>Kassekredit</t>
  </si>
  <si>
    <t>Købsmoms</t>
  </si>
  <si>
    <t>Salgsmoms</t>
  </si>
  <si>
    <t>Momsafregning</t>
  </si>
  <si>
    <t>Andre kreditorer</t>
  </si>
  <si>
    <t>Sum</t>
  </si>
  <si>
    <t>Resultat</t>
  </si>
  <si>
    <t>Anden gæld</t>
  </si>
  <si>
    <t>To virksomheder har følgende balance samt resultatopgørelse for et regnskabsår</t>
    <phoneticPr fontId="0" type="noConversion"/>
  </si>
  <si>
    <t>VIRKSOMHED 1</t>
    <phoneticPr fontId="0" type="noConversion"/>
  </si>
  <si>
    <t>VIRKSOMHED 2</t>
    <phoneticPr fontId="0" type="noConversion"/>
  </si>
  <si>
    <t>Resultat før renter</t>
  </si>
  <si>
    <t>Resultat før skat</t>
  </si>
  <si>
    <t>BALANCE</t>
    <phoneticPr fontId="0" type="noConversion"/>
  </si>
  <si>
    <t>Gæld</t>
  </si>
  <si>
    <t>Passiver I alt</t>
  </si>
  <si>
    <t>Hvilken virksomhed har klaret sig bedst?</t>
    <phoneticPr fontId="0" type="noConversion"/>
  </si>
  <si>
    <t>Nettoomsætning</t>
  </si>
  <si>
    <t>Salgsprovision</t>
  </si>
  <si>
    <t>Dækningsbidrag</t>
  </si>
  <si>
    <t>Indtjeningsbidrag</t>
  </si>
  <si>
    <t>Afskrivninger</t>
  </si>
  <si>
    <t>Renteomkostninger netto</t>
  </si>
  <si>
    <t>Skat af årets resultat</t>
  </si>
  <si>
    <t>Årets resultat</t>
  </si>
  <si>
    <t>Balance i 1000DKK</t>
  </si>
  <si>
    <t>Anlægsaktiver</t>
  </si>
  <si>
    <t>Omsætningsaktiver</t>
  </si>
  <si>
    <t>Aktiver i alt</t>
  </si>
  <si>
    <t>Aktiekapital</t>
  </si>
  <si>
    <t>Egenkapital i alt</t>
  </si>
  <si>
    <t>Passiver i alt</t>
  </si>
  <si>
    <t>Nettoomsætning</t>
    <phoneticPr fontId="0" type="noConversion"/>
  </si>
  <si>
    <t>Finansielle poster, netto</t>
    <phoneticPr fontId="0" type="noConversion"/>
  </si>
  <si>
    <t>Skat</t>
    <phoneticPr fontId="0" type="noConversion"/>
  </si>
  <si>
    <t>Egenkapital</t>
    <phoneticPr fontId="0" type="noConversion"/>
  </si>
  <si>
    <t>Balance</t>
    <phoneticPr fontId="0" type="noConversion"/>
  </si>
  <si>
    <t>VARIABLE OMKOSTNINGER</t>
    <phoneticPr fontId="0" type="noConversion"/>
  </si>
  <si>
    <t>LØNNINGER</t>
    <phoneticPr fontId="0" type="noConversion"/>
  </si>
  <si>
    <t>ADMINISTRATION</t>
    <phoneticPr fontId="0" type="noConversion"/>
  </si>
  <si>
    <t>ØVRIGE OMKOSTNINGER</t>
    <phoneticPr fontId="0" type="noConversion"/>
  </si>
  <si>
    <t>RENTER</t>
    <phoneticPr fontId="0" type="noConversion"/>
  </si>
  <si>
    <t>RESULTAT FØR SKAT</t>
    <phoneticPr fontId="0" type="noConversion"/>
  </si>
  <si>
    <t>RESULTAT EFTER SKAT</t>
    <phoneticPr fontId="0" type="noConversion"/>
  </si>
  <si>
    <t>AKTIVER</t>
    <phoneticPr fontId="0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</si>
  <si>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</si>
  <si>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</si>
  <si>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</si>
  <si>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</si>
  <si>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</si>
  <si>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</si>
  <si>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</si>
  <si>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</si>
  <si>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</si>
  <si>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</si>
  <si>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</si>
  <si>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</si>
  <si>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</si>
  <si>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</si>
  <si>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</si>
  <si>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</si>
  <si>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</si>
  <si>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</si>
  <si>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</si>
  <si>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</si>
  <si>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</si>
  <si>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</si>
  <si>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</si>
  <si>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Omsætning</t>
  </si>
  <si>
    <t>Omkostninger</t>
  </si>
  <si>
    <t>Balance</t>
  </si>
  <si>
    <t>Total</t>
  </si>
  <si>
    <t xml:space="preserve"> </t>
  </si>
  <si>
    <t>total assets</t>
  </si>
  <si>
    <t>Forside</t>
  </si>
  <si>
    <t>Regnskab</t>
  </si>
  <si>
    <t>ANLÆGSAKTIVER</t>
  </si>
  <si>
    <t>OMSÆTNINGSAKTIVER</t>
  </si>
  <si>
    <t>Indtægter</t>
  </si>
  <si>
    <t>LANGFRISTET GÆLD</t>
  </si>
  <si>
    <t>KORTFRISTET GÆLD</t>
  </si>
  <si>
    <t>Resultatopgørelse</t>
  </si>
  <si>
    <t>4 = 1+2+3</t>
  </si>
  <si>
    <t>Banklån</t>
  </si>
  <si>
    <t>Forskel</t>
  </si>
  <si>
    <t>RESULTATOPGØRELSE</t>
  </si>
  <si>
    <t>BALANCE</t>
  </si>
  <si>
    <t>EKF</t>
  </si>
  <si>
    <t>EKF = AG + (AG-RM) * G</t>
  </si>
  <si>
    <t>Afkastningsgrad (AG)</t>
  </si>
  <si>
    <t>Gearing (G)</t>
  </si>
  <si>
    <t>Egenkapitalens forrentning (EKF)</t>
  </si>
  <si>
    <t>AG</t>
  </si>
  <si>
    <t>OG</t>
  </si>
  <si>
    <t>AOH</t>
  </si>
  <si>
    <t>GKS</t>
  </si>
  <si>
    <t>GIS</t>
  </si>
  <si>
    <t>EKF = AG x GKS x GIS</t>
  </si>
  <si>
    <t>AG = OG x AOH</t>
  </si>
  <si>
    <t>SG</t>
  </si>
  <si>
    <t>RESULTAT FØR RENTER</t>
  </si>
  <si>
    <t>AFKASTNINGSGRAD (AG)</t>
  </si>
  <si>
    <t>EGENKAPITALENS FORRENTNING (EKF)</t>
  </si>
  <si>
    <t>OVERSKUDSGRAD (OG)</t>
  </si>
  <si>
    <t>SKATTEPROCENT</t>
  </si>
  <si>
    <t>Immaterielt anlægsaktiv</t>
  </si>
  <si>
    <t>Omsætningsaktiv</t>
  </si>
  <si>
    <t>Materielt anlægsaktiv</t>
  </si>
  <si>
    <t>PLACERING</t>
  </si>
  <si>
    <t>POSTER</t>
  </si>
  <si>
    <t>Leverandørgæld</t>
  </si>
  <si>
    <t>Realkreditlån</t>
  </si>
  <si>
    <t>Tilgodehavender fra kunder</t>
  </si>
  <si>
    <t>Opstil årsregnskab nedenfor på baggrund af ovenstående poster</t>
  </si>
  <si>
    <t>IMMATERIELLE ANLÆGSAKTIVER</t>
  </si>
  <si>
    <t>MATERIELLE ANLÆGSAKTIVER</t>
  </si>
  <si>
    <t>EGENKAPITAL I ALT</t>
  </si>
  <si>
    <t>INDTJENINGSBIDRAG</t>
  </si>
  <si>
    <t>Ingen afskrivninger</t>
  </si>
  <si>
    <t>FINANSIELLE ANLÆGSAKTIVER</t>
  </si>
  <si>
    <t>LANGFRISTET GÆLD</t>
    <phoneticPr fontId="0" type="noConversion"/>
  </si>
  <si>
    <t>ÅRETS RESULTAT</t>
  </si>
  <si>
    <t>ANLÆGSAKTIVER I ALT</t>
  </si>
  <si>
    <t>OMSÆTNINGSAKTIVER I ALT</t>
  </si>
  <si>
    <t>GÆLD I ALT</t>
  </si>
  <si>
    <t>AKTIVER I ALT</t>
  </si>
  <si>
    <t>PASSIVER I ALT</t>
  </si>
  <si>
    <t>R1 BALANCEPOSTER</t>
  </si>
  <si>
    <t>Placer nedenstående poster i de korrekte kategorier</t>
  </si>
  <si>
    <t>Beløb</t>
  </si>
  <si>
    <t>Salgsfremmende omk.</t>
  </si>
  <si>
    <t>Lokaleomkostninger</t>
  </si>
  <si>
    <t>- Vareforbrug</t>
  </si>
  <si>
    <t>- Salgsprovision</t>
  </si>
  <si>
    <t>Renteindtægter</t>
  </si>
  <si>
    <t>= Dækningsbidrag</t>
  </si>
  <si>
    <t>= Indtjeningsbidrag</t>
  </si>
  <si>
    <t>- Afskrivninger</t>
  </si>
  <si>
    <t>= Resultat før renter</t>
  </si>
  <si>
    <t>= Årets resultat</t>
  </si>
  <si>
    <t>EGENKAPITAL</t>
  </si>
  <si>
    <t>GÆLD</t>
  </si>
  <si>
    <t>Henlagt overskud</t>
  </si>
  <si>
    <t>Indskudt kapital</t>
  </si>
  <si>
    <t>Kassebeholdning</t>
  </si>
  <si>
    <t>Færdigvarelager</t>
  </si>
  <si>
    <t>REGNSKABSPOSTER</t>
  </si>
  <si>
    <t>R2 BALANCEN</t>
  </si>
  <si>
    <t>Goodwill</t>
  </si>
  <si>
    <t>KORTFRISTET GÆLD</t>
    <phoneticPr fontId="0" type="noConversion"/>
  </si>
  <si>
    <t>LANGFRISTET GÆLD I ALT</t>
  </si>
  <si>
    <t>KORTFRISTET GÆLD I ALT</t>
  </si>
  <si>
    <t>INDTÆGTER</t>
  </si>
  <si>
    <t>OMKOSTNINGER</t>
  </si>
  <si>
    <t>Finansiel indtægt</t>
  </si>
  <si>
    <t>Ekstraordinær indtægt</t>
  </si>
  <si>
    <t>Variable omkostning</t>
  </si>
  <si>
    <t>Finansiel omkostning</t>
  </si>
  <si>
    <t>Ekstraordinær omkostning</t>
  </si>
  <si>
    <t>Salg af varer</t>
  </si>
  <si>
    <t>Fast omkostning</t>
  </si>
  <si>
    <t>Gevinst ved frasalg af aktiv</t>
  </si>
  <si>
    <t>Råvarerforbrug</t>
  </si>
  <si>
    <t>Lønninger</t>
  </si>
  <si>
    <t>Bankgebyrer</t>
  </si>
  <si>
    <t>Salg af tjenesteydelser</t>
  </si>
  <si>
    <t>Valutakursgevinst</t>
  </si>
  <si>
    <t>Tab ved frasalg af aktiv</t>
  </si>
  <si>
    <t>Honorar til advokat</t>
  </si>
  <si>
    <t>Salg af varer og tjenesteydelser</t>
  </si>
  <si>
    <t>Selskabsskat</t>
  </si>
  <si>
    <t>R3 RESULATOPGØRELSESEPOSTER</t>
  </si>
  <si>
    <t>- Finansielle omkostninger</t>
  </si>
  <si>
    <t>= Resultat før skat</t>
  </si>
  <si>
    <t>+ Omsætning</t>
  </si>
  <si>
    <t>- Lønninger</t>
  </si>
  <si>
    <t>Øvrige faste omkostninger</t>
  </si>
  <si>
    <t>- Øvrige faste omkostninger</t>
  </si>
  <si>
    <t>Salgsfremmende omkostninger</t>
  </si>
  <si>
    <t>- Salgsfremmende omkostninger</t>
  </si>
  <si>
    <t>+ Finansielle indtægter</t>
  </si>
  <si>
    <t>Valutakurstab</t>
  </si>
  <si>
    <t>Hjælpematerialer</t>
  </si>
  <si>
    <t>- Lokaleomkostninger</t>
  </si>
  <si>
    <t>Tilgodehavende fra kunder</t>
  </si>
  <si>
    <t>Skyldigt udbytte</t>
  </si>
  <si>
    <t>Patentrettighed</t>
  </si>
  <si>
    <t>DÆKNINGSBIDRAG</t>
  </si>
  <si>
    <t>RESULTAT FØR FIN. POSTER</t>
  </si>
  <si>
    <t>Aktier i datterselskaber</t>
  </si>
  <si>
    <t>Kortfristede værdipapirer</t>
  </si>
  <si>
    <t>Ejendom</t>
  </si>
  <si>
    <t>Langfristet gæld</t>
  </si>
  <si>
    <t>Kortfristet gæld</t>
  </si>
  <si>
    <t>Hvis en virksomhed har et løbende lagersystem, så bliver  værdien af varerne på lageret lagt til og trukket fra ved køb og salg.</t>
  </si>
  <si>
    <t>Der er dog virksomheder, der har det periodiske lagersystem, hvilket betyder at de kun registrerer når der bliver købt varer, men ikke</t>
  </si>
  <si>
    <t>når der bliver solgt varer. I sidstnævnte tilfælde er det nødvendigt at beregne vareforbruget indirekte.</t>
  </si>
  <si>
    <t>Formel for vareforbrug = varelager primo (i starten af året) + varekøbt i løbet af året - varelager ultimo (hvad lageret er talt op til i slutningen af året)</t>
  </si>
  <si>
    <t>+ VARELAGER PRIMO 01/01</t>
  </si>
  <si>
    <t>+ INDKØB AF VARER 01/04</t>
  </si>
  <si>
    <t>+ INDKØB AF VARER 01/10</t>
  </si>
  <si>
    <t>- LAGEROPTÆLLING 31/12</t>
  </si>
  <si>
    <t>= VAREFORBRUG</t>
  </si>
  <si>
    <t>R4 RESULTATOPGØRELSE</t>
  </si>
  <si>
    <t>Opstil en resultatopgørelse ud fra nedenstående regnskabsposter</t>
  </si>
  <si>
    <t>Regnskabspost</t>
  </si>
  <si>
    <t>R7 VAREFORBRUG</t>
  </si>
  <si>
    <t>R5 ÅRSREGNSKAB</t>
  </si>
  <si>
    <t>R6 ÅRSREGNSKAB</t>
  </si>
  <si>
    <t>Personaleomkostninger</t>
  </si>
  <si>
    <t>- Personaleomkostninger</t>
  </si>
  <si>
    <t>OPSTIL ÅRSREGNSKAB FOR NEDENSTÅENDE VIRKSOMHED</t>
  </si>
  <si>
    <t>- Selskabsskat (25%)</t>
  </si>
  <si>
    <t>Derefter skal du afgøre hvilke opgørelser det påvirker, herunder resultatopgørelsen, balancen, pengestrømsopgørelse og/eller egenkapitalopgørelsen.</t>
  </si>
  <si>
    <t xml:space="preserve">? </t>
  </si>
  <si>
    <t>Varekøb</t>
  </si>
  <si>
    <t>Virksomhed 2</t>
  </si>
  <si>
    <t>Virksomhed 3</t>
  </si>
  <si>
    <t>Varelager primo</t>
  </si>
  <si>
    <t>Varelager ultimo</t>
  </si>
  <si>
    <t>Faste omkostninger</t>
  </si>
  <si>
    <t>= Overskud/underskud</t>
  </si>
  <si>
    <t>+ Varekøb</t>
  </si>
  <si>
    <t>- Fasteomkostninger</t>
  </si>
  <si>
    <t>= Vareforbrug</t>
  </si>
  <si>
    <t>+ Varelager primo</t>
  </si>
  <si>
    <t>- Varelager ultimo</t>
  </si>
  <si>
    <r>
      <rPr>
        <b/>
        <i/>
        <sz val="12"/>
        <color theme="1"/>
        <rFont val="Calibri"/>
        <family val="2"/>
      </rPr>
      <t>Virksomhed 1</t>
    </r>
  </si>
  <si>
    <t>R8 PENGESTRØMSOPGØRELSEN</t>
  </si>
  <si>
    <t xml:space="preserve">Nettopengestrøm fra drift </t>
  </si>
  <si>
    <t>Nettopengestrøm fra investering</t>
  </si>
  <si>
    <t>Pengestrøm fra finansieringsaktiviteter</t>
  </si>
  <si>
    <t>Nettopengestrøm fra finansiering</t>
  </si>
  <si>
    <t>Nettopengestrøm i alt</t>
  </si>
  <si>
    <t>Likvide beholdninger primo</t>
  </si>
  <si>
    <t>Likvide beholdninger ultimo</t>
  </si>
  <si>
    <t>Transaktion 1</t>
  </si>
  <si>
    <t>Transaktion 2</t>
  </si>
  <si>
    <t>Ud fra nedenstående transaktioner skal du opstille en pengestrømsopgørelse for virksomheden Beliebers A/S. Virksomheden startede regnskabsåret med 13.000 kr. i likvide beholdninger</t>
  </si>
  <si>
    <t>Transaktion 3</t>
  </si>
  <si>
    <t>Virksomheden udfører konsulentarbejde for 5.000 kr, hvoraf de modtager 4.000 kr. kontant og resten er tilgodehavende.</t>
  </si>
  <si>
    <t>Aktionærerne indskyder 7.000 kr. kontant</t>
  </si>
  <si>
    <t>Virksomheden afholder omkostninger for 4.000 kr., hvoraf 3.000 betales kontant og resten er skyldigt.</t>
  </si>
  <si>
    <t>Transaktions 4</t>
  </si>
  <si>
    <t>Virksomheden køber en maskine for 3.000 kr.</t>
  </si>
  <si>
    <t>Transaktions 5</t>
  </si>
  <si>
    <t>Virksomheden betaler aktionærerne 1.500 kr. i udbytte</t>
  </si>
  <si>
    <t>Transaktion</t>
  </si>
  <si>
    <t>Pengestrømsopgørelse</t>
  </si>
  <si>
    <t>Egenkapitalopgørelse</t>
  </si>
  <si>
    <t>Drift, Investering eller Finansiering</t>
  </si>
  <si>
    <t>Det er ikke nødvendigt at angive beløb, det er tilstrækkeligt med et D, I eller F og efterfølgende et eller flere x.</t>
  </si>
  <si>
    <t>Spørgsmål til diskussion</t>
  </si>
  <si>
    <t>1. Kan resultatopgørelsen påvirkes uden at egenkapitalopgørelsen bliver påvirket?</t>
  </si>
  <si>
    <t>2. Kan pengestrømsopgørelsen blive påvirket uden at balancen bliver påvirket?</t>
  </si>
  <si>
    <t>1. Virksomheden optager et realkreditlån og får sat pengene ind på deres konto.</t>
  </si>
  <si>
    <t>2. Virksomheden køber nogle varer til deres varelager på kredit.</t>
  </si>
  <si>
    <t>4. Virksomheden udfører konsulentarbejde på kredit.</t>
  </si>
  <si>
    <t>7. Virksomheden betaler for de tidligere indkøbte varer.</t>
  </si>
  <si>
    <t>8. Virksomheden modtager penge for det udførte konsulentarbejde.</t>
  </si>
  <si>
    <t>5. Virksomheden køber nogle grunde kontant.</t>
  </si>
  <si>
    <t>6. Virksomheden sælger et datterselskab kontant.</t>
  </si>
  <si>
    <t>3. Virksomheden sælger en maskine for mere end den bogførte værdi kontant.</t>
  </si>
  <si>
    <t>R11 SAMLET OPGAVE</t>
  </si>
  <si>
    <t>Peter starter en virksomhed og indskyder i den forbindelse 500.000 kr. i aktiekapital og låner desuden 600.000 kr. i banken.</t>
  </si>
  <si>
    <t>En del af disse penge bruger han på at køber en ejendom til 800.000 kr. som han lejer ud til Sanne for 300.000 kr. kontant.</t>
  </si>
  <si>
    <t>På baggrund af ovenstående oplysninger bedes du opstille en resultatopgørelse, balance, pengestrømsopgørelse samt egenkapitalopgørelse.</t>
  </si>
  <si>
    <t>Hint: Start med resultatopgørelsen, derefter pengestrømsopopgørelsen og egenkapitalopgørelsen og til sidst balancen.</t>
  </si>
  <si>
    <t>Spørgsmål: Hvad gjorde Peter som banken nok er lidt bekymret over?</t>
  </si>
  <si>
    <t>Driftsomkostninger</t>
  </si>
  <si>
    <t>Driftsaktiviteter</t>
  </si>
  <si>
    <t>Investeringsaktiviteter</t>
  </si>
  <si>
    <t>Finansieringsaktiviteter</t>
  </si>
  <si>
    <t>Egenkapitalopgørelsen</t>
  </si>
  <si>
    <t>Egenkapital ultimo</t>
  </si>
  <si>
    <t>Likvide beholdninger</t>
  </si>
  <si>
    <t>Aktiver</t>
  </si>
  <si>
    <t>Helle starter en virksomhed og indskyder i den forbindelse 300.000 kr. i aktiekapital og låner desuden 150.000 kr. i banken.</t>
  </si>
  <si>
    <t>En del af disse penge bruger hun på at køber en maskine til 400.000 kr. som hun lejer ud til Henrik for 120.000 kr. kontant.</t>
  </si>
  <si>
    <t>R12 SAMLET OPGAVE</t>
  </si>
  <si>
    <t>R13 KONKURSRAMT</t>
  </si>
  <si>
    <t>Grundet vedvarende underskud i de seneste år er virksomheden Snydepelserne A/S i risiko for at gå konkurs. Deres nuværende balance er som følger:</t>
  </si>
  <si>
    <t xml:space="preserve">Aktiver </t>
  </si>
  <si>
    <t>Materielle anlægsaktiver</t>
  </si>
  <si>
    <t xml:space="preserve">Inventar </t>
  </si>
  <si>
    <t>Periodeafgrænsningsposter</t>
  </si>
  <si>
    <t>Spørgsmål 1: Hvad er den bogførte værdi af virksomheden og hvorfor er det ikke en god indikation af virksomhedens værdi, hvis de går konkurs?</t>
  </si>
  <si>
    <t>Spørgsmål 2: Hvis Snydepelserne A/S går konkurs, hvad du vurderer du så at den er værd?</t>
  </si>
  <si>
    <t>Yderligere information i forbindelse med konkursværdi</t>
  </si>
  <si>
    <t>Tilgodehavende fra kunder kan sælges til en bank for 25.000.</t>
  </si>
  <si>
    <t>En del af varelageret (21.000) er forældet og kan kun sælges for 3.000. Den resterende del kan sælges for 30.000.</t>
  </si>
  <si>
    <t>Immaterielle anlægsaktiver</t>
  </si>
  <si>
    <t>Passiver</t>
  </si>
  <si>
    <t>Periodeafgrænsningsposter kan ikke refunderes og er dermed værdiløse.</t>
  </si>
  <si>
    <t xml:space="preserve">Patentrettighed har ingen værdi, hvis virksomheden ikke eksisterer. </t>
  </si>
  <si>
    <t>I tilfælde af konkurs vil ejendom og inventar bliver splittet op 50/50 og solgt separat, hvilket tilsammen er 100.000 værd.</t>
  </si>
  <si>
    <t>Gældsposterne forbliver uændret.</t>
  </si>
  <si>
    <t>Pengestrøm fra drift</t>
  </si>
  <si>
    <t>Pengestrøm fra investering</t>
  </si>
  <si>
    <t>Pengestrøm fra finansiering</t>
  </si>
  <si>
    <t>Virksomhed</t>
  </si>
  <si>
    <t>Spørgsmål: Hver virksomhed viser forskellige pengestrøms forløb. Diskutér med din sidemakker hvilken fase I tror hver virksomhed er i.</t>
  </si>
  <si>
    <t>Fase (svar)</t>
  </si>
  <si>
    <t>De fleste virksomheder gennemgår en livscyklus, hvor de starter i en introduktionsfase, derefter vækstfase, modenhedsfase, downsizing og til sidst lukker eller starter på ny.</t>
  </si>
  <si>
    <t>Forslag til forklaring</t>
  </si>
  <si>
    <t>Meget er blevet skrevet om virksomheden RetroRockernes manipulation med regnskaberne og deres efterfølgende konkurs.</t>
  </si>
  <si>
    <t xml:space="preserve">Avisen Finanshelvedet skrev en artikel inden virksomheden gik konkurs og beskrev at regnskabsmanipulationen var let at spotte, </t>
  </si>
  <si>
    <t>Spørgsmål 1: Forklar hvordan det "at aktivere" en omkostning i stedet for at omkostningsføre den påvirker årsregnskabet (resultatopgørelse og balance)</t>
  </si>
  <si>
    <t>da de pludselig valgte "at aktivere" en regelmæssig driftsomkostning som et aktiv, de så efterfølgende kunne afskrive over flere år i stedet for at tage det som en samlet omkostning med det samme.</t>
  </si>
  <si>
    <t xml:space="preserve">Pølsefabrikkens direktør fik en ide om at bogføre et salg af varer til en supermarkedskæde i år 2 som indtægt allerede i år 1. </t>
  </si>
  <si>
    <t>Han henviser til at salget er sikret af en skriftlige kontrakt med supermarkedskæden, som er finansielt robust og aldrig tidligere har misligholdt sine forpligtelser,</t>
  </si>
  <si>
    <t xml:space="preserve">hvorfor denne regnskabspraksis vil være i overensstemmelse med forsigtighedsprincippet. </t>
  </si>
  <si>
    <t xml:space="preserve">Spørgsmål 1: Hvordan vil denne regnskabsmæssige praksis påvirke Pølsefabrikkens regnskabsmæssige resultat i år 1 og 2? </t>
  </si>
  <si>
    <t>R17 AFSKRIVNINGER</t>
  </si>
  <si>
    <t>BOGFØRT VÆRDI PRIMO</t>
  </si>
  <si>
    <t>AFSKRIVNING PER ÅR</t>
  </si>
  <si>
    <t>BOGFØRT VÆRDI ULTIMO</t>
  </si>
  <si>
    <t>Spørgsmål 1: Der findes to former for afskrivninger, lineære og saldo, hvad er forskellen?</t>
  </si>
  <si>
    <t>Spørgsmål 2: Beregn de årlige afskrivninger, samt udvilkingen i den bogførte værdi i nedenstående skemaer</t>
  </si>
  <si>
    <t>Når der afskrives med saldoafskrivninger, vil man aldrig ramme 0</t>
  </si>
  <si>
    <t>SCRAPVÆRDI</t>
  </si>
  <si>
    <t>LINEÆRE AFSKRIVNINGER</t>
  </si>
  <si>
    <t>SALDOAFSKRIVNINGER</t>
  </si>
  <si>
    <t>Spørgsmål 1: Den ene afskrives over 8 år, den anden over 10 (lineær afskrivning). Er det det samme som at afskrive dem begge over 9 år?</t>
  </si>
  <si>
    <t>AFSKRIVNINGER PER ÅR</t>
  </si>
  <si>
    <t>En virksomhed har indkøbt to identiske maskiner til 215.000 kr. per styk. og de har ingen scrapværdi.</t>
  </si>
  <si>
    <t>R18 AFSKRIVNINGER</t>
  </si>
  <si>
    <t>år</t>
    <phoneticPr fontId="0" type="noConversion"/>
  </si>
  <si>
    <t>År</t>
  </si>
  <si>
    <t>Afskrivninger (årets)</t>
  </si>
  <si>
    <t>Akkumulerede afskrivninger</t>
  </si>
  <si>
    <t>Bogført værdi ultimo</t>
  </si>
  <si>
    <t>R19 PRINCIPPER FOR AFSKRIVNINGER</t>
  </si>
  <si>
    <t>LEVETID</t>
  </si>
  <si>
    <t>Spørgsmål 1: Udfyld nedenstående anlægsnote (en anlægsnote viser hvordan den bogførte værdi af et aktiv falder efterhånden som der afskrives mere og mere)</t>
  </si>
  <si>
    <t>Spørgsmål 2: Hvilken regnskabsmæssig forudsætning gør at virksomheden skal håndtere det som et aktiv og ikke blot som en omkostning?</t>
  </si>
  <si>
    <t>R20 ÆNDRING AF REGNSKABSPRAKSIS</t>
  </si>
  <si>
    <t>Årets resultat for virksomheden Alibaba vises nedenfor:</t>
  </si>
  <si>
    <t>Efter du har undersøgt deres årsregnskaber lidt nærmere, kan du se at virksomheden har ændret regnskabspraksis i 2013 og 2015, hvilket har påvirket årets resultat i disse to år.</t>
  </si>
  <si>
    <t>I 2015 ændrede de princip for værdiansættelse af deres lager, hvilket øgede den bogførte værdi af lageret med 9.000.</t>
  </si>
  <si>
    <t>Spørgsmål 2: Hvordan vurderer du virksomhedens performance efter du har fået kendskab til de nye oplysninger?</t>
  </si>
  <si>
    <t>Årets resultat som rapporteret</t>
  </si>
  <si>
    <t>Resultateffekt af ændring i afskrivningsmetode</t>
  </si>
  <si>
    <t>Resultateffekt af ændring i varelagerprincip</t>
  </si>
  <si>
    <t>Justeret årets resultat</t>
  </si>
  <si>
    <t>R21 VÆRDIANSÆTTELSESMETODER</t>
  </si>
  <si>
    <t>Angiv værdiansættelsesmetode for nedenstående aktiver og passiver.</t>
  </si>
  <si>
    <t>Nogle aktiver og passiver kan værdiansættes efter flere metoder.</t>
  </si>
  <si>
    <t>Markedsværdi</t>
  </si>
  <si>
    <t>Nutidsværdi</t>
  </si>
  <si>
    <t>Genanskaffelsespris</t>
  </si>
  <si>
    <t>Likvider</t>
  </si>
  <si>
    <t>Anskaffelsespris</t>
  </si>
  <si>
    <t>Kontanter</t>
  </si>
  <si>
    <t>Markedsværdi af de kortfristede værdipapirer er 19.000.</t>
  </si>
  <si>
    <t>Spørgsmål 2: Hvilket hovedprincip bliver primært ikke overholdt her? Er der andre principper, der heller ikke bliver overholdt? Diskutér med de sidemakker.</t>
  </si>
  <si>
    <t>R15 HOVEDPRINCIPPER</t>
  </si>
  <si>
    <t>R16 HOVEDPRINCIPPER</t>
  </si>
  <si>
    <t>ANSKAFFELSESPRIS</t>
  </si>
  <si>
    <t>Langfristede værdipapirer</t>
  </si>
  <si>
    <t>Maskiner</t>
  </si>
  <si>
    <t>Grunde</t>
  </si>
  <si>
    <t>R22 ANSKAFFELSESPRIS</t>
  </si>
  <si>
    <t>Virksomhedens regnskabschef, Ketty Dyller, er ved at beslutte hvad virksomheden skal gøre med de tre aktiver.</t>
  </si>
  <si>
    <t>Hun har tre muligheder, (1) sælg det, (2), sælg det og genanskaf med et tilsvarende aktiv eller (3) behold det.</t>
  </si>
  <si>
    <t>Følgende information er oplyst for at hjælpe hende til at træffe den rigtige beslutning</t>
  </si>
  <si>
    <t>Markedspris</t>
  </si>
  <si>
    <t>Nutidsværdi af betalingsstrøm fra gammel aktiv</t>
  </si>
  <si>
    <t>Nutidsværdi af betalingsstrøm fra nyt aktiv</t>
  </si>
  <si>
    <t>Aktiv</t>
  </si>
  <si>
    <t>Pengestrøm fra salg</t>
  </si>
  <si>
    <t>Aktiv A</t>
  </si>
  <si>
    <t>Mulighed 1</t>
  </si>
  <si>
    <t>Mulighed 2</t>
  </si>
  <si>
    <t>Mulighed 3</t>
  </si>
  <si>
    <t>Aktiv B</t>
  </si>
  <si>
    <t>Aktiv C</t>
  </si>
  <si>
    <t>Pengestrøm ved genanskaffelse</t>
  </si>
  <si>
    <t>Fremtidig pengestrøm</t>
  </si>
  <si>
    <t>Samlet pengestrøm</t>
  </si>
  <si>
    <t>Spørgsmål 1: Antag at Ketty vælger at beholde aktiv A og B og sælger og erstatter aktiv C med et tilsvarende. Vurdér hendes beslutning og diskutér om det er den rigtige?</t>
  </si>
  <si>
    <t>Spørgsmål 2: Hvor brugbar var anskaffelsesprisen, da du skulle vurdere hendes beslutning?</t>
  </si>
  <si>
    <t>R23 INDREGNING AF INDTÆGTER</t>
  </si>
  <si>
    <t>Virksomheden Tuttifrutti bestilte 5.000 bukke fra leverandøren McDunalds i december 2014 for en samlet kontraktpris på 400.000 kr.</t>
  </si>
  <si>
    <t>McDunalds færdiggjorde bukkene i januar 2015 og leverede dem i februar 2015.</t>
  </si>
  <si>
    <t>McDunalds modtog efterfølgende de 400.000 kr. fra Tuttifrutti i marts 2015.</t>
  </si>
  <si>
    <t>Spørgsmål 1: Antag at McDunalds laver månedlige resultatopgørelser. Diskutér med din sidemakker hvilken måned, de umiddelbart burde indregne de 400.000 kr. som en indtægt?</t>
  </si>
  <si>
    <t>Spørgsmål 2: Retfærdiggør dit svar med udgangspunkt i kriterierne for indregning af indtægter.</t>
  </si>
  <si>
    <t>Spørgsmål 3: Er der betingelser der kunne ændre på hvilken måned McDunalds kunne indregne indtægten for salg af bukkene?</t>
  </si>
  <si>
    <t>Spørgsmål 4: Diskutér med din sidemakker hvorfor ledelsen kunne have interesse i at indregne indtægten i en anden måned end den du valgte?</t>
  </si>
  <si>
    <t>Konstruktionsfirmaet RivNed Aps har indgået en aftale med byen Hyggekøb om at bygge 12 statuer på byens torv.</t>
  </si>
  <si>
    <t>Den samlede kontrakt lyder på 2,4 mio. kr. og de samlede omkostninger er estimeret til at udgøre 1.140.000 kr.</t>
  </si>
  <si>
    <t>Den samlede byggetid er 4 år og følgende skema viser hvordan statuerne bliver færdiggjort, omkostningerne der bliver afholdt og pengene de modtager for hver periode.</t>
  </si>
  <si>
    <t>Statuer færdiggjort</t>
  </si>
  <si>
    <t>Omkostninger afholdt</t>
  </si>
  <si>
    <t>Penge modtaget</t>
  </si>
  <si>
    <t>1) Indtægter er indregnet hvert år efter hvor mange statuer der er færdiggjort.</t>
  </si>
  <si>
    <t>2) Indtægter er indregnet hvert år efter hvor mange omkostninger der er afholdt.</t>
  </si>
  <si>
    <t>3) Indtægter er indregnet hvert år efter hvornår pengene er modtaget.</t>
  </si>
  <si>
    <t>Spørgsmål 1 og 2</t>
  </si>
  <si>
    <t>Spørgsmål 3</t>
  </si>
  <si>
    <t>År 1</t>
  </si>
  <si>
    <t>År 2</t>
  </si>
  <si>
    <t>År 3</t>
  </si>
  <si>
    <t>År 4</t>
  </si>
  <si>
    <t>Omk</t>
  </si>
  <si>
    <t>Antagelse 1</t>
  </si>
  <si>
    <t>Antagelse 2</t>
  </si>
  <si>
    <t>Antagelse 3</t>
  </si>
  <si>
    <t>Spørgsmål 1: Hvor mange indtægter skal RivNed ApS indregne i hvert af de fire år under følgende tre antagelser?</t>
  </si>
  <si>
    <t>Spørgsmål 2: For hver af de tre antaglser match så de tilhørende omkostninger med indtægterne. Beregn overskuddet for hver periode under de tre antagelser.</t>
  </si>
  <si>
    <t xml:space="preserve">Spørgsmål 3: Sammenlign totale indtægter, totale omkostninger og total overskud for hver af de tre antagelser. </t>
  </si>
  <si>
    <t>R24 INDREGNING AF INDTÆGT</t>
  </si>
  <si>
    <t>Hydra Tååst sælger husholdningsapparater til Prik 112. De har netop modtaget en ordre på 500 toastmaskiner til en pris på 100 kr. per stk.</t>
  </si>
  <si>
    <t>Hydra Tååst kan producere toastmaskinen til 40 kr. per stk. og nedenstående tabel viser hvordan de producerer det og hvornår det leveres.</t>
  </si>
  <si>
    <t>Produceret antal toastmaskiner</t>
  </si>
  <si>
    <t>Afholdte omkostninger</t>
  </si>
  <si>
    <t>Leverede antal toastmaskiner</t>
  </si>
  <si>
    <t>Modtaget kontanter</t>
  </si>
  <si>
    <t>Spørgsmål 1: Antag at Hydra Tååst indregner indtægter, når toastmaskinerne er produceret. Hvor mange indtægter kan de indregne for hvert år de næste tre år?</t>
  </si>
  <si>
    <t>Spørgsmål 2: Antag at Hydra Tååst indregner indtægter, når toastmaskinerne er leveret. Hvor mange indtægter kan de indregne for hvert år de næste tre år?</t>
  </si>
  <si>
    <t>Årets overskud</t>
  </si>
  <si>
    <t>Spørgsmål 4: Hvis ledelsen i Hydra Tååst får en indtægtsbaseret bonus, hvilket af de to principper vil de så foretrække?</t>
  </si>
  <si>
    <t>Princip 1</t>
  </si>
  <si>
    <t>Princip 2</t>
  </si>
  <si>
    <t>Spørgsmål 3: Beregn årets resultat for de tre år under hver af de to principper.</t>
  </si>
  <si>
    <t>R26 BOGFØRING</t>
  </si>
  <si>
    <t>Bogfør ved hjælp af T-skitser nedenstående transaktioner med udgangspunkt i det dobbelte bogholderis princip (debet = kredit)</t>
  </si>
  <si>
    <t>Transaktion 4</t>
  </si>
  <si>
    <t>Transaktion 5</t>
  </si>
  <si>
    <t>De solgte varer tages fra varelageret til en værdi af 400.000 kr.</t>
  </si>
  <si>
    <t>Modtager betaling for de leverede varer.</t>
  </si>
  <si>
    <t>Anskaffer varer til lager på 800.000 kr. på kredit.</t>
  </si>
  <si>
    <t>Varelager (aktiv)</t>
  </si>
  <si>
    <t>Leverandørgæld (passiv)</t>
  </si>
  <si>
    <t>Tilgodehavende fra kunder (aktiv)</t>
  </si>
  <si>
    <t>Omsætning (indtægt)</t>
  </si>
  <si>
    <t>Vareforbrug (omkostning)</t>
  </si>
  <si>
    <t>Likvider (aktiv)</t>
  </si>
  <si>
    <t>Husk at aktiver og omkostninger debiteres når de bliver større (kredit ved mindre), mens indtægter og passiver krediteres, når de bliver større (debet ved mindre).</t>
  </si>
  <si>
    <t>R27 BOGFØRING</t>
  </si>
  <si>
    <t>Bogfør ved hjælp af T-skitser nedenstående transaktioner med udgangspunkt i det dobbelte bogholderis princip (debet = kredit) eller bogføringsligningen aktiver = egenkapital + gæld</t>
  </si>
  <si>
    <t>Køber en grund for 20.000 kr. kontant.</t>
  </si>
  <si>
    <t>Låner 9.000 kr. i banken (banklån)</t>
  </si>
  <si>
    <t>Udfører konsulentarbejde for 8.000 kr. på kredit.</t>
  </si>
  <si>
    <t>Betaler kontant 5.500 kr. i driftsomkostninger</t>
  </si>
  <si>
    <t>Transaktion 6</t>
  </si>
  <si>
    <t>Udbetaler 500 kr. i udbytte til aktionærerne.</t>
  </si>
  <si>
    <t>Aktionærer indskyder 30.000 kr. kontant.</t>
  </si>
  <si>
    <t>Grund</t>
  </si>
  <si>
    <t>R28 BOGFØRING</t>
  </si>
  <si>
    <t>Låner 5.000 kr. i banken (banklån)</t>
  </si>
  <si>
    <t>Udfører konsulentarbejde for i alt 10.000 kr., 4000 kr. på kredit, resten kontant</t>
  </si>
  <si>
    <t>Transaktion 7</t>
  </si>
  <si>
    <t>Betaler for leje af inventar i alt 5.000 kr, hvoraf 1.000 kr. vedrører næste år.</t>
  </si>
  <si>
    <t>Tab ved salg af aktiv</t>
  </si>
  <si>
    <t>Leje af inventar</t>
  </si>
  <si>
    <t>Aktionærer indskyder 12.000 kr. kontant.</t>
  </si>
  <si>
    <t>NU SKAL DU BRUGE DE SAMME KONTI FLERE GANGE</t>
  </si>
  <si>
    <t>R29 BOGFØRING MED MOMS</t>
  </si>
  <si>
    <t>Når virksomheden sælger varer har de salgsmoms eller udgående moms og det skal de betale, mens når de køber varer har de købsmoms eller indgående moms, hvilket de har tilgode.</t>
  </si>
  <si>
    <t>Forskellen mellem salgsmoms og købsmoms skal virksomheden betale til SKAT.</t>
  </si>
  <si>
    <t>Moms står for meromsætningsafgift og er en indirekte skat på 25%, der bliver pålagt den pris en virksomhed sælger varen til.</t>
  </si>
  <si>
    <t>De fleste varer er momsbelagte, men der er nogle momsfrie varer som renter, frimærker, forsikringer, transport med fly, bus og tog mv.</t>
  </si>
  <si>
    <t>Køb af frimærker for 200 kr.</t>
  </si>
  <si>
    <t>Bogfør nedenstående transaktioner og tag højde for momsen (før momsen over på henholdsvis salgsmoms- og købsmomskontoen)</t>
  </si>
  <si>
    <t>Udfører konsulentarbejde for i alt 10.000 kr. inkl. moms kontant.</t>
  </si>
  <si>
    <t>Betaler kontant 6.000 kr. inkl. moms i driftsomkostninger</t>
  </si>
  <si>
    <t>Modtager renteindtægter på 1.000 kr. på likvidkontoen</t>
  </si>
  <si>
    <t>Efter bogføring føres salgsmoms ned på momsafregning og ligeledes med købsmoms.</t>
  </si>
  <si>
    <t>Køb af varer til lager kontant for i alt. 10.000 kr. inkl. moms.</t>
  </si>
  <si>
    <t>Frimærker</t>
  </si>
  <si>
    <t>Salg af varer på kontant for i alt 12.500 kr. inkl. moms.</t>
  </si>
  <si>
    <t>De solgte varer føres fra varelager over til vareforbrug, i alt 8.000 kr.</t>
  </si>
  <si>
    <t>A.     Indbetaler 500.000 kr. i egenkapital</t>
  </si>
  <si>
    <t>Lokaleomk.</t>
  </si>
  <si>
    <t>Anlæg</t>
  </si>
  <si>
    <t>Tilgodehavender</t>
  </si>
  <si>
    <t>Primo egenkapital</t>
  </si>
  <si>
    <t>B.     Låner 700.000 kr. i banken til en årlig rente på 10 pct.</t>
  </si>
  <si>
    <t>C.     Køber produktionsanlæg for i alt 800.000 kr. (kontant)</t>
  </si>
  <si>
    <t>D.    Køber diverse råvarer og hjælpematerialer til i alt 300.000 kr. (kontant)</t>
  </si>
  <si>
    <t>E.     Producerer efter bestilling 28 møbler til en samlet omsætning på 1.100.000 kr.</t>
  </si>
  <si>
    <t>Råvarer</t>
  </si>
  <si>
    <t xml:space="preserve">F.     Betaler diverse udgifter og honorar for 2014, 70.000 kr. </t>
  </si>
  <si>
    <t>Diverse omk. honorarer mv.</t>
  </si>
  <si>
    <t>Forudbetalt leje</t>
  </si>
  <si>
    <t>J.      Betaler renter og afdrag på banklånet, 120.000 kr.</t>
  </si>
  <si>
    <t>K.     Afskriver 25% af den bogførte værdi på produktionsanlægget</t>
  </si>
  <si>
    <t>Resultatopgørelse:</t>
  </si>
  <si>
    <t>Ultimo egenkapital</t>
  </si>
  <si>
    <t>Aktiver ultimo</t>
  </si>
  <si>
    <t>Passiver ultimo</t>
  </si>
  <si>
    <t>Transaktioner</t>
  </si>
  <si>
    <t>R30 BOGFØRING OG ÅRSREGNSKAB</t>
  </si>
  <si>
    <t>R31 REGNSKABSAFSLUTNING</t>
  </si>
  <si>
    <t>Akk. afskrivninger inventar</t>
  </si>
  <si>
    <t>1. Varelageret er optalt til 110.000 per 31/12 (brug formel for vareforbrug)</t>
  </si>
  <si>
    <t>6. Udbytte fratrækkes egenkapital</t>
  </si>
  <si>
    <t>4. Skyldigt revisionshonorar udgør 20.000</t>
  </si>
  <si>
    <t>2. Der afskrives 25.000 på inventar</t>
  </si>
  <si>
    <t>Bogfør først nedenstående efterposteringer i kolonnen "EFTERPOSTERINGER"</t>
  </si>
  <si>
    <t>Derefter føres tal fra saldobalancen +/- efterposteringer og i henholdsvis kolonnen "RESULTATOPGØRELSE" og "BALANCE"</t>
  </si>
  <si>
    <t>3. Der er forudbetalt 20.000 for husleje i januar kvartal</t>
  </si>
  <si>
    <t xml:space="preserve">Gearing i kapitalstruktur = </t>
  </si>
  <si>
    <t>EKF = AG x GKS x GIS --&gt; GIS =</t>
  </si>
  <si>
    <t>Renter af gæld (RG)</t>
  </si>
  <si>
    <t>EKF = AG + (AG-RG) * G</t>
  </si>
  <si>
    <t>RG</t>
  </si>
  <si>
    <t>Soliditetsgrad (SG)</t>
  </si>
  <si>
    <t>Spørgsmål 1: Find relevante nøgletal og vurder virksomhedens rentabililtet samt soliditet.</t>
  </si>
  <si>
    <t>R34 REGNSKABSANALYSE</t>
  </si>
  <si>
    <t>Resultat af før renter</t>
  </si>
  <si>
    <t>Spørgsmål 1: Beregn relevante nøgletal og analyser regnskabet.</t>
  </si>
  <si>
    <t>SKAT</t>
  </si>
  <si>
    <t>Spørgsmål 1: Beregn mellemresultater og derefter nøgletal samt kommentér</t>
  </si>
  <si>
    <t>RENTER AF GÆLD (RG)</t>
  </si>
  <si>
    <t>EKF = AG + (AG - RG) * G</t>
  </si>
  <si>
    <t>Aktiver (1000 kr.)</t>
  </si>
  <si>
    <t>Værdipapirer</t>
  </si>
  <si>
    <t>Kundetilgodehavender</t>
  </si>
  <si>
    <t>Varebeholdninger</t>
  </si>
  <si>
    <t>Materielle aktiver</t>
  </si>
  <si>
    <t>Immaterielle aktiver</t>
  </si>
  <si>
    <t>Kortfristet bankgæld</t>
  </si>
  <si>
    <t>Andre relevante oplysninger</t>
  </si>
  <si>
    <t>omsætning (1000 kr.):</t>
  </si>
  <si>
    <t>renteudgifter (1000 kr.):</t>
  </si>
  <si>
    <t>Egenkapitalens forrentning</t>
  </si>
  <si>
    <t>Afkastningsgrad</t>
  </si>
  <si>
    <t>Dekomponering af EKF</t>
  </si>
  <si>
    <t xml:space="preserve"> - aktivernes omsætningshastighed</t>
  </si>
  <si>
    <t xml:space="preserve"> - overskudsgrad</t>
  </si>
  <si>
    <t xml:space="preserve"> - gearing i kapitalstruktur</t>
  </si>
  <si>
    <t>- gearing i indkomststruktur</t>
  </si>
  <si>
    <t>- gearing (gæld / egenkapital)</t>
  </si>
  <si>
    <t>Soliditetsgrad</t>
  </si>
  <si>
    <t>Likviditetsgrad 1</t>
  </si>
  <si>
    <t>Likviditetsgrad 2</t>
  </si>
  <si>
    <t>R36 REGNSKABSANALYSE</t>
  </si>
  <si>
    <t>Passiver (1000 kr.)</t>
  </si>
  <si>
    <t>Udbytte (1000 kr.):</t>
  </si>
  <si>
    <t>Renter af gæld</t>
  </si>
  <si>
    <t>- rentespænd (AG - RG)</t>
  </si>
  <si>
    <t>Spørgsmål 1: Beregn relevante nøgletal og kommentér herpå.</t>
  </si>
  <si>
    <t>En virksomhed har rapporteret følgende tal for deres seneste årsregnskab</t>
  </si>
  <si>
    <t>Du er interesseret i at købe virksomheden og har analyseret det fremtidige potentiale. På den baggrund estimerer du at virksomheden er i stand til at fastholde sit nuværende overskud de næste 10 år.</t>
  </si>
  <si>
    <t>Du benytter en kalkulationsrente på 12%.</t>
  </si>
  <si>
    <t>Spørgsmål 1: Hvis du antager at overskuddet de næste 10 år svarer til virksomhedens pengestrøms, hvor meget vurderer du så at virksomheden er værd?</t>
  </si>
  <si>
    <t>Spørgsmål 2: Hvad er den bogførte værdi af virksomheden?</t>
  </si>
  <si>
    <t>Spørgsmål 3: Forklar hvorfor der er forskel på den bogførte værdi og det du vurderer virksomheden er værd? Hvilke antagelser/regnskabsmæssige principper er vigtige her?</t>
  </si>
  <si>
    <t>Bygninger og maskiner</t>
  </si>
  <si>
    <t>Du som investor tror på at SM A/S kan generere 20.000 kr. per år i de næste 10 år, hvorefter virksomheden kan sælges for 80.000 kr.</t>
  </si>
  <si>
    <t>Den reelle markedsværdi af aktiverne ultimo 2015 er som følger:</t>
  </si>
  <si>
    <t>Samlet markedsværdi</t>
  </si>
  <si>
    <t>Spørgsmål 1: Hvad er den bogførte værdi af SM A/S</t>
  </si>
  <si>
    <t>I slutningen af 2015 rapportede virksomheden SM A/S følgende balance</t>
  </si>
  <si>
    <t>Spørgsmål 2: Hvad vurderer du at virksomheden er værd med en kalkulationsrente på 10%, i 10 år og en årlig pengestrøm på 20.000 kr. samt en salgsværdi på 80.000 kr.</t>
  </si>
  <si>
    <t>Spørgsmål 3: Hvad er likvidationsværdien af SM A/S (hvis aktiverne bliver solgt og gælden indfriet)?</t>
  </si>
  <si>
    <t>Spørgsmål 4: Diskutér forskellen mellem de tre værdier og beregn goodwill (forskellen mellem nutidsværdi og bogført værdi)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</si>
  <si>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</si>
  <si>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</si>
  <si>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</si>
  <si>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</si>
  <si>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</si>
  <si>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</si>
  <si>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</si>
  <si>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</si>
  <si>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</si>
  <si>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</si>
  <si>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</si>
  <si>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</si>
  <si>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</si>
  <si>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</si>
  <si>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</si>
  <si>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</si>
  <si>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</si>
  <si>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Efterposteringer:</t>
    <phoneticPr fontId="0" type="noConversion"/>
  </si>
  <si>
    <t>1. Der afskrives 56.000 kr. på inventar.</t>
  </si>
  <si>
    <t>2. Momskontiene afsluttes.</t>
  </si>
  <si>
    <t>3. Der er forudbetalt 18.000 kr. i husleje vedrørende næste år.</t>
  </si>
  <si>
    <t>4. Varelageret er optalt til 753.000 kr. Reguler varelager og overfør til vareforbrug.</t>
  </si>
  <si>
    <t>EFTERPOSTERINGER</t>
  </si>
  <si>
    <t>Afskrivninger inventar</t>
  </si>
  <si>
    <t>Inventar kostpris</t>
  </si>
  <si>
    <t>Overført overskud</t>
  </si>
  <si>
    <t>Periodeafgrænsningsposter (aktiver)</t>
  </si>
  <si>
    <t>SALDOBALANCE 31/12</t>
  </si>
  <si>
    <t>5. Reguler udbytte over egenkapitalen.</t>
  </si>
  <si>
    <t>R32 REGNSKABSAFSLUTNING</t>
  </si>
  <si>
    <t>1. Momskonti afsluttes.</t>
  </si>
  <si>
    <t>3. Der er forudbetalt 15.000 kr. i forsikringer vedrørende næste år.</t>
  </si>
  <si>
    <t>4. Skyldigt revisionshonorar udgør 25.000 kr.</t>
  </si>
  <si>
    <t>2. Der afskrives 100.000 kr. på inventar og 50.000 kr. på biler</t>
  </si>
  <si>
    <t>5. Varelageret er optalt til 600.000 kr.</t>
  </si>
  <si>
    <t>Administrationsomk.</t>
  </si>
  <si>
    <t>Afskrivninger biler</t>
  </si>
  <si>
    <t>Salgsfremmende omk</t>
  </si>
  <si>
    <t>Software</t>
  </si>
  <si>
    <t>Biler kostpris</t>
  </si>
  <si>
    <t>Akk. afskrivninger biler</t>
  </si>
  <si>
    <t>R33 REGNSKABSAFSLUTNING</t>
  </si>
  <si>
    <t>Efterposteringer:</t>
  </si>
  <si>
    <t>Kapitalandel i datterselskab</t>
  </si>
  <si>
    <t>R35 REGNSKABSANALYSE</t>
  </si>
  <si>
    <t>R38 REGNSKABSANALYSE</t>
  </si>
  <si>
    <t>R39 MARKEDSVÆRDI KONTRA BOGFØRT VÆRDI</t>
  </si>
  <si>
    <t>R40 FORSKEL MELLEM BOGFØRT, MARKEDS- OG LIKVIDATIONSVÆRDI</t>
  </si>
  <si>
    <t>Placer nedenstående poster i én af følgende kategorier:</t>
  </si>
  <si>
    <t>Beregn vareforbruget i hele regnskabsperioden (jan-dec):</t>
  </si>
  <si>
    <t>I nedenstående tre tilfælde mangler der at blive beregnet nogle regnskabsposter. Udled de manglende værdier ud fra de givne oplysninger. Brug det tomme skema nedenfor.</t>
  </si>
  <si>
    <t>Pengestrøm fra driftsaktiviteter:</t>
  </si>
  <si>
    <t>Pengestrøm fra investeringsaktiviteter:</t>
  </si>
  <si>
    <t>Eksempel (find selv på tal).</t>
  </si>
  <si>
    <t>R9 VIRKSOMHEDSAKTIVITETER</t>
  </si>
  <si>
    <t>R10 VIRKSOMHEDSAKTIVITETER</t>
  </si>
  <si>
    <t>Spørgsmål: Hvad gjorde Helle som banken/myndighederne nok er lidt bekymrede over?</t>
  </si>
  <si>
    <t>R14 LIVSCYKLYS</t>
  </si>
  <si>
    <t xml:space="preserve">Spørgsmål 2: Hvilken interesse kunne direktøren have i denne regnskabsmæssige praksis? </t>
  </si>
  <si>
    <t xml:space="preserve">Spørgsmål 3: Holder direktørens argument om, at det er i overensstemmelse med hovedprincipperne? </t>
  </si>
  <si>
    <t>I 2013 ændrede virksomheden afskrivningsmetode, hvilket har forøget den bogførte værdi af aktiverne med 5.000 de efterfølgende år.</t>
  </si>
  <si>
    <t>Spørgsmål 1: Opstil en tabel hvor du korrigerer for de nye oplysninger og ser hvordan årets resultat nu ser ud.</t>
  </si>
  <si>
    <t>R25 INDREGNING AF INDTÆGTER</t>
  </si>
  <si>
    <t xml:space="preserve">H.    Betaler husleje for hele 2014 samt for 1. kvartal 2015, 325.000 kr. </t>
  </si>
  <si>
    <t>G.    Modtager delvis betaling for leverede møbler, 600.000 kr.</t>
  </si>
  <si>
    <t>I.      Opgør råvarelageret ultimo 2014 til en samlet værdi af 100.000 kr.</t>
  </si>
  <si>
    <r>
      <t>Spørgsmål 2: Den ene afskrives med 20% (</t>
    </r>
    <r>
      <rPr>
        <sz val="12"/>
        <rFont val="Calibri"/>
        <family val="2"/>
      </rPr>
      <t>over 8 år</t>
    </r>
    <r>
      <rPr>
        <i/>
        <sz val="12"/>
        <rFont val="Calibri"/>
        <family val="2"/>
      </rPr>
      <t>), den anden med 30% (over 10 år),</t>
    </r>
    <r>
      <rPr>
        <sz val="12"/>
        <rFont val="Calibri"/>
        <family val="2"/>
      </rPr>
      <t xml:space="preserve"> i begge tilfælde ved</t>
    </r>
    <r>
      <rPr>
        <i/>
        <sz val="12"/>
        <rFont val="Calibri"/>
        <family val="2"/>
      </rPr>
      <t xml:space="preserve"> saldoafskrivning.</t>
    </r>
  </si>
  <si>
    <t>Er det det samme som at afskrive dem begge med 25% (over 9 år ved saldoafskrivning)?</t>
  </si>
  <si>
    <r>
      <t>Betaler for alle</t>
    </r>
    <r>
      <rPr>
        <sz val="12"/>
        <color rgb="FF0000FF"/>
        <rFont val="Calibri"/>
        <family val="2"/>
      </rPr>
      <t xml:space="preserve"> </t>
    </r>
    <r>
      <rPr>
        <sz val="12"/>
        <rFont val="Calibri"/>
        <family val="2"/>
      </rPr>
      <t>de købte varer.</t>
    </r>
  </si>
  <si>
    <t>Køber to grunde for i alt 10.000 kr. kontant.</t>
  </si>
  <si>
    <t>Sælger en af grundene for 4.500 kr. (står bogført til 5.000 kr.) kontant.</t>
  </si>
  <si>
    <t>Betaler kontant 4.000 kr. i driftsomkostninger.</t>
  </si>
  <si>
    <t>Virksomheden FlækPap &amp; Sønner A/S køber i 2014 en truck til 500.000 kr. Den forventede levetid på trucken er 5 år og der forventes lineære afskrivninger.</t>
  </si>
  <si>
    <t>BELØB</t>
    <phoneticPr fontId="0" type="noConversion"/>
  </si>
  <si>
    <t>Omsætning</t>
    <phoneticPr fontId="0" type="noConversion"/>
  </si>
  <si>
    <t>Aktier i datterselskab</t>
  </si>
  <si>
    <t>Udbytte (fragår i egenkapital)</t>
  </si>
  <si>
    <t>OMSÆTNINGSAKTIVER</t>
    <phoneticPr fontId="0" type="noConversion"/>
  </si>
  <si>
    <t>Han betaler desuden for nogle driftsomkostninger på i alt 250.000 kr. og har desuden udbetalt 80.000 kr. til sig selv i udbytte.</t>
  </si>
  <si>
    <t>Kortsigtede værdipapirer</t>
  </si>
  <si>
    <t>Langsigtede værdipapirer</t>
  </si>
  <si>
    <t>For tre år siden købte virksomhed Jensen &amp; Sønner nedenstående tre aktiver (det kan antages at der er tale om aktiver der regnskabsføres til anskaffelsespris på balancen)</t>
  </si>
  <si>
    <t>Over-/underskud</t>
  </si>
  <si>
    <t>Nedenfor er 8 transaktioner. For hver transaktion skal du kategorisere om det er en drifts-, investerings- eller finansieringsaktivitet.</t>
  </si>
  <si>
    <t>Derefter skal du afgøre hvilke opgørelser de påvirker, herunder resultatopgørelsen, balancen, pengestrømsopgørelse og/eller egenkapitalopgørelsen.</t>
  </si>
  <si>
    <t>1. Der udstedes aktier i virksomheden, modtager pengene kontant.</t>
  </si>
  <si>
    <t>5. Der betales renter og afdrag på et realkreditlån kontant.</t>
  </si>
  <si>
    <t>2. Der sælges nogle varer fra varelageret kontant.</t>
  </si>
  <si>
    <t>6. Der bliver udbetalt udbytte til aktionærerne kontant.</t>
  </si>
  <si>
    <t>3. Personaleomkostninger bliver betalt kontant.</t>
  </si>
  <si>
    <t>7. En 4 år gammel varevogn sælges til den bogførte værdi kontant.</t>
  </si>
  <si>
    <t>4. Der købes en lagerbygning kontant.</t>
  </si>
  <si>
    <t>8. En huslejeregning fra december i sidste regnskabsår bliver betalt kontant i januar i det nye regnskabsår.</t>
  </si>
  <si>
    <t>Hun betaler desuden for nogle driftsomkostninger på i alt 140.000 kr. og udbetaler desuden 10.000 kr. til sig selv i udbytte.</t>
  </si>
  <si>
    <t>Spørgsmål 3: Hvilket princip forsøger at minimere muligheden for sådanne ændringer? Forklar under hvilke betingelser det kan tillades, at Alibaba ændrer regnskabspraksis?</t>
  </si>
  <si>
    <t>Spørgsmål 3: Antag at Ketty går videre med hendes beslutning. Ifølge de generelle regnskabsmæssige principper og værdiansættelsesmetoder, hvilken værdi vil hvert enkelt aktiv have i virksomhedens regnskab? NB: Antag at der er tale om et anlægsaktiv</t>
  </si>
  <si>
    <t>Bogfør nedenstående transaktioner og opstil herefter årsregnskab (for 2014) med resultatopgørelse og balance.</t>
  </si>
  <si>
    <t>Resultatopgørelse i 1.000 kr.</t>
  </si>
  <si>
    <t>G (Gæld-egenkapital forhold)</t>
  </si>
  <si>
    <t>EKF (før skat)</t>
  </si>
  <si>
    <t>GÆLD-EGENKAPITAL FORHOLD (G)</t>
  </si>
  <si>
    <t>resultat efter renter (1000 kr.):</t>
  </si>
  <si>
    <t>R37 NØGLETAL</t>
  </si>
  <si>
    <t>Drejebog i erhvervsøkonomi - Forår 2021</t>
  </si>
  <si>
    <t xml:space="preserve">Gæld i alt </t>
  </si>
  <si>
    <t xml:space="preserve">Anlægsaktiver i alt </t>
  </si>
  <si>
    <t>Omsætningsaktiver i alt</t>
  </si>
  <si>
    <t>Check</t>
  </si>
  <si>
    <t>x</t>
  </si>
  <si>
    <t>Finans</t>
  </si>
  <si>
    <t>Drift</t>
  </si>
  <si>
    <t>Investering</t>
  </si>
  <si>
    <t>Salg</t>
  </si>
  <si>
    <t>F</t>
  </si>
  <si>
    <t>D</t>
  </si>
  <si>
    <t>I</t>
  </si>
  <si>
    <t>Lån</t>
  </si>
  <si>
    <t>Indskudt kaptital</t>
  </si>
  <si>
    <t>Maskine</t>
  </si>
  <si>
    <t>Hun har trukket udbytte ved negativ resultat</t>
  </si>
  <si>
    <t>Værdi</t>
  </si>
  <si>
    <t>Modenheds</t>
  </si>
  <si>
    <t>Kæmpedrift og ejerne får udbytte</t>
  </si>
  <si>
    <t>Vækst</t>
  </si>
  <si>
    <t>Positiv finansiering, sore investering</t>
  </si>
  <si>
    <t>Downsizing</t>
  </si>
  <si>
    <t>Sælger ud af deres aktiver, og betaler dividend</t>
  </si>
  <si>
    <t xml:space="preserve">De splitter udgiften ud på flere år i stedet for at tage den med det samme. Dette giver i det nuværende år et relativt større overskud. </t>
  </si>
  <si>
    <t xml:space="preserve">: 3: Som oftest kan man først bogføre en indkomst, når varen er leveret. </t>
  </si>
  <si>
    <t>: Det skaber bedre resultater på den korte bane. Men grundlaget for regnskabet er på vag grund. Hvad nu hvis Corona ramte verden, og midt i produktionen var fabrikken nødt til at lukke.</t>
  </si>
  <si>
    <t>Nej det gør det ikke</t>
  </si>
  <si>
    <t xml:space="preserve">Honorar til advokat kan lægge både ekstra ordinær eller fast. Kommer an på den faste brug af advokat eller speciel </t>
  </si>
  <si>
    <t>Nej, man kan ikke påvirke resultatsopgørelsen, da resultat er en del af egenkapitalsopgørelsen som henlagt overskud</t>
  </si>
  <si>
    <t xml:space="preserve">Nej, da pengestrømsopgørelsen viser udviklingen i likvide beholdninger, der er en del af balancen(som omsætningsaktiv), kan det ikke lade sig gøre. </t>
  </si>
  <si>
    <t xml:space="preserve">Han udbetalte divinder svarende til 80k, mens virksomhedens overskud kun var 50k </t>
  </si>
  <si>
    <t xml:space="preserve">Det er et faresignal at trække penge ud af en virksomehd, som ikke har overskud </t>
  </si>
  <si>
    <t xml:space="preserve">Den bogførte værdi er lig egenkapitalen. Derfor 63000 her </t>
  </si>
  <si>
    <t>Ellers kan man tage aktiver og fratrække gælden 259-196=63</t>
  </si>
  <si>
    <t>Værdi under konkurs.</t>
  </si>
  <si>
    <t xml:space="preserve">Aktiver-Gældsposter=Værdi </t>
  </si>
  <si>
    <t xml:space="preserve">Oftest opgøres konkursboet af revisorer og jurister, som også skal have et sælar, og derfor opnår debitorene sjælendt noget. </t>
  </si>
  <si>
    <t xml:space="preserve">Alternativt: Hvis omkostningerne bliver fjernet fra resultatsopgørelsen bliver overskuddet (kunstigt) højere og puster derved opgørelsen op. </t>
  </si>
  <si>
    <t xml:space="preserve">Matchingprincippet bliver ikke overholdt, da de omkostninger virksomheden har brugt til at skabe nogle indtægter ikke længere er i resultatsopgørelsen </t>
  </si>
  <si>
    <t>Konsisten princippet bliver ikke overholdt, da de skifter regnskabspraksis uden at det giver et mere retvisende billede</t>
  </si>
  <si>
    <t>Restbeløbet</t>
  </si>
  <si>
    <t>Sumforskel</t>
  </si>
  <si>
    <t>Spørgsmål 3: Hvilket regnskabsmæssig princip gør, at virksomheden bør fordele aktivets kostpris udover den forventede levetid?</t>
  </si>
  <si>
    <t xml:space="preserve">Deres overskud har svinget rundt omkring et fast leje, modsat deres egne resultater, hvor de har haft en større vækst. </t>
  </si>
  <si>
    <t>Samlet</t>
  </si>
  <si>
    <t>Hvis McDunalds ikke er sikker på, at kunne levere indtægterne.</t>
  </si>
  <si>
    <t xml:space="preserve">Man kunne fordele uindtægterne over flere måneder, eller man kunne have lagt dem i marts, da deres kvartalsregnskab ville se bedre ud. </t>
  </si>
  <si>
    <t xml:space="preserve">Set over hele perioden er der ikke, der er dog forskel på de enkelte år </t>
  </si>
  <si>
    <t xml:space="preserve">Set over hele perioden </t>
  </si>
  <si>
    <t xml:space="preserve">Vi forventer at aktivet skaber indtægter i flere år og dermed virksomheden eksisterer i flere år. </t>
  </si>
  <si>
    <t>Dette er antagelsen om going concern, der sikrer dette</t>
  </si>
  <si>
    <t>Det er et aktiv, der skaber indtægter over en større periode. Omkostningerne, skal tages samme regnskabsperiode som indtægterne. Derfor er det regnskabsperiode.</t>
  </si>
  <si>
    <t>Dette er konsistent princippet. Man bruger den samme regnskabsperiode for at gøre regnskaberne sammenlignelige</t>
  </si>
  <si>
    <t>Det er kun tilladt at ændre metode, hvis det giver et mere retvisende billede af virksomhedens økonomiske situation</t>
  </si>
  <si>
    <t>Effekten føres på egenkapital primo</t>
  </si>
  <si>
    <t>Forsigtigsheds pricenippet bliver ikke overholdt, da aktiver overdrives og omkostninger underdrives</t>
  </si>
  <si>
    <t>Objektivetsprincippet bliver ikke overholdt, da andre regnskabsproducenter ville komme frem til et andet, og et mere korrekt regnskab</t>
  </si>
  <si>
    <t>x - Minus afskriv</t>
  </si>
  <si>
    <t>(x) - Hvis lavere end Anpris</t>
  </si>
  <si>
    <t xml:space="preserve">Det optimale valg </t>
  </si>
  <si>
    <t>Kellys valg</t>
  </si>
  <si>
    <t>Det optimale valg + Kelly</t>
  </si>
  <si>
    <t>Det optimale + Kellys</t>
  </si>
  <si>
    <t>Anskaffelsensprisen bruges ikke i dette eksempel, da det er i balancen, man skal regne med an-/genanskaffelsespris. Det er en sunk cost</t>
  </si>
  <si>
    <t>Objektivitetsprincippet</t>
  </si>
  <si>
    <t>er informationen er dokumenterbar, og at andre ville kunne komme frem til de samme resultater</t>
  </si>
  <si>
    <t>Princip to, da dette i de senere år giver højere overskud. Hvilket kunne tyde på en forbedring af finanserne</t>
  </si>
  <si>
    <t>December - odremodtagelse</t>
  </si>
  <si>
    <t xml:space="preserve">Januar - Færdiggørelse af varen </t>
  </si>
  <si>
    <t xml:space="preserve">Februar - Levering af varen </t>
  </si>
  <si>
    <t xml:space="preserve">Marts - Modtagning af betaling </t>
  </si>
  <si>
    <t>Februar - Leveringstidpunkt</t>
  </si>
  <si>
    <t xml:space="preserve">1) størstedelen af produktionen er afholdt, da varen er leveret </t>
  </si>
  <si>
    <t>2) Indtægtens størrelse skal være kendt, den er 400.000</t>
  </si>
  <si>
    <t xml:space="preserve">3) Størstedelen af omkostningerne skal være afholdt, og de resterende skal være kendt. </t>
  </si>
  <si>
    <t>Sælger halvdelen af varerne på kredit til 1.000.000 kr.</t>
  </si>
  <si>
    <t>Salgsmomsen udgør = 2500</t>
  </si>
  <si>
    <t>Købsmomsen udgør = 2000</t>
  </si>
  <si>
    <t>Købsmomsen udgør = 0</t>
  </si>
  <si>
    <t>Salgsmomsen udgør = 2000</t>
  </si>
  <si>
    <t>Købsmomsen udgør = 1200</t>
  </si>
  <si>
    <t>Salgsmomsen udgør =0</t>
  </si>
  <si>
    <t>Salgsmoms= gæld</t>
  </si>
  <si>
    <t>Købs=tilgodehavende</t>
  </si>
  <si>
    <t>Renterudgift</t>
  </si>
  <si>
    <t>Råvarelager</t>
  </si>
  <si>
    <t xml:space="preserve">Tilgodehavende </t>
  </si>
  <si>
    <t>Likvidbeholdning</t>
  </si>
  <si>
    <t>Fordubetalt leje</t>
  </si>
  <si>
    <t>Købsmoms(aktiv)</t>
  </si>
  <si>
    <t>Salgsmoms(gæld</t>
  </si>
  <si>
    <t xml:space="preserve">Diverse omk. Honnorar mv. </t>
  </si>
  <si>
    <t>AG er ens i de to virksomheder, men virksomhed 2 har bedre EKF, grundet den højere gearing.</t>
  </si>
  <si>
    <t>EKF er større end AG for begge virksomheder, dvs. gælden øger EKF</t>
  </si>
  <si>
    <t>Dog har virksomhed højere gearing,hvilket tilføjer til EKF, men høj G er ikke altid positivt.</t>
  </si>
  <si>
    <t>Højere gearing er forbundet med højere finansiereingsvirksomhed</t>
  </si>
  <si>
    <t xml:space="preserve">Virksomhed to klarer sig dermed bedst </t>
  </si>
  <si>
    <t>Overskudsgraden er steget frem til 2015, så virksomheden er blevet mere omkostningseffektiv</t>
  </si>
  <si>
    <t>konsant</t>
  </si>
  <si>
    <t>Steget stødt over perioden</t>
  </si>
  <si>
    <t>Relativt konstant over perioden</t>
  </si>
  <si>
    <t>Rentabiliteten er staget markarnt, overvejende fra større OG og GKS</t>
  </si>
  <si>
    <t>Soliditeten er faldet på baggund af større gæld over årenen</t>
  </si>
  <si>
    <t xml:space="preserve">Følger samme cyklus som EKF </t>
  </si>
  <si>
    <t xml:space="preserve">Er stødt omkring 1 på nær 2014, med en stigning på 20 procent </t>
  </si>
  <si>
    <t xml:space="preserve">RG er i alle år mindre end AG, derfor postivt afkast fra G </t>
  </si>
  <si>
    <t xml:space="preserve">Større udsving i Gælds-egenkapital foholdet </t>
  </si>
  <si>
    <t>Specielt i 2014 er AG trukket af AOH, ellers er den fast, og AG stiger/falder med OG</t>
  </si>
  <si>
    <t>Hvert andet år er EKF stigende/faldende. Bliver forøget af G, da EKF er højere end AG.</t>
  </si>
  <si>
    <t>Overskudsgraden er det afgørende for EKF. Nogen år har virksomheden høj overskudsgrad(Altså lave omkostninger), som bærer en høj EKF.</t>
  </si>
  <si>
    <t xml:space="preserve">Faldende EKF fra faldende G </t>
  </si>
  <si>
    <t xml:space="preserve">Pæn, men faldende i 2015 </t>
  </si>
  <si>
    <t xml:space="preserve">Lille stigning </t>
  </si>
  <si>
    <t>Konstant</t>
  </si>
  <si>
    <t xml:space="preserve">Høj, men falder markant i 2013-2015. Gearingen påvirker EKF'en positivt for alle år </t>
  </si>
  <si>
    <t>Stort fald</t>
  </si>
  <si>
    <t xml:space="preserve">Noget af faldet i EKF kommer fra et fald i AG som i udgangspunktet er dårligt, fordi AG viser evnen til at forrente sine aktiver </t>
  </si>
  <si>
    <t xml:space="preserve">Stor del af faldet kommer fra lavere gearing. Dette er nødvendigvis ikke en dårlig ting, da lavere gearinggiver en lavere finansiereingsrisiko </t>
  </si>
  <si>
    <t>Lettere faldende AG</t>
  </si>
  <si>
    <t>EKF er stigende, og højere end AG, derfor er øger G EKF</t>
  </si>
  <si>
    <t xml:space="preserve">Faldene </t>
  </si>
  <si>
    <t xml:space="preserve">Konstant </t>
  </si>
  <si>
    <t xml:space="preserve">Markantstigende </t>
  </si>
  <si>
    <t>Stigende</t>
  </si>
  <si>
    <t>n i</t>
  </si>
  <si>
    <t>Stigningen i EkF kommer fra større gearing, som er forbundet med større finansieringsrisiko</t>
  </si>
  <si>
    <t xml:space="preserve">Umiddelbart god i starten, men falder ned til et kritisk niveau, da kortsigtet gæld overstiger omsætningsaktiver. </t>
  </si>
  <si>
    <t xml:space="preserve">Det er dårligt, hvis virksomheden ikke kan betale sine regninger, går den konkurs </t>
  </si>
  <si>
    <t xml:space="preserve">Antal år </t>
  </si>
  <si>
    <t>Kalkulationsrente</t>
  </si>
  <si>
    <t>Årligt cash flow</t>
  </si>
  <si>
    <t>Rente</t>
  </si>
  <si>
    <t xml:space="preserve">Den bogførte værdi er lig med egenkapitalen. </t>
  </si>
  <si>
    <t>Egenkapital=Passiver-Gæld</t>
  </si>
  <si>
    <t>Egenkapital(Overskud+Indskudt Kapital)</t>
  </si>
  <si>
    <t>Antagelsen om ingen inflation.</t>
  </si>
  <si>
    <t>Antal år</t>
  </si>
  <si>
    <t>Cash Flows</t>
  </si>
  <si>
    <t>Salgsværdi</t>
  </si>
  <si>
    <t>.=PV(B17,B16,-B18)</t>
  </si>
  <si>
    <t>Likvidationsværdi</t>
  </si>
  <si>
    <t xml:space="preserve">Den bogførte værdi er anskaffelses/genaskaffelsesprisen </t>
  </si>
  <si>
    <t>Nutidsværdien er baseret på fremdtidige pengeflows</t>
  </si>
  <si>
    <t xml:space="preserve">Likvidationsværdien er hvad virksomheden kan sælges for, hvis den stopper i dag </t>
  </si>
  <si>
    <t>Bogførtværdi</t>
  </si>
  <si>
    <t>Den bogførte værdi er lig egenkapitalen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</si>
</sst>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£&quot;#,##0.00_);[Red]\(&quot;£&quot;#,##0.00\)"/>
    <numFmt numFmtId="43" formatCode="_(* #,##0.00_);_(* \(#,##0.00\);_(* &quot;-&quot;??_);_(@_)"/>
    <numFmt numFmtId="164" formatCode="_ * #,##0.00_ ;_ * \-#,##0.00_ ;_ * &quot;-&quot;??_ ;_ @_ "/>
    <numFmt numFmtId="165" formatCode="#,##0\ &quot;DKK&quot;;[Red]\-#,##0\ &quot;DKK&quot;"/>
    <numFmt numFmtId="166" formatCode="#,##0.00\ &quot;kr&quot;;[Red]\-#,##0.00\ &quot;kr&quot;"/>
    <numFmt numFmtId="167" formatCode="_ * #,##0_ ;_ * \-#,##0_ ;_ * &quot;-&quot;??_ ;_ @_ "/>
    <numFmt numFmtId="168" formatCode="0.0%"/>
    <numFmt numFmtId="169" formatCode="#,##0.0"/>
    <numFmt numFmtId="170" formatCode="#,##0.0000"/>
    <numFmt numFmtId="171" formatCode="#,##0_ ;[Red]\-#,##0\ "/>
    <numFmt numFmtId="172" formatCode="_(* #,##0_);_(* \(#,##0\);_(* &quot;-&quot;??_);_(@_)"/>
  </numFmts>
  <fonts count="5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Helvetica"/>
      <family val="2"/>
    </font>
    <font>
      <u/>
      <sz val="12"/>
      <color indexed="12"/>
      <name val="Helvetica"/>
      <family val="2"/>
    </font>
    <font>
      <u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000FF"/>
      <name val="Calibri"/>
      <family val="2"/>
    </font>
    <font>
      <b/>
      <sz val="15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b/>
      <u/>
      <sz val="12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sz val="12"/>
      <name val="Gill Sans MT"/>
      <family val="2"/>
    </font>
    <font>
      <b/>
      <sz val="12"/>
      <color rgb="FFFF0000"/>
      <name val="Gill Sans MT"/>
      <family val="2"/>
    </font>
    <font>
      <b/>
      <sz val="12"/>
      <name val="Gill Sans MT"/>
      <family val="2"/>
    </font>
    <font>
      <i/>
      <sz val="12"/>
      <name val="Gill Sans MT"/>
      <family val="2"/>
    </font>
    <font>
      <b/>
      <i/>
      <sz val="12"/>
      <name val="Gill Sans MT"/>
      <family val="2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u/>
      <sz val="14"/>
      <color theme="1"/>
      <name val="Gill Sans MT"/>
      <family val="2"/>
    </font>
    <font>
      <sz val="11"/>
      <color indexed="8"/>
      <name val="Calibri"/>
      <family val="2"/>
    </font>
    <font>
      <u/>
      <sz val="12"/>
      <color indexed="12"/>
      <name val="Calibri"/>
      <family val="2"/>
    </font>
    <font>
      <b/>
      <i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0"/>
      <name val="Calibri"/>
      <family val="2"/>
    </font>
    <font>
      <b/>
      <u/>
      <sz val="12"/>
      <color theme="1"/>
      <name val="Gill Sans MT"/>
      <family val="2"/>
    </font>
    <font>
      <sz val="9"/>
      <color theme="1"/>
      <name val="Arial"/>
      <family val="2"/>
    </font>
    <font>
      <b/>
      <sz val="16"/>
      <name val="Calibri"/>
      <family val="2"/>
    </font>
    <font>
      <sz val="14"/>
      <name val="Calibri"/>
      <family val="2"/>
    </font>
    <font>
      <b/>
      <sz val="20"/>
      <name val="Calibri"/>
      <family val="2"/>
    </font>
    <font>
      <i/>
      <sz val="14"/>
      <name val="Calibri"/>
      <family val="2"/>
    </font>
    <font>
      <sz val="12"/>
      <color rgb="FF0000FF"/>
      <name val="Calibri"/>
      <family val="2"/>
    </font>
    <font>
      <sz val="12"/>
      <color theme="1"/>
      <name val="Gil Sans MT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5">
    <xf numFmtId="0" fontId="0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/>
    <xf numFmtId="16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0" fillId="0" borderId="0"/>
    <xf numFmtId="0" fontId="2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03">
    <xf numFmtId="0" fontId="0" fillId="0" borderId="0" xfId="0"/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Border="1" applyAlignment="1">
      <alignment horizontal="left"/>
    </xf>
    <xf numFmtId="0" fontId="10" fillId="3" borderId="0" xfId="1" applyFont="1" applyFill="1"/>
    <xf numFmtId="0" fontId="11" fillId="3" borderId="0" xfId="1" applyFont="1" applyFill="1"/>
    <xf numFmtId="3" fontId="10" fillId="3" borderId="0" xfId="2" applyNumberFormat="1" applyFont="1" applyFill="1" applyAlignment="1" applyProtection="1"/>
    <xf numFmtId="0" fontId="11" fillId="3" borderId="0" xfId="1" applyFont="1" applyFill="1" applyBorder="1"/>
    <xf numFmtId="0" fontId="11" fillId="3" borderId="6" xfId="1" applyFont="1" applyFill="1" applyBorder="1"/>
    <xf numFmtId="0" fontId="11" fillId="3" borderId="0" xfId="1" applyFont="1" applyFill="1" applyBorder="1" applyAlignment="1">
      <alignment horizontal="right"/>
    </xf>
    <xf numFmtId="3" fontId="11" fillId="3" borderId="0" xfId="1" applyNumberFormat="1" applyFont="1" applyFill="1" applyBorder="1"/>
    <xf numFmtId="166" fontId="11" fillId="3" borderId="0" xfId="1" applyNumberFormat="1" applyFont="1" applyFill="1" applyBorder="1"/>
    <xf numFmtId="0" fontId="11" fillId="3" borderId="7" xfId="1" applyFont="1" applyFill="1" applyBorder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2" xfId="1" applyFont="1" applyFill="1" applyBorder="1"/>
    <xf numFmtId="0" fontId="11" fillId="3" borderId="4" xfId="1" applyFont="1" applyFill="1" applyBorder="1"/>
    <xf numFmtId="0" fontId="11" fillId="3" borderId="3" xfId="1" applyFont="1" applyFill="1" applyBorder="1"/>
    <xf numFmtId="0" fontId="11" fillId="3" borderId="1" xfId="1" applyFont="1" applyFill="1" applyBorder="1"/>
    <xf numFmtId="0" fontId="11" fillId="3" borderId="5" xfId="1" applyFont="1" applyFill="1" applyBorder="1"/>
    <xf numFmtId="3" fontId="11" fillId="3" borderId="0" xfId="2" applyNumberFormat="1" applyFont="1" applyFill="1" applyBorder="1" applyAlignment="1" applyProtection="1"/>
    <xf numFmtId="0" fontId="12" fillId="3" borderId="0" xfId="1" applyFont="1" applyFill="1" applyBorder="1"/>
    <xf numFmtId="3" fontId="10" fillId="3" borderId="0" xfId="1" applyNumberFormat="1" applyFont="1" applyFill="1"/>
    <xf numFmtId="3" fontId="11" fillId="3" borderId="0" xfId="1" applyNumberFormat="1" applyFont="1" applyFill="1"/>
    <xf numFmtId="3" fontId="12" fillId="3" borderId="0" xfId="1" applyNumberFormat="1" applyFont="1" applyFill="1"/>
    <xf numFmtId="3" fontId="11" fillId="3" borderId="0" xfId="1" applyNumberFormat="1" applyFont="1" applyFill="1" applyBorder="1" applyAlignment="1">
      <alignment horizontal="right"/>
    </xf>
    <xf numFmtId="3" fontId="11" fillId="3" borderId="7" xfId="1" applyNumberFormat="1" applyFont="1" applyFill="1" applyBorder="1"/>
    <xf numFmtId="3" fontId="11" fillId="3" borderId="8" xfId="1" applyNumberFormat="1" applyFont="1" applyFill="1" applyBorder="1"/>
    <xf numFmtId="3" fontId="11" fillId="3" borderId="9" xfId="1" applyNumberFormat="1" applyFont="1" applyFill="1" applyBorder="1"/>
    <xf numFmtId="3" fontId="11" fillId="3" borderId="4" xfId="1" applyNumberFormat="1" applyFont="1" applyFill="1" applyBorder="1"/>
    <xf numFmtId="3" fontId="11" fillId="3" borderId="3" xfId="1" applyNumberFormat="1" applyFont="1" applyFill="1" applyBorder="1"/>
    <xf numFmtId="3" fontId="11" fillId="3" borderId="1" xfId="1" applyNumberFormat="1" applyFont="1" applyFill="1" applyBorder="1"/>
    <xf numFmtId="3" fontId="11" fillId="3" borderId="5" xfId="1" applyNumberFormat="1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top"/>
    </xf>
    <xf numFmtId="0" fontId="15" fillId="2" borderId="0" xfId="0" applyFont="1" applyFill="1" applyAlignment="1">
      <alignment horizontal="left"/>
    </xf>
    <xf numFmtId="0" fontId="12" fillId="3" borderId="7" xfId="1" applyFont="1" applyFill="1" applyBorder="1"/>
    <xf numFmtId="0" fontId="12" fillId="3" borderId="10" xfId="1" applyFont="1" applyFill="1" applyBorder="1"/>
    <xf numFmtId="0" fontId="11" fillId="3" borderId="0" xfId="1" applyFont="1" applyFill="1" applyAlignment="1">
      <alignment horizontal="left"/>
    </xf>
    <xf numFmtId="3" fontId="11" fillId="3" borderId="8" xfId="1" applyNumberFormat="1" applyFont="1" applyFill="1" applyBorder="1" applyAlignment="1">
      <alignment horizontal="right"/>
    </xf>
    <xf numFmtId="3" fontId="11" fillId="3" borderId="1" xfId="1" applyNumberFormat="1" applyFont="1" applyFill="1" applyBorder="1" applyAlignment="1">
      <alignment horizontal="right"/>
    </xf>
    <xf numFmtId="0" fontId="10" fillId="3" borderId="0" xfId="2" applyFont="1" applyFill="1" applyAlignment="1" applyProtection="1"/>
    <xf numFmtId="0" fontId="11" fillId="3" borderId="13" xfId="1" applyFont="1" applyFill="1" applyBorder="1" applyAlignment="1">
      <alignment horizontal="center"/>
    </xf>
    <xf numFmtId="0" fontId="11" fillId="3" borderId="14" xfId="1" applyFont="1" applyFill="1" applyBorder="1" applyAlignment="1">
      <alignment horizontal="center"/>
    </xf>
    <xf numFmtId="0" fontId="11" fillId="3" borderId="15" xfId="1" applyFont="1" applyFill="1" applyBorder="1" applyAlignment="1">
      <alignment horizontal="center"/>
    </xf>
    <xf numFmtId="3" fontId="12" fillId="3" borderId="0" xfId="1" applyNumberFormat="1" applyFont="1" applyFill="1" applyBorder="1"/>
    <xf numFmtId="0" fontId="10" fillId="3" borderId="0" xfId="1" applyFont="1" applyFill="1" applyBorder="1"/>
    <xf numFmtId="3" fontId="12" fillId="3" borderId="0" xfId="1" applyNumberFormat="1" applyFont="1" applyFill="1" applyAlignment="1">
      <alignment horizontal="right"/>
    </xf>
    <xf numFmtId="3" fontId="12" fillId="3" borderId="7" xfId="1" applyNumberFormat="1" applyFont="1" applyFill="1" applyBorder="1"/>
    <xf numFmtId="3" fontId="17" fillId="3" borderId="0" xfId="1" applyNumberFormat="1" applyFont="1" applyFill="1" applyAlignment="1">
      <alignment horizontal="left"/>
    </xf>
    <xf numFmtId="3" fontId="18" fillId="3" borderId="0" xfId="1" applyNumberFormat="1" applyFont="1" applyFill="1"/>
    <xf numFmtId="3" fontId="12" fillId="3" borderId="2" xfId="1" applyNumberFormat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19" xfId="1" applyFont="1" applyFill="1" applyBorder="1"/>
    <xf numFmtId="3" fontId="12" fillId="3" borderId="4" xfId="1" applyNumberFormat="1" applyFont="1" applyFill="1" applyBorder="1"/>
    <xf numFmtId="0" fontId="12" fillId="3" borderId="27" xfId="1" applyFont="1" applyFill="1" applyBorder="1"/>
    <xf numFmtId="0" fontId="11" fillId="3" borderId="28" xfId="1" applyFont="1" applyFill="1" applyBorder="1"/>
    <xf numFmtId="0" fontId="12" fillId="3" borderId="27" xfId="1" applyFont="1" applyFill="1" applyBorder="1" applyAlignment="1">
      <alignment horizontal="center"/>
    </xf>
    <xf numFmtId="0" fontId="12" fillId="3" borderId="29" xfId="1" applyFont="1" applyFill="1" applyBorder="1" applyAlignment="1">
      <alignment horizontal="center"/>
    </xf>
    <xf numFmtId="0" fontId="12" fillId="3" borderId="30" xfId="1" applyFont="1" applyFill="1" applyBorder="1" applyAlignment="1">
      <alignment horizontal="center"/>
    </xf>
    <xf numFmtId="0" fontId="12" fillId="3" borderId="31" xfId="1" applyFont="1" applyFill="1" applyBorder="1" applyAlignment="1">
      <alignment horizontal="center"/>
    </xf>
    <xf numFmtId="167" fontId="11" fillId="3" borderId="32" xfId="1" applyNumberFormat="1" applyFont="1" applyFill="1" applyBorder="1"/>
    <xf numFmtId="167" fontId="11" fillId="3" borderId="10" xfId="1" applyNumberFormat="1" applyFont="1" applyFill="1" applyBorder="1" applyProtection="1">
      <protection locked="0"/>
    </xf>
    <xf numFmtId="167" fontId="11" fillId="3" borderId="38" xfId="1" applyNumberFormat="1" applyFont="1" applyFill="1" applyBorder="1" applyProtection="1">
      <protection locked="0"/>
    </xf>
    <xf numFmtId="167" fontId="11" fillId="3" borderId="37" xfId="1" applyNumberFormat="1" applyFont="1" applyFill="1" applyBorder="1" applyProtection="1">
      <protection locked="0"/>
    </xf>
    <xf numFmtId="0" fontId="11" fillId="3" borderId="25" xfId="1" applyFont="1" applyFill="1" applyBorder="1"/>
    <xf numFmtId="0" fontId="11" fillId="3" borderId="36" xfId="1" applyFont="1" applyFill="1" applyBorder="1" applyProtection="1">
      <protection locked="0"/>
    </xf>
    <xf numFmtId="0" fontId="11" fillId="3" borderId="0" xfId="1" applyFont="1" applyFill="1" applyProtection="1">
      <protection locked="0"/>
    </xf>
    <xf numFmtId="0" fontId="11" fillId="3" borderId="21" xfId="1" applyFont="1" applyFill="1" applyBorder="1" applyProtection="1">
      <protection locked="0"/>
    </xf>
    <xf numFmtId="0" fontId="11" fillId="3" borderId="28" xfId="1" applyFont="1" applyFill="1" applyBorder="1" applyProtection="1">
      <protection locked="0"/>
    </xf>
    <xf numFmtId="167" fontId="11" fillId="3" borderId="31" xfId="1" applyNumberFormat="1" applyFont="1" applyFill="1" applyBorder="1" applyProtection="1">
      <protection locked="0"/>
    </xf>
    <xf numFmtId="167" fontId="11" fillId="3" borderId="30" xfId="1" applyNumberFormat="1" applyFont="1" applyFill="1" applyBorder="1" applyProtection="1">
      <protection locked="0"/>
    </xf>
    <xf numFmtId="167" fontId="11" fillId="3" borderId="29" xfId="1" applyNumberFormat="1" applyFont="1" applyFill="1" applyBorder="1" applyProtection="1">
      <protection locked="0"/>
    </xf>
    <xf numFmtId="167" fontId="12" fillId="3" borderId="31" xfId="1" applyNumberFormat="1" applyFont="1" applyFill="1" applyBorder="1" applyProtection="1">
      <protection locked="0"/>
    </xf>
    <xf numFmtId="167" fontId="12" fillId="3" borderId="30" xfId="1" applyNumberFormat="1" applyFont="1" applyFill="1" applyBorder="1" applyProtection="1">
      <protection locked="0"/>
    </xf>
    <xf numFmtId="0" fontId="11" fillId="3" borderId="42" xfId="1" applyFont="1" applyFill="1" applyBorder="1"/>
    <xf numFmtId="0" fontId="11" fillId="3" borderId="0" xfId="1" applyFont="1" applyFill="1" applyBorder="1" applyAlignment="1">
      <alignment horizontal="center"/>
    </xf>
    <xf numFmtId="0" fontId="11" fillId="3" borderId="13" xfId="1" applyFont="1" applyFill="1" applyBorder="1"/>
    <xf numFmtId="0" fontId="14" fillId="2" borderId="0" xfId="4" applyFont="1" applyFill="1"/>
    <xf numFmtId="0" fontId="7" fillId="2" borderId="0" xfId="0" applyFont="1" applyFill="1" applyBorder="1"/>
    <xf numFmtId="0" fontId="7" fillId="2" borderId="0" xfId="0" applyFont="1" applyFill="1" applyBorder="1" applyAlignment="1">
      <alignment horizontal="justify" vertical="center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/>
    </xf>
    <xf numFmtId="0" fontId="15" fillId="2" borderId="0" xfId="0" applyFont="1" applyFill="1"/>
    <xf numFmtId="3" fontId="7" fillId="2" borderId="0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2" borderId="1" xfId="0" applyFont="1" applyFill="1" applyBorder="1"/>
    <xf numFmtId="0" fontId="21" fillId="2" borderId="0" xfId="0" applyFont="1" applyFill="1" applyBorder="1" applyAlignment="1">
      <alignment horizontal="left" vertical="center"/>
    </xf>
    <xf numFmtId="0" fontId="21" fillId="2" borderId="0" xfId="0" applyFont="1" applyFill="1" applyBorder="1"/>
    <xf numFmtId="0" fontId="22" fillId="4" borderId="4" xfId="0" applyFont="1" applyFill="1" applyBorder="1"/>
    <xf numFmtId="0" fontId="22" fillId="4" borderId="0" xfId="0" applyFont="1" applyFill="1"/>
    <xf numFmtId="0" fontId="9" fillId="3" borderId="0" xfId="2" applyFill="1" applyAlignment="1" applyProtection="1"/>
    <xf numFmtId="0" fontId="9" fillId="4" borderId="0" xfId="2" applyFill="1" applyAlignment="1" applyProtection="1"/>
    <xf numFmtId="0" fontId="22" fillId="4" borderId="0" xfId="0" applyFont="1" applyFill="1" applyAlignment="1">
      <alignment horizontal="justify" vertical="center" wrapText="1"/>
    </xf>
    <xf numFmtId="0" fontId="22" fillId="4" borderId="0" xfId="0" applyFont="1" applyFill="1" applyAlignment="1">
      <alignment horizontal="right"/>
    </xf>
    <xf numFmtId="167" fontId="22" fillId="4" borderId="9" xfId="0" applyNumberFormat="1" applyFont="1" applyFill="1" applyBorder="1" applyAlignment="1">
      <alignment horizontal="justify" vertical="center" wrapText="1"/>
    </xf>
    <xf numFmtId="0" fontId="22" fillId="4" borderId="9" xfId="0" applyFont="1" applyFill="1" applyBorder="1" applyAlignment="1">
      <alignment horizontal="right"/>
    </xf>
    <xf numFmtId="0" fontId="22" fillId="4" borderId="10" xfId="0" applyFont="1" applyFill="1" applyBorder="1" applyAlignment="1">
      <alignment horizontal="left" wrapText="1"/>
    </xf>
    <xf numFmtId="0" fontId="22" fillId="4" borderId="11" xfId="0" applyFont="1" applyFill="1" applyBorder="1"/>
    <xf numFmtId="0" fontId="22" fillId="4" borderId="12" xfId="0" applyFont="1" applyFill="1" applyBorder="1"/>
    <xf numFmtId="0" fontId="22" fillId="4" borderId="2" xfId="0" applyFont="1" applyFill="1" applyBorder="1" applyAlignment="1">
      <alignment horizontal="left" vertical="center" wrapText="1"/>
    </xf>
    <xf numFmtId="167" fontId="22" fillId="4" borderId="4" xfId="0" applyNumberFormat="1" applyFont="1" applyFill="1" applyBorder="1" applyAlignment="1">
      <alignment horizontal="justify" vertical="center" wrapText="1"/>
    </xf>
    <xf numFmtId="0" fontId="22" fillId="4" borderId="4" xfId="0" applyFont="1" applyFill="1" applyBorder="1" applyAlignment="1">
      <alignment horizontal="right"/>
    </xf>
    <xf numFmtId="0" fontId="22" fillId="4" borderId="2" xfId="0" applyFont="1" applyFill="1" applyBorder="1"/>
    <xf numFmtId="0" fontId="23" fillId="4" borderId="2" xfId="0" applyFont="1" applyFill="1" applyBorder="1" applyAlignment="1">
      <alignment horizontal="left" vertical="center" wrapText="1"/>
    </xf>
    <xf numFmtId="167" fontId="22" fillId="4" borderId="4" xfId="0" applyNumberFormat="1" applyFont="1" applyFill="1" applyBorder="1" applyAlignment="1">
      <alignment horizontal="right"/>
    </xf>
    <xf numFmtId="0" fontId="22" fillId="4" borderId="3" xfId="0" applyFont="1" applyFill="1" applyBorder="1"/>
    <xf numFmtId="0" fontId="22" fillId="4" borderId="1" xfId="0" applyFont="1" applyFill="1" applyBorder="1" applyAlignment="1">
      <alignment horizontal="right"/>
    </xf>
    <xf numFmtId="0" fontId="22" fillId="4" borderId="5" xfId="0" applyFont="1" applyFill="1" applyBorder="1" applyAlignment="1">
      <alignment horizontal="right"/>
    </xf>
    <xf numFmtId="0" fontId="22" fillId="4" borderId="5" xfId="0" applyFont="1" applyFill="1" applyBorder="1"/>
    <xf numFmtId="0" fontId="23" fillId="4" borderId="0" xfId="0" applyFont="1" applyFill="1"/>
    <xf numFmtId="0" fontId="22" fillId="4" borderId="7" xfId="0" applyFont="1" applyFill="1" applyBorder="1"/>
    <xf numFmtId="0" fontId="24" fillId="4" borderId="0" xfId="0" applyFont="1" applyFill="1"/>
    <xf numFmtId="0" fontId="7" fillId="0" borderId="6" xfId="0" applyFont="1" applyBorder="1" applyAlignment="1">
      <alignment horizontal="center" vertical="center" wrapText="1"/>
    </xf>
    <xf numFmtId="0" fontId="14" fillId="2" borderId="0" xfId="4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 vertical="top" wrapText="1"/>
    </xf>
    <xf numFmtId="0" fontId="26" fillId="2" borderId="0" xfId="0" applyFont="1" applyFill="1" applyBorder="1" applyAlignment="1"/>
    <xf numFmtId="3" fontId="11" fillId="3" borderId="0" xfId="1" applyNumberFormat="1" applyFont="1" applyFill="1" applyBorder="1" applyAlignment="1">
      <alignment horizontal="center"/>
    </xf>
    <xf numFmtId="0" fontId="11" fillId="3" borderId="0" xfId="1" applyFont="1" applyFill="1" applyBorder="1"/>
    <xf numFmtId="9" fontId="11" fillId="3" borderId="0" xfId="1" applyNumberFormat="1" applyFont="1" applyFill="1" applyBorder="1" applyAlignment="1">
      <alignment horizontal="center"/>
    </xf>
    <xf numFmtId="0" fontId="26" fillId="3" borderId="0" xfId="1" applyFont="1" applyFill="1" applyBorder="1"/>
    <xf numFmtId="3" fontId="11" fillId="3" borderId="0" xfId="1" applyNumberFormat="1" applyFont="1" applyFill="1"/>
    <xf numFmtId="0" fontId="12" fillId="3" borderId="0" xfId="1" applyFont="1" applyFill="1" applyBorder="1"/>
    <xf numFmtId="0" fontId="26" fillId="3" borderId="3" xfId="1" applyFont="1" applyFill="1" applyBorder="1"/>
    <xf numFmtId="0" fontId="18" fillId="3" borderId="0" xfId="1" applyFont="1" applyFill="1" applyBorder="1"/>
    <xf numFmtId="3" fontId="10" fillId="2" borderId="0" xfId="1" applyNumberFormat="1" applyFont="1" applyFill="1" applyBorder="1"/>
    <xf numFmtId="0" fontId="12" fillId="7" borderId="0" xfId="1" applyFont="1" applyFill="1"/>
    <xf numFmtId="0" fontId="11" fillId="3" borderId="0" xfId="1" applyFont="1" applyFill="1" applyAlignment="1">
      <alignment horizontal="left"/>
    </xf>
    <xf numFmtId="3" fontId="11" fillId="2" borderId="0" xfId="1" applyNumberFormat="1" applyFont="1" applyFill="1"/>
    <xf numFmtId="3" fontId="31" fillId="2" borderId="16" xfId="0" applyNumberFormat="1" applyFont="1" applyFill="1" applyBorder="1"/>
    <xf numFmtId="3" fontId="29" fillId="2" borderId="17" xfId="0" applyNumberFormat="1" applyFont="1" applyFill="1" applyBorder="1" applyAlignment="1">
      <alignment horizontal="center"/>
    </xf>
    <xf numFmtId="3" fontId="31" fillId="2" borderId="17" xfId="0" applyNumberFormat="1" applyFont="1" applyFill="1" applyBorder="1"/>
    <xf numFmtId="3" fontId="29" fillId="2" borderId="18" xfId="0" applyNumberFormat="1" applyFont="1" applyFill="1" applyBorder="1" applyAlignment="1">
      <alignment horizontal="center"/>
    </xf>
    <xf numFmtId="3" fontId="32" fillId="2" borderId="19" xfId="0" applyNumberFormat="1" applyFont="1" applyFill="1" applyBorder="1"/>
    <xf numFmtId="3" fontId="29" fillId="2" borderId="0" xfId="0" applyNumberFormat="1" applyFont="1" applyFill="1" applyBorder="1"/>
    <xf numFmtId="3" fontId="32" fillId="2" borderId="0" xfId="0" applyNumberFormat="1" applyFont="1" applyFill="1" applyBorder="1"/>
    <xf numFmtId="3" fontId="29" fillId="2" borderId="20" xfId="0" applyNumberFormat="1" applyFont="1" applyFill="1" applyBorder="1"/>
    <xf numFmtId="3" fontId="29" fillId="2" borderId="19" xfId="0" applyNumberFormat="1" applyFont="1" applyFill="1" applyBorder="1"/>
    <xf numFmtId="3" fontId="33" fillId="2" borderId="0" xfId="0" applyNumberFormat="1" applyFont="1" applyFill="1" applyBorder="1"/>
    <xf numFmtId="3" fontId="33" fillId="2" borderId="19" xfId="0" applyNumberFormat="1" applyFont="1" applyFill="1" applyBorder="1"/>
    <xf numFmtId="3" fontId="31" fillId="2" borderId="0" xfId="0" applyNumberFormat="1" applyFont="1" applyFill="1" applyBorder="1"/>
    <xf numFmtId="3" fontId="29" fillId="2" borderId="21" xfId="0" applyNumberFormat="1" applyFont="1" applyFill="1" applyBorder="1"/>
    <xf numFmtId="3" fontId="29" fillId="2" borderId="22" xfId="0" applyNumberFormat="1" applyFont="1" applyFill="1" applyBorder="1"/>
    <xf numFmtId="3" fontId="33" fillId="2" borderId="22" xfId="0" applyNumberFormat="1" applyFont="1" applyFill="1" applyBorder="1"/>
    <xf numFmtId="3" fontId="29" fillId="2" borderId="23" xfId="0" applyNumberFormat="1" applyFont="1" applyFill="1" applyBorder="1"/>
    <xf numFmtId="3" fontId="31" fillId="2" borderId="0" xfId="0" applyNumberFormat="1" applyFont="1" applyFill="1"/>
    <xf numFmtId="3" fontId="31" fillId="2" borderId="47" xfId="0" applyNumberFormat="1" applyFont="1" applyFill="1" applyBorder="1"/>
    <xf numFmtId="3" fontId="31" fillId="2" borderId="11" xfId="0" applyNumberFormat="1" applyFont="1" applyFill="1" applyBorder="1"/>
    <xf numFmtId="3" fontId="31" fillId="2" borderId="46" xfId="0" applyNumberFormat="1" applyFont="1" applyFill="1" applyBorder="1"/>
    <xf numFmtId="3" fontId="11" fillId="2" borderId="19" xfId="1" applyNumberFormat="1" applyFont="1" applyFill="1" applyBorder="1"/>
    <xf numFmtId="3" fontId="11" fillId="2" borderId="0" xfId="1" applyNumberFormat="1" applyFont="1" applyFill="1" applyBorder="1"/>
    <xf numFmtId="0" fontId="11" fillId="3" borderId="0" xfId="1" applyFont="1" applyFill="1" applyAlignment="1">
      <alignment horizontal="center"/>
    </xf>
    <xf numFmtId="0" fontId="34" fillId="2" borderId="0" xfId="0" applyFont="1" applyFill="1"/>
    <xf numFmtId="0" fontId="34" fillId="2" borderId="0" xfId="0" applyFont="1" applyFill="1" applyAlignment="1">
      <alignment horizontal="center"/>
    </xf>
    <xf numFmtId="0" fontId="30" fillId="2" borderId="0" xfId="0" applyFont="1" applyFill="1"/>
    <xf numFmtId="0" fontId="35" fillId="2" borderId="0" xfId="0" applyFont="1" applyFill="1" applyAlignment="1"/>
    <xf numFmtId="0" fontId="35" fillId="2" borderId="0" xfId="0" applyFont="1" applyFill="1" applyAlignment="1">
      <alignment horizontal="center"/>
    </xf>
    <xf numFmtId="0" fontId="36" fillId="2" borderId="0" xfId="0" applyFont="1" applyFill="1"/>
    <xf numFmtId="0" fontId="34" fillId="2" borderId="0" xfId="0" applyFont="1" applyFill="1" applyAlignment="1"/>
    <xf numFmtId="3" fontId="34" fillId="2" borderId="0" xfId="0" applyNumberFormat="1" applyFont="1" applyFill="1"/>
    <xf numFmtId="0" fontId="35" fillId="2" borderId="0" xfId="0" quotePrefix="1" applyFont="1" applyFill="1" applyAlignment="1"/>
    <xf numFmtId="3" fontId="35" fillId="2" borderId="0" xfId="0" applyNumberFormat="1" applyFont="1" applyFill="1" applyAlignment="1"/>
    <xf numFmtId="3" fontId="34" fillId="2" borderId="0" xfId="0" applyNumberFormat="1" applyFont="1" applyFill="1" applyAlignment="1">
      <alignment horizontal="center"/>
    </xf>
    <xf numFmtId="3" fontId="34" fillId="2" borderId="0" xfId="0" applyNumberFormat="1" applyFont="1" applyFill="1" applyAlignment="1">
      <alignment horizontal="right"/>
    </xf>
    <xf numFmtId="0" fontId="34" fillId="2" borderId="0" xfId="0" quotePrefix="1" applyFont="1" applyFill="1" applyAlignment="1">
      <alignment horizontal="left" indent="1"/>
    </xf>
    <xf numFmtId="3" fontId="34" fillId="2" borderId="0" xfId="0" applyNumberFormat="1" applyFont="1" applyFill="1" applyAlignment="1"/>
    <xf numFmtId="0" fontId="34" fillId="2" borderId="1" xfId="0" quotePrefix="1" applyFont="1" applyFill="1" applyBorder="1" applyAlignment="1">
      <alignment horizontal="left" indent="1"/>
    </xf>
    <xf numFmtId="3" fontId="34" fillId="2" borderId="1" xfId="0" applyNumberFormat="1" applyFont="1" applyFill="1" applyBorder="1" applyAlignment="1">
      <alignment horizontal="right"/>
    </xf>
    <xf numFmtId="0" fontId="35" fillId="2" borderId="0" xfId="0" quotePrefix="1" applyFont="1" applyFill="1"/>
    <xf numFmtId="3" fontId="35" fillId="2" borderId="0" xfId="0" applyNumberFormat="1" applyFont="1" applyFill="1"/>
    <xf numFmtId="3" fontId="34" fillId="2" borderId="1" xfId="0" applyNumberFormat="1" applyFont="1" applyFill="1" applyBorder="1"/>
    <xf numFmtId="0" fontId="35" fillId="2" borderId="0" xfId="0" quotePrefix="1" applyFont="1" applyFill="1" applyBorder="1" applyAlignment="1"/>
    <xf numFmtId="3" fontId="35" fillId="2" borderId="0" xfId="0" applyNumberFormat="1" applyFont="1" applyFill="1" applyBorder="1" applyAlignment="1"/>
    <xf numFmtId="3" fontId="35" fillId="2" borderId="0" xfId="0" applyNumberFormat="1" applyFont="1" applyFill="1" applyAlignment="1">
      <alignment horizontal="center"/>
    </xf>
    <xf numFmtId="170" fontId="34" fillId="2" borderId="0" xfId="0" applyNumberFormat="1" applyFont="1" applyFill="1"/>
    <xf numFmtId="0" fontId="11" fillId="3" borderId="0" xfId="1" quotePrefix="1" applyFont="1" applyFill="1" applyBorder="1"/>
    <xf numFmtId="3" fontId="11" fillId="3" borderId="0" xfId="1" quotePrefix="1" applyNumberFormat="1" applyFont="1" applyFill="1" applyBorder="1"/>
    <xf numFmtId="0" fontId="11" fillId="3" borderId="1" xfId="1" quotePrefix="1" applyFont="1" applyFill="1" applyBorder="1"/>
    <xf numFmtId="0" fontId="12" fillId="3" borderId="0" xfId="1" quotePrefix="1" applyFont="1" applyFill="1" applyBorder="1"/>
    <xf numFmtId="3" fontId="11" fillId="2" borderId="7" xfId="1" applyNumberFormat="1" applyFont="1" applyFill="1" applyBorder="1"/>
    <xf numFmtId="3" fontId="11" fillId="2" borderId="2" xfId="1" applyNumberFormat="1" applyFont="1" applyFill="1" applyBorder="1"/>
    <xf numFmtId="3" fontId="11" fillId="2" borderId="3" xfId="1" applyNumberFormat="1" applyFont="1" applyFill="1" applyBorder="1"/>
    <xf numFmtId="3" fontId="11" fillId="2" borderId="8" xfId="1" applyNumberFormat="1" applyFont="1" applyFill="1" applyBorder="1"/>
    <xf numFmtId="3" fontId="11" fillId="2" borderId="1" xfId="1" applyNumberFormat="1" applyFont="1" applyFill="1" applyBorder="1"/>
    <xf numFmtId="0" fontId="11" fillId="3" borderId="0" xfId="1" applyFont="1" applyFill="1" applyBorder="1"/>
    <xf numFmtId="3" fontId="11" fillId="3" borderId="0" xfId="1" applyNumberFormat="1" applyFont="1" applyFill="1" applyBorder="1"/>
    <xf numFmtId="0" fontId="38" fillId="3" borderId="0" xfId="2" applyFont="1" applyFill="1" applyAlignment="1" applyProtection="1"/>
    <xf numFmtId="3" fontId="10" fillId="2" borderId="0" xfId="2" applyNumberFormat="1" applyFont="1" applyFill="1" applyAlignment="1" applyProtection="1"/>
    <xf numFmtId="3" fontId="27" fillId="2" borderId="0" xfId="1" applyNumberFormat="1" applyFont="1" applyFill="1" applyBorder="1"/>
    <xf numFmtId="3" fontId="12" fillId="2" borderId="0" xfId="1" applyNumberFormat="1" applyFont="1" applyFill="1" applyBorder="1" applyAlignment="1">
      <alignment horizontal="center"/>
    </xf>
    <xf numFmtId="3" fontId="12" fillId="2" borderId="0" xfId="1" applyNumberFormat="1" applyFont="1" applyFill="1" applyBorder="1"/>
    <xf numFmtId="3" fontId="11" fillId="2" borderId="6" xfId="1" applyNumberFormat="1" applyFont="1" applyFill="1" applyBorder="1"/>
    <xf numFmtId="3" fontId="11" fillId="2" borderId="6" xfId="1" applyNumberFormat="1" applyFont="1" applyFill="1" applyBorder="1" applyAlignment="1">
      <alignment horizontal="right"/>
    </xf>
    <xf numFmtId="3" fontId="18" fillId="2" borderId="0" xfId="1" applyNumberFormat="1" applyFont="1" applyFill="1" applyBorder="1"/>
    <xf numFmtId="3" fontId="12" fillId="2" borderId="16" xfId="1" applyNumberFormat="1" applyFont="1" applyFill="1" applyBorder="1"/>
    <xf numFmtId="3" fontId="11" fillId="2" borderId="17" xfId="1" applyNumberFormat="1" applyFont="1" applyFill="1" applyBorder="1" applyAlignment="1">
      <alignment horizontal="center"/>
    </xf>
    <xf numFmtId="3" fontId="12" fillId="2" borderId="17" xfId="1" applyNumberFormat="1" applyFont="1" applyFill="1" applyBorder="1"/>
    <xf numFmtId="3" fontId="11" fillId="2" borderId="18" xfId="1" applyNumberFormat="1" applyFont="1" applyFill="1" applyBorder="1" applyAlignment="1">
      <alignment horizontal="center"/>
    </xf>
    <xf numFmtId="3" fontId="18" fillId="2" borderId="0" xfId="1" applyNumberFormat="1" applyFont="1" applyFill="1"/>
    <xf numFmtId="3" fontId="17" fillId="2" borderId="19" xfId="1" applyNumberFormat="1" applyFont="1" applyFill="1" applyBorder="1"/>
    <xf numFmtId="3" fontId="17" fillId="2" borderId="0" xfId="1" applyNumberFormat="1" applyFont="1" applyFill="1" applyBorder="1"/>
    <xf numFmtId="3" fontId="11" fillId="2" borderId="20" xfId="1" applyNumberFormat="1" applyFont="1" applyFill="1" applyBorder="1"/>
    <xf numFmtId="3" fontId="10" fillId="2" borderId="0" xfId="1" applyNumberFormat="1" applyFont="1" applyFill="1"/>
    <xf numFmtId="3" fontId="11" fillId="2" borderId="16" xfId="1" applyNumberFormat="1" applyFont="1" applyFill="1" applyBorder="1"/>
    <xf numFmtId="3" fontId="11" fillId="2" borderId="18" xfId="1" applyNumberFormat="1" applyFont="1" applyFill="1" applyBorder="1"/>
    <xf numFmtId="3" fontId="11" fillId="9" borderId="20" xfId="1" applyNumberFormat="1" applyFont="1" applyFill="1" applyBorder="1"/>
    <xf numFmtId="3" fontId="28" fillId="2" borderId="0" xfId="1" applyNumberFormat="1" applyFont="1" applyFill="1" applyBorder="1"/>
    <xf numFmtId="3" fontId="12" fillId="2" borderId="19" xfId="1" applyNumberFormat="1" applyFont="1" applyFill="1" applyBorder="1"/>
    <xf numFmtId="3" fontId="12" fillId="2" borderId="20" xfId="1" applyNumberFormat="1" applyFont="1" applyFill="1" applyBorder="1"/>
    <xf numFmtId="3" fontId="11" fillId="2" borderId="21" xfId="1" applyNumberFormat="1" applyFont="1" applyFill="1" applyBorder="1"/>
    <xf numFmtId="3" fontId="11" fillId="2" borderId="23" xfId="1" applyNumberFormat="1" applyFont="1" applyFill="1" applyBorder="1"/>
    <xf numFmtId="3" fontId="12" fillId="2" borderId="0" xfId="1" applyNumberFormat="1" applyFont="1" applyFill="1"/>
    <xf numFmtId="3" fontId="12" fillId="9" borderId="0" xfId="1" applyNumberFormat="1" applyFont="1" applyFill="1" applyBorder="1"/>
    <xf numFmtId="3" fontId="28" fillId="2" borderId="19" xfId="1" applyNumberFormat="1" applyFont="1" applyFill="1" applyBorder="1"/>
    <xf numFmtId="3" fontId="11" fillId="2" borderId="22" xfId="1" applyNumberFormat="1" applyFont="1" applyFill="1" applyBorder="1"/>
    <xf numFmtId="3" fontId="28" fillId="2" borderId="22" xfId="1" applyNumberFormat="1" applyFont="1" applyFill="1" applyBorder="1"/>
    <xf numFmtId="0" fontId="11" fillId="2" borderId="0" xfId="1" applyFont="1" applyFill="1" applyBorder="1"/>
    <xf numFmtId="0" fontId="12" fillId="2" borderId="0" xfId="1" applyFont="1" applyFill="1" applyBorder="1"/>
    <xf numFmtId="0" fontId="21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3" fontId="7" fillId="2" borderId="6" xfId="0" applyNumberFormat="1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7" fillId="2" borderId="6" xfId="0" quotePrefix="1" applyFont="1" applyFill="1" applyBorder="1"/>
    <xf numFmtId="3" fontId="7" fillId="2" borderId="6" xfId="0" applyNumberFormat="1" applyFont="1" applyFill="1" applyBorder="1" applyAlignment="1">
      <alignment horizontal="center"/>
    </xf>
    <xf numFmtId="3" fontId="26" fillId="2" borderId="6" xfId="0" applyNumberFormat="1" applyFont="1" applyFill="1" applyBorder="1" applyAlignment="1">
      <alignment horizontal="center"/>
    </xf>
    <xf numFmtId="3" fontId="11" fillId="2" borderId="6" xfId="0" applyNumberFormat="1" applyFont="1" applyFill="1" applyBorder="1" applyAlignment="1">
      <alignment horizontal="center"/>
    </xf>
    <xf numFmtId="0" fontId="7" fillId="10" borderId="6" xfId="0" applyFont="1" applyFill="1" applyBorder="1"/>
    <xf numFmtId="0" fontId="7" fillId="10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40" fillId="2" borderId="0" xfId="0" applyFont="1" applyFill="1"/>
    <xf numFmtId="0" fontId="40" fillId="2" borderId="0" xfId="0" applyFont="1" applyFill="1" applyBorder="1"/>
    <xf numFmtId="0" fontId="21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3" fontId="21" fillId="2" borderId="0" xfId="0" applyNumberFormat="1" applyFont="1" applyFill="1" applyBorder="1" applyAlignment="1">
      <alignment horizontal="right" vertical="center" wrapText="1"/>
    </xf>
    <xf numFmtId="3" fontId="7" fillId="2" borderId="0" xfId="0" applyNumberFormat="1" applyFont="1" applyFill="1" applyBorder="1" applyAlignment="1">
      <alignment horizontal="justify" vertical="center" wrapText="1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Alignment="1">
      <alignment horizontal="right"/>
    </xf>
    <xf numFmtId="3" fontId="7" fillId="2" borderId="0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21" fillId="2" borderId="0" xfId="0" applyNumberFormat="1" applyFont="1" applyFill="1" applyBorder="1" applyAlignment="1">
      <alignment horizontal="right"/>
    </xf>
    <xf numFmtId="3" fontId="21" fillId="2" borderId="1" xfId="0" applyNumberFormat="1" applyFont="1" applyFill="1" applyBorder="1" applyAlignment="1">
      <alignment horizontal="right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top"/>
    </xf>
    <xf numFmtId="0" fontId="21" fillId="0" borderId="6" xfId="0" applyFont="1" applyBorder="1" applyAlignment="1">
      <alignment horizontal="center" vertical="top" wrapText="1"/>
    </xf>
    <xf numFmtId="0" fontId="16" fillId="2" borderId="0" xfId="0" applyFont="1" applyFill="1"/>
    <xf numFmtId="3" fontId="11" fillId="3" borderId="2" xfId="1" applyNumberFormat="1" applyFont="1" applyFill="1" applyBorder="1"/>
    <xf numFmtId="3" fontId="11" fillId="3" borderId="0" xfId="1" applyNumberFormat="1" applyFont="1" applyFill="1" applyBorder="1"/>
    <xf numFmtId="3" fontId="11" fillId="3" borderId="1" xfId="1" applyNumberFormat="1" applyFont="1" applyFill="1" applyBorder="1" applyAlignment="1">
      <alignment horizontal="center"/>
    </xf>
    <xf numFmtId="3" fontId="11" fillId="3" borderId="5" xfId="1" applyNumberFormat="1" applyFont="1" applyFill="1" applyBorder="1" applyAlignment="1">
      <alignment horizontal="center"/>
    </xf>
    <xf numFmtId="3" fontId="11" fillId="3" borderId="3" xfId="1" applyNumberFormat="1" applyFont="1" applyFill="1" applyBorder="1" applyAlignment="1">
      <alignment horizontal="center"/>
    </xf>
    <xf numFmtId="0" fontId="12" fillId="3" borderId="0" xfId="1" applyFont="1" applyFill="1"/>
    <xf numFmtId="0" fontId="41" fillId="4" borderId="0" xfId="0" applyFont="1" applyFill="1" applyAlignment="1">
      <alignment horizontal="left" vertical="center" wrapText="1"/>
    </xf>
    <xf numFmtId="0" fontId="42" fillId="4" borderId="7" xfId="0" applyFont="1" applyFill="1" applyBorder="1" applyAlignment="1">
      <alignment horizontal="left" vertical="center" wrapText="1"/>
    </xf>
    <xf numFmtId="0" fontId="42" fillId="4" borderId="2" xfId="0" applyFont="1" applyFill="1" applyBorder="1" applyAlignment="1">
      <alignment horizontal="left" vertical="center" wrapText="1"/>
    </xf>
    <xf numFmtId="0" fontId="42" fillId="4" borderId="3" xfId="0" applyFont="1" applyFill="1" applyBorder="1" applyAlignment="1">
      <alignment horizontal="left" vertical="center" wrapText="1"/>
    </xf>
    <xf numFmtId="167" fontId="42" fillId="4" borderId="5" xfId="0" applyNumberFormat="1" applyFont="1" applyFill="1" applyBorder="1" applyAlignment="1">
      <alignment horizontal="right"/>
    </xf>
    <xf numFmtId="167" fontId="22" fillId="4" borderId="4" xfId="0" applyNumberFormat="1" applyFont="1" applyFill="1" applyBorder="1" applyAlignment="1">
      <alignment horizontal="right" vertical="center" wrapText="1"/>
    </xf>
    <xf numFmtId="167" fontId="42" fillId="4" borderId="5" xfId="0" applyNumberFormat="1" applyFont="1" applyFill="1" applyBorder="1" applyAlignment="1"/>
    <xf numFmtId="167" fontId="22" fillId="4" borderId="5" xfId="0" applyNumberFormat="1" applyFont="1" applyFill="1" applyBorder="1" applyAlignment="1">
      <alignment horizontal="right" vertical="center" wrapText="1"/>
    </xf>
    <xf numFmtId="0" fontId="42" fillId="4" borderId="2" xfId="0" applyFont="1" applyFill="1" applyBorder="1"/>
    <xf numFmtId="3" fontId="22" fillId="4" borderId="4" xfId="0" applyNumberFormat="1" applyFont="1" applyFill="1" applyBorder="1"/>
    <xf numFmtId="0" fontId="42" fillId="4" borderId="3" xfId="0" applyFont="1" applyFill="1" applyBorder="1"/>
    <xf numFmtId="167" fontId="42" fillId="4" borderId="4" xfId="0" applyNumberFormat="1" applyFont="1" applyFill="1" applyBorder="1" applyAlignment="1">
      <alignment horizontal="right"/>
    </xf>
    <xf numFmtId="0" fontId="41" fillId="4" borderId="0" xfId="0" applyFont="1" applyFill="1"/>
    <xf numFmtId="3" fontId="42" fillId="4" borderId="5" xfId="0" applyNumberFormat="1" applyFont="1" applyFill="1" applyBorder="1"/>
    <xf numFmtId="3" fontId="22" fillId="4" borderId="9" xfId="0" applyNumberFormat="1" applyFont="1" applyFill="1" applyBorder="1" applyAlignment="1">
      <alignment horizontal="right"/>
    </xf>
    <xf numFmtId="3" fontId="22" fillId="4" borderId="4" xfId="0" applyNumberFormat="1" applyFont="1" applyFill="1" applyBorder="1" applyAlignment="1">
      <alignment horizontal="right"/>
    </xf>
    <xf numFmtId="3" fontId="22" fillId="4" borderId="5" xfId="0" applyNumberFormat="1" applyFont="1" applyFill="1" applyBorder="1" applyAlignment="1">
      <alignment horizontal="right"/>
    </xf>
    <xf numFmtId="3" fontId="42" fillId="4" borderId="5" xfId="0" applyNumberFormat="1" applyFont="1" applyFill="1" applyBorder="1" applyAlignment="1">
      <alignment horizontal="right"/>
    </xf>
    <xf numFmtId="167" fontId="22" fillId="4" borderId="0" xfId="0" applyNumberFormat="1" applyFont="1" applyFill="1" applyAlignment="1">
      <alignment horizontal="right"/>
    </xf>
    <xf numFmtId="3" fontId="22" fillId="4" borderId="0" xfId="0" applyNumberFormat="1" applyFont="1" applyFill="1" applyAlignment="1">
      <alignment horizontal="right"/>
    </xf>
    <xf numFmtId="0" fontId="42" fillId="4" borderId="1" xfId="0" applyFont="1" applyFill="1" applyBorder="1"/>
    <xf numFmtId="3" fontId="22" fillId="4" borderId="12" xfId="0" applyNumberFormat="1" applyFont="1" applyFill="1" applyBorder="1" applyAlignment="1">
      <alignment horizontal="right"/>
    </xf>
    <xf numFmtId="0" fontId="42" fillId="4" borderId="10" xfId="0" applyFont="1" applyFill="1" applyBorder="1"/>
    <xf numFmtId="3" fontId="11" fillId="3" borderId="1" xfId="1" applyNumberFormat="1" applyFont="1" applyFill="1" applyBorder="1" applyAlignment="1">
      <alignment horizontal="center"/>
    </xf>
    <xf numFmtId="0" fontId="12" fillId="3" borderId="0" xfId="1" applyFont="1" applyFill="1"/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justify" vertical="center" wrapText="1"/>
    </xf>
    <xf numFmtId="3" fontId="7" fillId="2" borderId="0" xfId="0" applyNumberFormat="1" applyFont="1" applyFill="1" applyBorder="1" applyAlignment="1">
      <alignment horizontal="right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2" borderId="10" xfId="0" applyFont="1" applyFill="1" applyBorder="1" applyAlignment="1">
      <alignment horizontal="justify" vertical="center" wrapText="1"/>
    </xf>
    <xf numFmtId="165" fontId="21" fillId="2" borderId="11" xfId="0" applyNumberFormat="1" applyFont="1" applyFill="1" applyBorder="1" applyAlignment="1">
      <alignment horizontal="right" vertical="top" wrapText="1"/>
    </xf>
    <xf numFmtId="165" fontId="21" fillId="2" borderId="1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0" fontId="21" fillId="2" borderId="10" xfId="0" applyFont="1" applyFill="1" applyBorder="1" applyAlignment="1">
      <alignment horizontal="left" vertical="center" wrapText="1"/>
    </xf>
    <xf numFmtId="3" fontId="21" fillId="2" borderId="12" xfId="0" applyNumberFormat="1" applyFont="1" applyFill="1" applyBorder="1" applyAlignment="1">
      <alignment horizontal="right" vertical="center" wrapText="1"/>
    </xf>
    <xf numFmtId="3" fontId="21" fillId="2" borderId="11" xfId="0" applyNumberFormat="1" applyFont="1" applyFill="1" applyBorder="1" applyAlignment="1">
      <alignment horizontal="right" vertical="center" wrapText="1"/>
    </xf>
    <xf numFmtId="0" fontId="21" fillId="2" borderId="0" xfId="0" applyFont="1" applyFill="1" applyBorder="1" applyAlignment="1">
      <alignment horizontal="justify" vertical="center" wrapText="1"/>
    </xf>
    <xf numFmtId="0" fontId="16" fillId="2" borderId="0" xfId="0" applyFont="1" applyFill="1" applyBorder="1"/>
    <xf numFmtId="0" fontId="11" fillId="2" borderId="0" xfId="0" applyFont="1" applyFill="1" applyBorder="1"/>
    <xf numFmtId="0" fontId="11" fillId="2" borderId="0" xfId="0" applyFont="1" applyFill="1" applyBorder="1" applyAlignment="1"/>
    <xf numFmtId="0" fontId="17" fillId="2" borderId="0" xfId="0" applyFont="1" applyFill="1" applyBorder="1" applyAlignment="1"/>
    <xf numFmtId="0" fontId="40" fillId="2" borderId="0" xfId="0" applyFont="1" applyFill="1" applyBorder="1" applyAlignment="1">
      <alignment horizontal="left" vertical="top"/>
    </xf>
    <xf numFmtId="165" fontId="21" fillId="2" borderId="0" xfId="0" applyNumberFormat="1" applyFont="1" applyFill="1" applyBorder="1" applyAlignment="1">
      <alignment horizontal="right" vertical="top" wrapText="1"/>
    </xf>
    <xf numFmtId="0" fontId="11" fillId="2" borderId="0" xfId="0" applyFont="1" applyFill="1" applyBorder="1" applyAlignment="1">
      <alignment horizontal="left" vertical="center" wrapText="1"/>
    </xf>
    <xf numFmtId="3" fontId="11" fillId="2" borderId="0" xfId="0" applyNumberFormat="1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justify" vertical="center" wrapText="1"/>
    </xf>
    <xf numFmtId="0" fontId="11" fillId="2" borderId="0" xfId="0" applyFont="1" applyFill="1"/>
    <xf numFmtId="0" fontId="21" fillId="2" borderId="1" xfId="0" applyFont="1" applyFill="1" applyBorder="1" applyAlignment="1">
      <alignment horizontal="right" vertical="center"/>
    </xf>
    <xf numFmtId="0" fontId="21" fillId="2" borderId="1" xfId="0" applyFont="1" applyFill="1" applyBorder="1" applyAlignment="1">
      <alignment horizontal="right" vertical="center" wrapText="1"/>
    </xf>
    <xf numFmtId="0" fontId="21" fillId="2" borderId="1" xfId="0" applyFont="1" applyFill="1" applyBorder="1" applyAlignment="1">
      <alignment horizontal="justify" vertical="center" wrapText="1"/>
    </xf>
    <xf numFmtId="3" fontId="7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top" wrapText="1"/>
    </xf>
    <xf numFmtId="0" fontId="38" fillId="5" borderId="0" xfId="2" applyFont="1" applyFill="1" applyAlignment="1" applyProtection="1"/>
    <xf numFmtId="0" fontId="7" fillId="2" borderId="0" xfId="7" applyFont="1" applyFill="1"/>
    <xf numFmtId="0" fontId="16" fillId="2" borderId="0" xfId="7" applyFont="1" applyFill="1"/>
    <xf numFmtId="0" fontId="11" fillId="2" borderId="0" xfId="7" applyFont="1" applyFill="1"/>
    <xf numFmtId="0" fontId="21" fillId="2" borderId="0" xfId="7" applyFont="1" applyFill="1"/>
    <xf numFmtId="0" fontId="7" fillId="0" borderId="0" xfId="0" applyFont="1"/>
    <xf numFmtId="0" fontId="11" fillId="0" borderId="0" xfId="0" applyFont="1"/>
    <xf numFmtId="0" fontId="17" fillId="3" borderId="0" xfId="1" applyFont="1" applyFill="1" applyBorder="1"/>
    <xf numFmtId="9" fontId="11" fillId="3" borderId="0" xfId="69" applyFont="1" applyFill="1" applyBorder="1"/>
    <xf numFmtId="3" fontId="11" fillId="3" borderId="7" xfId="1" applyNumberFormat="1" applyFont="1" applyFill="1" applyBorder="1" applyAlignment="1">
      <alignment horizontal="center"/>
    </xf>
    <xf numFmtId="3" fontId="11" fillId="3" borderId="8" xfId="1" applyNumberFormat="1" applyFont="1" applyFill="1" applyBorder="1" applyAlignment="1">
      <alignment horizontal="center"/>
    </xf>
    <xf numFmtId="3" fontId="11" fillId="3" borderId="9" xfId="1" applyNumberFormat="1" applyFont="1" applyFill="1" applyBorder="1" applyAlignment="1">
      <alignment horizontal="center"/>
    </xf>
    <xf numFmtId="3" fontId="11" fillId="3" borderId="13" xfId="1" applyNumberFormat="1" applyFont="1" applyFill="1" applyBorder="1" applyAlignment="1">
      <alignment horizontal="center"/>
    </xf>
    <xf numFmtId="3" fontId="11" fillId="3" borderId="2" xfId="1" applyNumberFormat="1" applyFont="1" applyFill="1" applyBorder="1" applyAlignment="1">
      <alignment horizontal="center"/>
    </xf>
    <xf numFmtId="3" fontId="11" fillId="3" borderId="4" xfId="1" applyNumberFormat="1" applyFont="1" applyFill="1" applyBorder="1" applyAlignment="1">
      <alignment horizontal="center"/>
    </xf>
    <xf numFmtId="3" fontId="11" fillId="3" borderId="14" xfId="1" applyNumberFormat="1" applyFont="1" applyFill="1" applyBorder="1" applyAlignment="1">
      <alignment horizontal="center"/>
    </xf>
    <xf numFmtId="0" fontId="11" fillId="3" borderId="7" xfId="1" applyFont="1" applyFill="1" applyBorder="1" applyAlignment="1">
      <alignment horizontal="center"/>
    </xf>
    <xf numFmtId="9" fontId="11" fillId="3" borderId="8" xfId="1" applyNumberFormat="1" applyFont="1" applyFill="1" applyBorder="1" applyAlignment="1">
      <alignment horizontal="center"/>
    </xf>
    <xf numFmtId="0" fontId="11" fillId="3" borderId="8" xfId="1" applyFont="1" applyFill="1" applyBorder="1" applyAlignment="1">
      <alignment horizontal="center"/>
    </xf>
    <xf numFmtId="9" fontId="11" fillId="3" borderId="9" xfId="1" applyNumberFormat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0" fontId="7" fillId="0" borderId="0" xfId="6" applyFont="1" applyFill="1"/>
    <xf numFmtId="0" fontId="7" fillId="2" borderId="0" xfId="6" applyFont="1" applyFill="1"/>
    <xf numFmtId="0" fontId="27" fillId="2" borderId="0" xfId="0" applyFont="1" applyFill="1" applyBorder="1"/>
    <xf numFmtId="0" fontId="21" fillId="2" borderId="6" xfId="6" applyFont="1" applyFill="1" applyBorder="1"/>
    <xf numFmtId="3" fontId="11" fillId="2" borderId="0" xfId="0" applyNumberFormat="1" applyFont="1" applyFill="1" applyBorder="1"/>
    <xf numFmtId="0" fontId="21" fillId="2" borderId="6" xfId="6" applyFont="1" applyFill="1" applyBorder="1" applyAlignment="1">
      <alignment horizontal="center"/>
    </xf>
    <xf numFmtId="0" fontId="16" fillId="2" borderId="0" xfId="6" applyFont="1" applyFill="1"/>
    <xf numFmtId="3" fontId="11" fillId="2" borderId="3" xfId="0" applyNumberFormat="1" applyFont="1" applyFill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11" fillId="2" borderId="0" xfId="7" applyFont="1" applyFill="1" applyBorder="1"/>
    <xf numFmtId="0" fontId="17" fillId="3" borderId="0" xfId="1" applyFont="1" applyFill="1"/>
    <xf numFmtId="3" fontId="17" fillId="3" borderId="0" xfId="1" applyNumberFormat="1" applyFont="1" applyFill="1"/>
    <xf numFmtId="0" fontId="11" fillId="3" borderId="9" xfId="1" applyFont="1" applyFill="1" applyBorder="1" applyAlignment="1">
      <alignment horizontal="center"/>
    </xf>
    <xf numFmtId="0" fontId="11" fillId="6" borderId="6" xfId="7" applyFont="1" applyFill="1" applyBorder="1" applyAlignment="1">
      <alignment horizontal="center"/>
    </xf>
    <xf numFmtId="0" fontId="7" fillId="8" borderId="6" xfId="7" applyFont="1" applyFill="1" applyBorder="1" applyAlignment="1">
      <alignment horizontal="center"/>
    </xf>
    <xf numFmtId="0" fontId="7" fillId="7" borderId="6" xfId="7" applyFont="1" applyFill="1" applyBorder="1" applyAlignment="1">
      <alignment horizontal="center"/>
    </xf>
    <xf numFmtId="0" fontId="7" fillId="9" borderId="6" xfId="7" applyFont="1" applyFill="1" applyBorder="1" applyAlignment="1">
      <alignment horizontal="center"/>
    </xf>
    <xf numFmtId="0" fontId="7" fillId="2" borderId="6" xfId="7" applyFont="1" applyFill="1" applyBorder="1"/>
    <xf numFmtId="0" fontId="7" fillId="2" borderId="6" xfId="7" applyFont="1" applyFill="1" applyBorder="1" applyAlignment="1">
      <alignment horizontal="center"/>
    </xf>
    <xf numFmtId="0" fontId="7" fillId="2" borderId="1" xfId="7" applyFont="1" applyFill="1" applyBorder="1"/>
    <xf numFmtId="0" fontId="21" fillId="2" borderId="1" xfId="7" applyFont="1" applyFill="1" applyBorder="1"/>
    <xf numFmtId="167" fontId="7" fillId="2" borderId="0" xfId="8" applyNumberFormat="1" applyFont="1" applyFill="1"/>
    <xf numFmtId="167" fontId="7" fillId="2" borderId="0" xfId="7" applyNumberFormat="1" applyFont="1" applyFill="1"/>
    <xf numFmtId="167" fontId="21" fillId="2" borderId="0" xfId="7" applyNumberFormat="1" applyFont="1" applyFill="1"/>
    <xf numFmtId="0" fontId="21" fillId="2" borderId="1" xfId="7" applyFont="1" applyFill="1" applyBorder="1" applyAlignment="1">
      <alignment horizontal="center" vertical="center" wrapText="1"/>
    </xf>
    <xf numFmtId="0" fontId="21" fillId="2" borderId="1" xfId="7" applyFont="1" applyFill="1" applyBorder="1" applyAlignment="1">
      <alignment horizontal="center" vertical="center"/>
    </xf>
    <xf numFmtId="0" fontId="7" fillId="2" borderId="9" xfId="7" applyFont="1" applyFill="1" applyBorder="1"/>
    <xf numFmtId="0" fontId="7" fillId="2" borderId="4" xfId="7" applyFont="1" applyFill="1" applyBorder="1"/>
    <xf numFmtId="0" fontId="26" fillId="2" borderId="0" xfId="7" applyFont="1" applyFill="1"/>
    <xf numFmtId="167" fontId="7" fillId="2" borderId="4" xfId="7" applyNumberFormat="1" applyFont="1" applyFill="1" applyBorder="1"/>
    <xf numFmtId="0" fontId="11" fillId="2" borderId="6" xfId="7" applyFont="1" applyFill="1" applyBorder="1"/>
    <xf numFmtId="167" fontId="11" fillId="2" borderId="6" xfId="7" applyNumberFormat="1" applyFont="1" applyFill="1" applyBorder="1"/>
    <xf numFmtId="0" fontId="17" fillId="2" borderId="0" xfId="7" applyFont="1" applyFill="1"/>
    <xf numFmtId="0" fontId="7" fillId="2" borderId="0" xfId="1" applyFont="1" applyFill="1"/>
    <xf numFmtId="0" fontId="43" fillId="4" borderId="0" xfId="4" applyFont="1" applyFill="1"/>
    <xf numFmtId="0" fontId="44" fillId="4" borderId="0" xfId="4" applyFont="1" applyFill="1"/>
    <xf numFmtId="0" fontId="21" fillId="2" borderId="1" xfId="1" applyFont="1" applyFill="1" applyBorder="1"/>
    <xf numFmtId="0" fontId="21" fillId="2" borderId="1" xfId="1" applyFont="1" applyFill="1" applyBorder="1" applyAlignment="1">
      <alignment horizontal="center"/>
    </xf>
    <xf numFmtId="0" fontId="21" fillId="2" borderId="11" xfId="1" applyFont="1" applyFill="1" applyBorder="1"/>
    <xf numFmtId="0" fontId="7" fillId="2" borderId="11" xfId="1" applyFont="1" applyFill="1" applyBorder="1" applyAlignment="1">
      <alignment horizontal="center"/>
    </xf>
    <xf numFmtId="0" fontId="7" fillId="2" borderId="11" xfId="1" applyFont="1" applyFill="1" applyBorder="1"/>
    <xf numFmtId="0" fontId="21" fillId="2" borderId="0" xfId="1" applyFont="1" applyFill="1"/>
    <xf numFmtId="167" fontId="7" fillId="2" borderId="0" xfId="263" applyNumberFormat="1" applyFont="1" applyFill="1"/>
    <xf numFmtId="0" fontId="21" fillId="2" borderId="17" xfId="1" applyFont="1" applyFill="1" applyBorder="1"/>
    <xf numFmtId="0" fontId="7" fillId="2" borderId="16" xfId="1" applyFont="1" applyFill="1" applyBorder="1"/>
    <xf numFmtId="0" fontId="7" fillId="2" borderId="18" xfId="1" applyFont="1" applyFill="1" applyBorder="1"/>
    <xf numFmtId="0" fontId="7" fillId="2" borderId="19" xfId="1" applyFont="1" applyFill="1" applyBorder="1"/>
    <xf numFmtId="167" fontId="7" fillId="2" borderId="0" xfId="1" applyNumberFormat="1" applyFont="1" applyFill="1" applyBorder="1"/>
    <xf numFmtId="0" fontId="7" fillId="2" borderId="20" xfId="1" applyFont="1" applyFill="1" applyBorder="1"/>
    <xf numFmtId="0" fontId="7" fillId="2" borderId="21" xfId="1" applyFont="1" applyFill="1" applyBorder="1"/>
    <xf numFmtId="167" fontId="7" fillId="2" borderId="22" xfId="1" applyNumberFormat="1" applyFont="1" applyFill="1" applyBorder="1"/>
    <xf numFmtId="0" fontId="7" fillId="2" borderId="23" xfId="1" applyFont="1" applyFill="1" applyBorder="1"/>
    <xf numFmtId="0" fontId="17" fillId="2" borderId="0" xfId="1" applyFont="1" applyFill="1"/>
    <xf numFmtId="0" fontId="11" fillId="2" borderId="0" xfId="1" applyFont="1" applyFill="1"/>
    <xf numFmtId="0" fontId="21" fillId="2" borderId="7" xfId="1" applyFont="1" applyFill="1" applyBorder="1" applyAlignment="1">
      <alignment horizontal="center"/>
    </xf>
    <xf numFmtId="0" fontId="21" fillId="2" borderId="8" xfId="1" applyFont="1" applyFill="1" applyBorder="1" applyAlignment="1">
      <alignment horizontal="center"/>
    </xf>
    <xf numFmtId="0" fontId="21" fillId="2" borderId="9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167" fontId="7" fillId="2" borderId="0" xfId="1" applyNumberFormat="1" applyFont="1" applyFill="1" applyBorder="1" applyAlignment="1">
      <alignment horizontal="center"/>
    </xf>
    <xf numFmtId="167" fontId="7" fillId="2" borderId="4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21" fillId="2" borderId="2" xfId="1" applyFont="1" applyFill="1" applyBorder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4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167" fontId="7" fillId="2" borderId="1" xfId="1" applyNumberFormat="1" applyFont="1" applyFill="1" applyBorder="1" applyAlignment="1">
      <alignment horizontal="center"/>
    </xf>
    <xf numFmtId="167" fontId="7" fillId="2" borderId="5" xfId="1" applyNumberFormat="1" applyFont="1" applyFill="1" applyBorder="1" applyAlignment="1">
      <alignment horizontal="center"/>
    </xf>
    <xf numFmtId="0" fontId="21" fillId="2" borderId="1" xfId="7" applyFont="1" applyFill="1" applyBorder="1" applyAlignment="1">
      <alignment horizontal="center"/>
    </xf>
    <xf numFmtId="0" fontId="21" fillId="2" borderId="5" xfId="7" applyFont="1" applyFill="1" applyBorder="1" applyAlignment="1">
      <alignment horizontal="center"/>
    </xf>
    <xf numFmtId="0" fontId="21" fillId="2" borderId="1" xfId="7" applyFont="1" applyFill="1" applyBorder="1" applyAlignment="1">
      <alignment horizontal="right"/>
    </xf>
    <xf numFmtId="167" fontId="7" fillId="2" borderId="0" xfId="7" applyNumberFormat="1" applyFont="1" applyFill="1" applyAlignment="1">
      <alignment horizontal="center"/>
    </xf>
    <xf numFmtId="3" fontId="7" fillId="2" borderId="0" xfId="7" applyNumberFormat="1" applyFont="1" applyFill="1" applyAlignment="1">
      <alignment horizontal="center"/>
    </xf>
    <xf numFmtId="3" fontId="7" fillId="2" borderId="1" xfId="7" applyNumberFormat="1" applyFont="1" applyFill="1" applyBorder="1" applyAlignment="1">
      <alignment horizontal="center"/>
    </xf>
    <xf numFmtId="0" fontId="21" fillId="2" borderId="3" xfId="7" applyFont="1" applyFill="1" applyBorder="1" applyAlignment="1">
      <alignment horizontal="center"/>
    </xf>
    <xf numFmtId="3" fontId="7" fillId="2" borderId="2" xfId="7" applyNumberFormat="1" applyFont="1" applyFill="1" applyBorder="1" applyAlignment="1">
      <alignment horizontal="center"/>
    </xf>
    <xf numFmtId="3" fontId="7" fillId="2" borderId="3" xfId="7" applyNumberFormat="1" applyFont="1" applyFill="1" applyBorder="1" applyAlignment="1">
      <alignment horizontal="center"/>
    </xf>
    <xf numFmtId="3" fontId="21" fillId="2" borderId="0" xfId="7" applyNumberFormat="1" applyFont="1" applyFill="1" applyAlignment="1">
      <alignment horizontal="center"/>
    </xf>
    <xf numFmtId="3" fontId="7" fillId="2" borderId="4" xfId="7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left" vertical="center"/>
    </xf>
    <xf numFmtId="3" fontId="18" fillId="3" borderId="0" xfId="1" applyNumberFormat="1" applyFont="1" applyFill="1" applyBorder="1"/>
    <xf numFmtId="3" fontId="11" fillId="3" borderId="0" xfId="1" applyNumberFormat="1" applyFont="1" applyFill="1" applyBorder="1" applyAlignment="1"/>
    <xf numFmtId="3" fontId="11" fillId="3" borderId="2" xfId="1" applyNumberFormat="1" applyFont="1" applyFill="1" applyBorder="1" applyAlignment="1"/>
    <xf numFmtId="3" fontId="17" fillId="3" borderId="0" xfId="1" applyNumberFormat="1" applyFont="1" applyFill="1" applyBorder="1"/>
    <xf numFmtId="3" fontId="26" fillId="3" borderId="0" xfId="1" applyNumberFormat="1" applyFont="1" applyFill="1" applyBorder="1" applyAlignment="1"/>
    <xf numFmtId="0" fontId="45" fillId="2" borderId="0" xfId="1" applyFont="1" applyFill="1" applyAlignment="1">
      <alignment vertical="center"/>
    </xf>
    <xf numFmtId="0" fontId="45" fillId="2" borderId="0" xfId="1" applyFont="1" applyFill="1" applyAlignment="1">
      <alignment horizontal="center" vertical="center"/>
    </xf>
    <xf numFmtId="0" fontId="34" fillId="2" borderId="0" xfId="1" applyFont="1" applyFill="1" applyAlignment="1">
      <alignment horizontal="center" vertical="center"/>
    </xf>
    <xf numFmtId="0" fontId="34" fillId="2" borderId="0" xfId="1" applyFont="1" applyFill="1" applyAlignment="1">
      <alignment vertical="center"/>
    </xf>
    <xf numFmtId="0" fontId="34" fillId="2" borderId="0" xfId="1" applyFont="1" applyFill="1" applyAlignment="1">
      <alignment horizontal="justify" vertical="center"/>
    </xf>
    <xf numFmtId="3" fontId="34" fillId="2" borderId="0" xfId="1" applyNumberFormat="1" applyFont="1" applyFill="1" applyAlignment="1">
      <alignment horizontal="center" vertical="center"/>
    </xf>
    <xf numFmtId="0" fontId="34" fillId="2" borderId="9" xfId="1" applyFont="1" applyFill="1" applyBorder="1" applyAlignment="1">
      <alignment vertical="center"/>
    </xf>
    <xf numFmtId="3" fontId="34" fillId="2" borderId="8" xfId="1" applyNumberFormat="1" applyFont="1" applyFill="1" applyBorder="1" applyAlignment="1">
      <alignment vertical="center"/>
    </xf>
    <xf numFmtId="0" fontId="34" fillId="2" borderId="8" xfId="1" applyFont="1" applyFill="1" applyBorder="1" applyAlignment="1">
      <alignment vertical="center"/>
    </xf>
    <xf numFmtId="3" fontId="34" fillId="2" borderId="9" xfId="1" applyNumberFormat="1" applyFont="1" applyFill="1" applyBorder="1" applyAlignment="1">
      <alignment vertical="center"/>
    </xf>
    <xf numFmtId="0" fontId="34" fillId="2" borderId="4" xfId="1" applyFont="1" applyFill="1" applyBorder="1" applyAlignment="1">
      <alignment vertical="center"/>
    </xf>
    <xf numFmtId="3" fontId="34" fillId="2" borderId="0" xfId="1" applyNumberFormat="1" applyFont="1" applyFill="1" applyAlignment="1">
      <alignment vertical="center"/>
    </xf>
    <xf numFmtId="3" fontId="34" fillId="2" borderId="4" xfId="1" applyNumberFormat="1" applyFont="1" applyFill="1" applyBorder="1" applyAlignment="1">
      <alignment vertical="center"/>
    </xf>
    <xf numFmtId="0" fontId="31" fillId="2" borderId="1" xfId="1" applyFont="1" applyFill="1" applyBorder="1" applyAlignment="1">
      <alignment vertical="center"/>
    </xf>
    <xf numFmtId="0" fontId="31" fillId="2" borderId="11" xfId="1" applyFont="1" applyFill="1" applyBorder="1" applyAlignment="1">
      <alignment vertical="center"/>
    </xf>
    <xf numFmtId="3" fontId="31" fillId="2" borderId="11" xfId="1" applyNumberFormat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29" fillId="2" borderId="0" xfId="1" applyFont="1" applyFill="1" applyAlignment="1">
      <alignment vertical="center"/>
    </xf>
    <xf numFmtId="3" fontId="29" fillId="2" borderId="0" xfId="1" applyNumberFormat="1" applyFont="1" applyFill="1" applyAlignment="1">
      <alignment horizontal="center" vertical="center"/>
    </xf>
    <xf numFmtId="0" fontId="29" fillId="2" borderId="11" xfId="1" applyFont="1" applyFill="1" applyBorder="1" applyAlignment="1">
      <alignment vertical="center"/>
    </xf>
    <xf numFmtId="3" fontId="29" fillId="2" borderId="11" xfId="1" applyNumberFormat="1" applyFont="1" applyFill="1" applyBorder="1" applyAlignment="1">
      <alignment horizontal="center" vertical="center"/>
    </xf>
    <xf numFmtId="0" fontId="31" fillId="2" borderId="1" xfId="1" applyFont="1" applyFill="1" applyBorder="1" applyAlignment="1">
      <alignment horizontal="left" vertical="center"/>
    </xf>
    <xf numFmtId="0" fontId="29" fillId="2" borderId="0" xfId="1" applyFont="1" applyFill="1" applyAlignment="1">
      <alignment horizontal="left" vertical="center"/>
    </xf>
    <xf numFmtId="0" fontId="29" fillId="2" borderId="0" xfId="1" applyFont="1" applyFill="1" applyBorder="1" applyAlignment="1">
      <alignment vertical="center"/>
    </xf>
    <xf numFmtId="3" fontId="29" fillId="2" borderId="0" xfId="1" applyNumberFormat="1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0" fontId="34" fillId="2" borderId="5" xfId="1" applyFont="1" applyFill="1" applyBorder="1" applyAlignment="1">
      <alignment vertical="center"/>
    </xf>
    <xf numFmtId="3" fontId="34" fillId="2" borderId="1" xfId="1" applyNumberFormat="1" applyFont="1" applyFill="1" applyBorder="1" applyAlignment="1">
      <alignment vertical="center"/>
    </xf>
    <xf numFmtId="0" fontId="12" fillId="3" borderId="0" xfId="1" applyFont="1" applyFill="1" applyBorder="1" applyAlignment="1">
      <alignment horizontal="center"/>
    </xf>
    <xf numFmtId="0" fontId="12" fillId="3" borderId="19" xfId="1" applyFont="1" applyFill="1" applyBorder="1"/>
    <xf numFmtId="0" fontId="12" fillId="3" borderId="43" xfId="1" applyFont="1" applyFill="1" applyBorder="1" applyAlignment="1">
      <alignment horizontal="center"/>
    </xf>
    <xf numFmtId="0" fontId="12" fillId="3" borderId="44" xfId="1" applyFont="1" applyFill="1" applyBorder="1" applyAlignment="1">
      <alignment horizontal="center"/>
    </xf>
    <xf numFmtId="3" fontId="12" fillId="3" borderId="14" xfId="1" applyNumberFormat="1" applyFont="1" applyFill="1" applyBorder="1" applyAlignment="1">
      <alignment horizontal="center"/>
    </xf>
    <xf numFmtId="3" fontId="12" fillId="3" borderId="20" xfId="1" applyNumberFormat="1" applyFont="1" applyFill="1" applyBorder="1" applyAlignment="1">
      <alignment horizontal="center"/>
    </xf>
    <xf numFmtId="3" fontId="11" fillId="3" borderId="20" xfId="1" applyNumberFormat="1" applyFont="1" applyFill="1" applyBorder="1" applyAlignment="1">
      <alignment horizontal="center"/>
    </xf>
    <xf numFmtId="0" fontId="11" fillId="3" borderId="20" xfId="1" applyFont="1" applyFill="1" applyBorder="1" applyAlignment="1">
      <alignment horizontal="center"/>
    </xf>
    <xf numFmtId="3" fontId="11" fillId="3" borderId="0" xfId="1" applyNumberFormat="1" applyFont="1" applyFill="1" applyAlignment="1">
      <alignment horizontal="center"/>
    </xf>
    <xf numFmtId="3" fontId="12" fillId="3" borderId="11" xfId="1" applyNumberFormat="1" applyFont="1" applyFill="1" applyBorder="1" applyAlignment="1">
      <alignment horizontal="center"/>
    </xf>
    <xf numFmtId="3" fontId="12" fillId="3" borderId="12" xfId="1" applyNumberFormat="1" applyFont="1" applyFill="1" applyBorder="1" applyAlignment="1">
      <alignment horizontal="center"/>
    </xf>
    <xf numFmtId="0" fontId="12" fillId="3" borderId="21" xfId="1" applyFont="1" applyFill="1" applyBorder="1"/>
    <xf numFmtId="3" fontId="12" fillId="3" borderId="45" xfId="1" applyNumberFormat="1" applyFont="1" applyFill="1" applyBorder="1" applyAlignment="1">
      <alignment horizontal="center"/>
    </xf>
    <xf numFmtId="3" fontId="12" fillId="3" borderId="23" xfId="1" applyNumberFormat="1" applyFont="1" applyFill="1" applyBorder="1" applyAlignment="1">
      <alignment horizontal="center"/>
    </xf>
    <xf numFmtId="0" fontId="11" fillId="3" borderId="4" xfId="1" applyFont="1" applyFill="1" applyBorder="1" applyAlignment="1">
      <alignment horizontal="center"/>
    </xf>
    <xf numFmtId="3" fontId="12" fillId="3" borderId="8" xfId="1" applyNumberFormat="1" applyFont="1" applyFill="1" applyBorder="1" applyAlignment="1">
      <alignment horizontal="center"/>
    </xf>
    <xf numFmtId="3" fontId="12" fillId="3" borderId="9" xfId="1" applyNumberFormat="1" applyFont="1" applyFill="1" applyBorder="1" applyAlignment="1">
      <alignment horizontal="center"/>
    </xf>
    <xf numFmtId="0" fontId="12" fillId="3" borderId="2" xfId="1" applyFont="1" applyFill="1" applyBorder="1"/>
    <xf numFmtId="3" fontId="12" fillId="3" borderId="0" xfId="1" applyNumberFormat="1" applyFont="1" applyFill="1" applyBorder="1" applyAlignment="1">
      <alignment horizontal="center"/>
    </xf>
    <xf numFmtId="3" fontId="12" fillId="3" borderId="4" xfId="1" applyNumberFormat="1" applyFont="1" applyFill="1" applyBorder="1" applyAlignment="1">
      <alignment horizontal="center"/>
    </xf>
    <xf numFmtId="10" fontId="26" fillId="3" borderId="0" xfId="69" applyNumberFormat="1" applyFont="1" applyFill="1" applyBorder="1" applyAlignment="1">
      <alignment horizontal="center"/>
    </xf>
    <xf numFmtId="10" fontId="26" fillId="3" borderId="1" xfId="69" applyNumberFormat="1" applyFont="1" applyFill="1" applyBorder="1" applyAlignment="1">
      <alignment horizontal="center"/>
    </xf>
    <xf numFmtId="10" fontId="26" fillId="3" borderId="5" xfId="69" applyNumberFormat="1" applyFont="1" applyFill="1" applyBorder="1" applyAlignment="1">
      <alignment horizontal="center"/>
    </xf>
    <xf numFmtId="0" fontId="12" fillId="3" borderId="11" xfId="1" applyFont="1" applyFill="1" applyBorder="1" applyAlignment="1">
      <alignment horizontal="center"/>
    </xf>
    <xf numFmtId="1" fontId="12" fillId="3" borderId="11" xfId="2" applyNumberFormat="1" applyFont="1" applyFill="1" applyBorder="1" applyAlignment="1" applyProtection="1">
      <alignment horizontal="center"/>
    </xf>
    <xf numFmtId="0" fontId="12" fillId="3" borderId="12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left"/>
    </xf>
    <xf numFmtId="10" fontId="11" fillId="3" borderId="9" xfId="69" applyNumberFormat="1" applyFont="1" applyFill="1" applyBorder="1" applyAlignment="1">
      <alignment horizontal="center"/>
    </xf>
    <xf numFmtId="2" fontId="11" fillId="3" borderId="9" xfId="1" applyNumberFormat="1" applyFont="1" applyFill="1" applyBorder="1" applyAlignment="1">
      <alignment horizontal="center"/>
    </xf>
    <xf numFmtId="3" fontId="12" fillId="3" borderId="0" xfId="2" applyNumberFormat="1" applyFont="1" applyFill="1" applyBorder="1" applyAlignment="1" applyProtection="1">
      <alignment horizontal="center"/>
    </xf>
    <xf numFmtId="1" fontId="12" fillId="3" borderId="11" xfId="1" applyNumberFormat="1" applyFont="1" applyFill="1" applyBorder="1" applyAlignment="1">
      <alignment horizontal="center"/>
    </xf>
    <xf numFmtId="1" fontId="12" fillId="3" borderId="12" xfId="1" applyNumberFormat="1" applyFont="1" applyFill="1" applyBorder="1" applyAlignment="1">
      <alignment horizontal="center"/>
    </xf>
    <xf numFmtId="0" fontId="21" fillId="2" borderId="1" xfId="7" applyFont="1" applyFill="1" applyBorder="1" applyAlignment="1" applyProtection="1"/>
    <xf numFmtId="0" fontId="7" fillId="2" borderId="1" xfId="7" applyFont="1" applyFill="1" applyBorder="1" applyAlignment="1" applyProtection="1">
      <alignment horizontal="center"/>
    </xf>
    <xf numFmtId="0" fontId="7" fillId="2" borderId="1" xfId="7" applyFont="1" applyFill="1" applyBorder="1" applyAlignment="1">
      <alignment horizontal="center"/>
    </xf>
    <xf numFmtId="0" fontId="7" fillId="2" borderId="0" xfId="7" applyFont="1" applyFill="1" applyAlignment="1" applyProtection="1"/>
    <xf numFmtId="3" fontId="7" fillId="2" borderId="0" xfId="7" applyNumberFormat="1" applyFont="1" applyFill="1" applyAlignment="1" applyProtection="1">
      <alignment horizontal="center"/>
    </xf>
    <xf numFmtId="0" fontId="7" fillId="2" borderId="1" xfId="7" applyFont="1" applyFill="1" applyBorder="1" applyAlignment="1" applyProtection="1"/>
    <xf numFmtId="3" fontId="7" fillId="2" borderId="1" xfId="7" applyNumberFormat="1" applyFont="1" applyFill="1" applyBorder="1" applyAlignment="1" applyProtection="1">
      <alignment horizontal="center"/>
    </xf>
    <xf numFmtId="0" fontId="21" fillId="2" borderId="11" xfId="7" applyFont="1" applyFill="1" applyBorder="1" applyAlignment="1" applyProtection="1"/>
    <xf numFmtId="3" fontId="21" fillId="2" borderId="11" xfId="7" applyNumberFormat="1" applyFont="1" applyFill="1" applyBorder="1" applyAlignment="1" applyProtection="1">
      <alignment horizontal="center"/>
    </xf>
    <xf numFmtId="0" fontId="7" fillId="2" borderId="0" xfId="7" applyFont="1" applyFill="1" applyAlignment="1" applyProtection="1">
      <alignment horizontal="center"/>
    </xf>
    <xf numFmtId="3" fontId="21" fillId="2" borderId="1" xfId="7" applyNumberFormat="1" applyFont="1" applyFill="1" applyBorder="1" applyAlignment="1" applyProtection="1">
      <alignment horizontal="center"/>
    </xf>
    <xf numFmtId="0" fontId="7" fillId="2" borderId="0" xfId="7" applyFont="1" applyFill="1" applyAlignment="1">
      <alignment horizontal="center"/>
    </xf>
    <xf numFmtId="0" fontId="7" fillId="2" borderId="8" xfId="7" applyFont="1" applyFill="1" applyBorder="1" applyAlignment="1" applyProtection="1"/>
    <xf numFmtId="0" fontId="7" fillId="2" borderId="0" xfId="7" quotePrefix="1" applyFont="1" applyFill="1" applyAlignment="1" applyProtection="1"/>
    <xf numFmtId="0" fontId="7" fillId="2" borderId="0" xfId="7" applyFont="1" applyFill="1" applyBorder="1" applyAlignment="1" applyProtection="1"/>
    <xf numFmtId="3" fontId="7" fillId="2" borderId="0" xfId="7" applyNumberFormat="1" applyFont="1" applyFill="1" applyBorder="1" applyAlignment="1">
      <alignment horizontal="center"/>
    </xf>
    <xf numFmtId="3" fontId="7" fillId="2" borderId="0" xfId="7" applyNumberFormat="1" applyFont="1" applyFill="1" applyBorder="1" applyAlignment="1" applyProtection="1">
      <alignment horizontal="center"/>
    </xf>
    <xf numFmtId="0" fontId="21" fillId="2" borderId="1" xfId="7" applyFont="1" applyFill="1" applyBorder="1" applyAlignment="1" applyProtection="1">
      <alignment horizontal="center"/>
    </xf>
    <xf numFmtId="3" fontId="7" fillId="2" borderId="0" xfId="7" applyNumberFormat="1" applyFont="1" applyFill="1"/>
    <xf numFmtId="0" fontId="7" fillId="2" borderId="0" xfId="7" applyFont="1" applyFill="1" applyBorder="1"/>
    <xf numFmtId="3" fontId="7" fillId="2" borderId="0" xfId="7" applyNumberFormat="1" applyFont="1" applyFill="1" applyBorder="1"/>
    <xf numFmtId="3" fontId="7" fillId="2" borderId="1" xfId="7" applyNumberFormat="1" applyFont="1" applyFill="1" applyBorder="1"/>
    <xf numFmtId="3" fontId="11" fillId="2" borderId="0" xfId="7" applyNumberFormat="1" applyFont="1" applyFill="1"/>
    <xf numFmtId="171" fontId="11" fillId="2" borderId="0" xfId="7" applyNumberFormat="1" applyFont="1" applyFill="1"/>
    <xf numFmtId="167" fontId="7" fillId="2" borderId="1" xfId="8" applyNumberFormat="1" applyFont="1" applyFill="1" applyBorder="1"/>
    <xf numFmtId="167" fontId="21" fillId="2" borderId="0" xfId="8" applyNumberFormat="1" applyFont="1" applyFill="1"/>
    <xf numFmtId="167" fontId="26" fillId="2" borderId="0" xfId="7" applyNumberFormat="1" applyFont="1" applyFill="1"/>
    <xf numFmtId="167" fontId="11" fillId="2" borderId="0" xfId="7" applyNumberFormat="1" applyFont="1" applyFill="1"/>
    <xf numFmtId="0" fontId="11" fillId="2" borderId="0" xfId="7" applyFont="1" applyFill="1" applyAlignment="1">
      <alignment horizontal="right"/>
    </xf>
    <xf numFmtId="0" fontId="12" fillId="2" borderId="0" xfId="7" applyFont="1" applyFill="1"/>
    <xf numFmtId="171" fontId="12" fillId="2" borderId="0" xfId="7" applyNumberFormat="1" applyFont="1" applyFill="1"/>
    <xf numFmtId="0" fontId="11" fillId="2" borderId="16" xfId="1" applyFont="1" applyFill="1" applyBorder="1"/>
    <xf numFmtId="0" fontId="11" fillId="2" borderId="17" xfId="1" applyFont="1" applyFill="1" applyBorder="1"/>
    <xf numFmtId="0" fontId="12" fillId="2" borderId="27" xfId="1" applyFont="1" applyFill="1" applyBorder="1"/>
    <xf numFmtId="0" fontId="11" fillId="2" borderId="28" xfId="1" applyFont="1" applyFill="1" applyBorder="1"/>
    <xf numFmtId="0" fontId="12" fillId="2" borderId="27" xfId="1" applyFont="1" applyFill="1" applyBorder="1" applyAlignment="1">
      <alignment horizontal="center"/>
    </xf>
    <xf numFmtId="0" fontId="12" fillId="2" borderId="29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2" fillId="2" borderId="31" xfId="1" applyFont="1" applyFill="1" applyBorder="1" applyAlignment="1">
      <alignment horizontal="center"/>
    </xf>
    <xf numFmtId="0" fontId="11" fillId="2" borderId="19" xfId="1" applyFont="1" applyFill="1" applyBorder="1"/>
    <xf numFmtId="167" fontId="11" fillId="2" borderId="32" xfId="1" applyNumberFormat="1" applyFont="1" applyFill="1" applyBorder="1"/>
    <xf numFmtId="167" fontId="11" fillId="2" borderId="33" xfId="1" applyNumberFormat="1" applyFont="1" applyFill="1" applyBorder="1"/>
    <xf numFmtId="167" fontId="11" fillId="2" borderId="3" xfId="1" applyNumberFormat="1" applyFont="1" applyFill="1" applyBorder="1"/>
    <xf numFmtId="167" fontId="11" fillId="2" borderId="3" xfId="1" applyNumberFormat="1" applyFont="1" applyFill="1" applyBorder="1" applyProtection="1">
      <protection locked="0"/>
    </xf>
    <xf numFmtId="167" fontId="11" fillId="2" borderId="34" xfId="1" applyNumberFormat="1" applyFont="1" applyFill="1" applyBorder="1" applyProtection="1">
      <protection locked="0"/>
    </xf>
    <xf numFmtId="167" fontId="11" fillId="2" borderId="35" xfId="1" applyNumberFormat="1" applyFont="1" applyFill="1" applyBorder="1"/>
    <xf numFmtId="167" fontId="11" fillId="2" borderId="35" xfId="1" applyNumberFormat="1" applyFont="1" applyFill="1" applyBorder="1" applyProtection="1">
      <protection locked="0"/>
    </xf>
    <xf numFmtId="0" fontId="11" fillId="2" borderId="36" xfId="1" applyFont="1" applyFill="1" applyBorder="1"/>
    <xf numFmtId="0" fontId="11" fillId="2" borderId="11" xfId="1" applyFont="1" applyFill="1" applyBorder="1"/>
    <xf numFmtId="167" fontId="11" fillId="2" borderId="37" xfId="1" applyNumberFormat="1" applyFont="1" applyFill="1" applyBorder="1"/>
    <xf numFmtId="167" fontId="11" fillId="2" borderId="38" xfId="1" applyNumberFormat="1" applyFont="1" applyFill="1" applyBorder="1"/>
    <xf numFmtId="167" fontId="11" fillId="2" borderId="10" xfId="1" applyNumberFormat="1" applyFont="1" applyFill="1" applyBorder="1" applyProtection="1">
      <protection locked="0"/>
    </xf>
    <xf numFmtId="167" fontId="11" fillId="2" borderId="37" xfId="1" applyNumberFormat="1" applyFont="1" applyFill="1" applyBorder="1" applyProtection="1">
      <protection locked="0"/>
    </xf>
    <xf numFmtId="167" fontId="11" fillId="2" borderId="38" xfId="1" applyNumberFormat="1" applyFont="1" applyFill="1" applyBorder="1" applyProtection="1">
      <protection locked="0"/>
    </xf>
    <xf numFmtId="167" fontId="11" fillId="2" borderId="11" xfId="1" applyNumberFormat="1" applyFont="1" applyFill="1" applyBorder="1" applyProtection="1">
      <protection locked="0"/>
    </xf>
    <xf numFmtId="0" fontId="11" fillId="2" borderId="36" xfId="1" applyFont="1" applyFill="1" applyBorder="1" applyAlignment="1"/>
    <xf numFmtId="0" fontId="11" fillId="2" borderId="46" xfId="1" applyFont="1" applyFill="1" applyBorder="1" applyAlignment="1"/>
    <xf numFmtId="0" fontId="11" fillId="2" borderId="10" xfId="1" applyFont="1" applyFill="1" applyBorder="1"/>
    <xf numFmtId="167" fontId="11" fillId="2" borderId="36" xfId="1" applyNumberFormat="1" applyFont="1" applyFill="1" applyBorder="1"/>
    <xf numFmtId="167" fontId="11" fillId="2" borderId="10" xfId="1" applyNumberFormat="1" applyFont="1" applyFill="1" applyBorder="1"/>
    <xf numFmtId="167" fontId="11" fillId="2" borderId="39" xfId="1" applyNumberFormat="1" applyFont="1" applyFill="1" applyBorder="1" applyProtection="1">
      <protection locked="0"/>
    </xf>
    <xf numFmtId="167" fontId="11" fillId="2" borderId="41" xfId="1" applyNumberFormat="1" applyFont="1" applyFill="1" applyBorder="1" applyProtection="1">
      <protection locked="0"/>
    </xf>
    <xf numFmtId="167" fontId="11" fillId="2" borderId="31" xfId="1" applyNumberFormat="1" applyFont="1" applyFill="1" applyBorder="1"/>
    <xf numFmtId="167" fontId="11" fillId="2" borderId="30" xfId="1" applyNumberFormat="1" applyFont="1" applyFill="1" applyBorder="1"/>
    <xf numFmtId="167" fontId="11" fillId="2" borderId="9" xfId="1" applyNumberFormat="1" applyFont="1" applyFill="1" applyBorder="1" applyProtection="1">
      <protection locked="0"/>
    </xf>
    <xf numFmtId="167" fontId="11" fillId="2" borderId="7" xfId="1" applyNumberFormat="1" applyFont="1" applyFill="1" applyBorder="1" applyProtection="1">
      <protection locked="0"/>
    </xf>
    <xf numFmtId="0" fontId="11" fillId="2" borderId="25" xfId="1" applyFont="1" applyFill="1" applyBorder="1"/>
    <xf numFmtId="167" fontId="11" fillId="2" borderId="24" xfId="1" applyNumberFormat="1" applyFont="1" applyFill="1" applyBorder="1"/>
    <xf numFmtId="0" fontId="11" fillId="2" borderId="36" xfId="1" applyFont="1" applyFill="1" applyBorder="1" applyProtection="1">
      <protection locked="0"/>
    </xf>
    <xf numFmtId="0" fontId="11" fillId="2" borderId="0" xfId="1" applyFont="1" applyFill="1" applyProtection="1">
      <protection locked="0"/>
    </xf>
    <xf numFmtId="167" fontId="11" fillId="2" borderId="48" xfId="1" applyNumberFormat="1" applyFont="1" applyFill="1" applyBorder="1" applyProtection="1">
      <protection locked="0"/>
    </xf>
    <xf numFmtId="0" fontId="11" fillId="2" borderId="21" xfId="1" applyFont="1" applyFill="1" applyBorder="1" applyProtection="1">
      <protection locked="0"/>
    </xf>
    <xf numFmtId="0" fontId="11" fillId="2" borderId="28" xfId="1" applyFont="1" applyFill="1" applyBorder="1" applyProtection="1">
      <protection locked="0"/>
    </xf>
    <xf numFmtId="167" fontId="11" fillId="2" borderId="31" xfId="1" applyNumberFormat="1" applyFont="1" applyFill="1" applyBorder="1" applyProtection="1">
      <protection locked="0"/>
    </xf>
    <xf numFmtId="167" fontId="11" fillId="2" borderId="30" xfId="1" applyNumberFormat="1" applyFont="1" applyFill="1" applyBorder="1" applyProtection="1">
      <protection locked="0"/>
    </xf>
    <xf numFmtId="167" fontId="11" fillId="2" borderId="29" xfId="1" applyNumberFormat="1" applyFont="1" applyFill="1" applyBorder="1" applyProtection="1">
      <protection locked="0"/>
    </xf>
    <xf numFmtId="167" fontId="11" fillId="2" borderId="49" xfId="1" applyNumberFormat="1" applyFont="1" applyFill="1" applyBorder="1"/>
    <xf numFmtId="167" fontId="11" fillId="2" borderId="50" xfId="1" applyNumberFormat="1" applyFont="1" applyFill="1" applyBorder="1" applyProtection="1">
      <protection locked="0"/>
    </xf>
    <xf numFmtId="0" fontId="11" fillId="2" borderId="0" xfId="0" applyFont="1" applyFill="1" applyBorder="1" applyAlignment="1">
      <alignment vertical="center"/>
    </xf>
    <xf numFmtId="167" fontId="11" fillId="2" borderId="39" xfId="1" applyNumberFormat="1" applyFont="1" applyFill="1" applyBorder="1"/>
    <xf numFmtId="0" fontId="11" fillId="2" borderId="40" xfId="1" applyFont="1" applyFill="1" applyBorder="1"/>
    <xf numFmtId="167" fontId="11" fillId="2" borderId="36" xfId="1" applyNumberFormat="1" applyFont="1" applyFill="1" applyBorder="1" applyProtection="1">
      <protection locked="0"/>
    </xf>
    <xf numFmtId="0" fontId="11" fillId="2" borderId="21" xfId="1" applyFont="1" applyFill="1" applyBorder="1"/>
    <xf numFmtId="0" fontId="11" fillId="2" borderId="22" xfId="1" applyFont="1" applyFill="1" applyBorder="1"/>
    <xf numFmtId="167" fontId="11" fillId="2" borderId="41" xfId="1" applyNumberFormat="1" applyFont="1" applyFill="1" applyBorder="1"/>
    <xf numFmtId="10" fontId="11" fillId="3" borderId="6" xfId="69" applyNumberFormat="1" applyFont="1" applyFill="1" applyBorder="1" applyAlignment="1">
      <alignment horizontal="center"/>
    </xf>
    <xf numFmtId="2" fontId="11" fillId="3" borderId="6" xfId="1" applyNumberFormat="1" applyFont="1" applyFill="1" applyBorder="1" applyAlignment="1">
      <alignment horizontal="center"/>
    </xf>
    <xf numFmtId="10" fontId="11" fillId="3" borderId="6" xfId="1" applyNumberFormat="1" applyFont="1" applyFill="1" applyBorder="1" applyAlignment="1">
      <alignment horizontal="center"/>
    </xf>
    <xf numFmtId="10" fontId="11" fillId="3" borderId="6" xfId="69" applyNumberFormat="1" applyFont="1" applyFill="1" applyBorder="1"/>
    <xf numFmtId="9" fontId="11" fillId="3" borderId="6" xfId="69" applyNumberFormat="1" applyFont="1" applyFill="1" applyBorder="1" applyAlignment="1">
      <alignment horizontal="center"/>
    </xf>
    <xf numFmtId="9" fontId="11" fillId="3" borderId="6" xfId="69" applyFont="1" applyFill="1" applyBorder="1" applyAlignment="1">
      <alignment horizontal="center"/>
    </xf>
    <xf numFmtId="0" fontId="11" fillId="3" borderId="6" xfId="1" applyFont="1" applyFill="1" applyBorder="1" applyAlignment="1">
      <alignment horizontal="center"/>
    </xf>
    <xf numFmtId="9" fontId="11" fillId="3" borderId="6" xfId="1" applyNumberFormat="1" applyFont="1" applyFill="1" applyBorder="1" applyAlignment="1">
      <alignment horizontal="center"/>
    </xf>
    <xf numFmtId="169" fontId="26" fillId="3" borderId="6" xfId="1" applyNumberFormat="1" applyFont="1" applyFill="1" applyBorder="1" applyAlignment="1">
      <alignment horizontal="center"/>
    </xf>
    <xf numFmtId="10" fontId="26" fillId="3" borderId="6" xfId="1" applyNumberFormat="1" applyFont="1" applyFill="1" applyBorder="1" applyAlignment="1">
      <alignment horizontal="center"/>
    </xf>
    <xf numFmtId="10" fontId="7" fillId="2" borderId="6" xfId="7" applyNumberFormat="1" applyFont="1" applyFill="1" applyBorder="1" applyAlignment="1" applyProtection="1">
      <alignment horizontal="center"/>
    </xf>
    <xf numFmtId="2" fontId="7" fillId="2" borderId="6" xfId="7" applyNumberFormat="1" applyFont="1" applyFill="1" applyBorder="1" applyAlignment="1">
      <alignment horizontal="center"/>
    </xf>
    <xf numFmtId="10" fontId="7" fillId="2" borderId="6" xfId="303" applyNumberFormat="1" applyFont="1" applyFill="1" applyBorder="1" applyAlignment="1">
      <alignment horizontal="center"/>
    </xf>
    <xf numFmtId="168" fontId="7" fillId="2" borderId="6" xfId="7" applyNumberFormat="1" applyFont="1" applyFill="1" applyBorder="1" applyAlignment="1">
      <alignment horizontal="center"/>
    </xf>
    <xf numFmtId="0" fontId="48" fillId="2" borderId="0" xfId="2" applyFont="1" applyFill="1" applyBorder="1" applyAlignment="1" applyProtection="1">
      <alignment horizontal="center"/>
    </xf>
    <xf numFmtId="0" fontId="49" fillId="2" borderId="0" xfId="0" applyFont="1" applyFill="1" applyBorder="1" applyAlignment="1">
      <alignment horizontal="left"/>
    </xf>
    <xf numFmtId="0" fontId="48" fillId="2" borderId="0" xfId="0" applyFont="1" applyFill="1" applyBorder="1" applyAlignment="1">
      <alignment horizontal="center"/>
    </xf>
    <xf numFmtId="0" fontId="48" fillId="0" borderId="0" xfId="2" applyFont="1" applyFill="1" applyBorder="1" applyAlignment="1" applyProtection="1">
      <alignment horizontal="center"/>
    </xf>
    <xf numFmtId="0" fontId="48" fillId="2" borderId="0" xfId="2" quotePrefix="1" applyFont="1" applyFill="1" applyBorder="1" applyAlignment="1" applyProtection="1">
      <alignment horizontal="center"/>
    </xf>
    <xf numFmtId="0" fontId="50" fillId="2" borderId="0" xfId="0" applyFont="1" applyFill="1" applyBorder="1" applyAlignment="1">
      <alignment horizontal="left"/>
    </xf>
    <xf numFmtId="0" fontId="47" fillId="2" borderId="0" xfId="0" applyFont="1" applyFill="1" applyBorder="1" applyAlignment="1">
      <alignment horizontal="center"/>
    </xf>
    <xf numFmtId="3" fontId="11" fillId="2" borderId="13" xfId="1" applyNumberFormat="1" applyFont="1" applyFill="1" applyBorder="1"/>
    <xf numFmtId="3" fontId="11" fillId="2" borderId="13" xfId="1" applyNumberFormat="1" applyFont="1" applyFill="1" applyBorder="1" applyAlignment="1">
      <alignment horizontal="right"/>
    </xf>
    <xf numFmtId="3" fontId="11" fillId="2" borderId="10" xfId="1" applyNumberFormat="1" applyFont="1" applyFill="1" applyBorder="1"/>
    <xf numFmtId="3" fontId="11" fillId="2" borderId="11" xfId="1" applyNumberFormat="1" applyFont="1" applyFill="1" applyBorder="1"/>
    <xf numFmtId="3" fontId="11" fillId="2" borderId="12" xfId="1" applyNumberFormat="1" applyFont="1" applyFill="1" applyBorder="1"/>
    <xf numFmtId="3" fontId="12" fillId="3" borderId="0" xfId="1" applyNumberFormat="1" applyFont="1" applyFill="1" applyAlignment="1">
      <alignment horizontal="left"/>
    </xf>
    <xf numFmtId="3" fontId="11" fillId="3" borderId="1" xfId="1" applyNumberFormat="1" applyFont="1" applyFill="1" applyBorder="1" applyAlignment="1">
      <alignment horizontal="center"/>
    </xf>
    <xf numFmtId="3" fontId="12" fillId="3" borderId="3" xfId="1" applyNumberFormat="1" applyFont="1" applyFill="1" applyBorder="1"/>
    <xf numFmtId="0" fontId="7" fillId="2" borderId="9" xfId="0" applyFont="1" applyFill="1" applyBorder="1"/>
    <xf numFmtId="0" fontId="22" fillId="4" borderId="2" xfId="374" applyNumberFormat="1" applyFont="1" applyFill="1" applyBorder="1"/>
    <xf numFmtId="2" fontId="22" fillId="4" borderId="0" xfId="0" applyNumberFormat="1" applyFont="1" applyFill="1" applyAlignment="1">
      <alignment horizontal="right"/>
    </xf>
    <xf numFmtId="3" fontId="7" fillId="2" borderId="0" xfId="0" applyNumberFormat="1" applyFont="1" applyFill="1"/>
    <xf numFmtId="3" fontId="11" fillId="2" borderId="0" xfId="0" applyNumberFormat="1" applyFont="1" applyFill="1"/>
    <xf numFmtId="1" fontId="11" fillId="3" borderId="0" xfId="1" applyNumberFormat="1" applyFont="1" applyFill="1" applyBorder="1"/>
    <xf numFmtId="167" fontId="7" fillId="2" borderId="0" xfId="1" applyNumberFormat="1" applyFont="1" applyFill="1"/>
    <xf numFmtId="3" fontId="21" fillId="2" borderId="2" xfId="7" applyNumberFormat="1" applyFont="1" applyFill="1" applyBorder="1" applyAlignment="1">
      <alignment horizontal="center"/>
    </xf>
    <xf numFmtId="3" fontId="11" fillId="3" borderId="13" xfId="1" applyNumberFormat="1" applyFont="1" applyFill="1" applyBorder="1"/>
    <xf numFmtId="172" fontId="34" fillId="2" borderId="9" xfId="374" applyNumberFormat="1" applyFont="1" applyFill="1" applyBorder="1" applyAlignment="1">
      <alignment vertical="center"/>
    </xf>
    <xf numFmtId="172" fontId="34" fillId="2" borderId="4" xfId="374" applyNumberFormat="1" applyFont="1" applyFill="1" applyBorder="1" applyAlignment="1">
      <alignment vertical="center"/>
    </xf>
    <xf numFmtId="172" fontId="15" fillId="2" borderId="0" xfId="374" applyNumberFormat="1" applyFont="1" applyFill="1" applyAlignment="1">
      <alignment horizontal="left"/>
    </xf>
    <xf numFmtId="3" fontId="34" fillId="2" borderId="0" xfId="0" applyNumberFormat="1" applyFont="1" applyFill="1" applyAlignment="1">
      <alignment horizontal="center" vertical="center"/>
    </xf>
    <xf numFmtId="172" fontId="52" fillId="2" borderId="0" xfId="374" applyNumberFormat="1" applyFont="1" applyFill="1" applyAlignment="1">
      <alignment vertical="center"/>
    </xf>
    <xf numFmtId="3" fontId="7" fillId="2" borderId="0" xfId="0" applyNumberFormat="1" applyFont="1" applyFill="1" applyAlignment="1">
      <alignment vertical="center"/>
    </xf>
    <xf numFmtId="167" fontId="11" fillId="9" borderId="37" xfId="1" applyNumberFormat="1" applyFont="1" applyFill="1" applyBorder="1"/>
    <xf numFmtId="167" fontId="11" fillId="9" borderId="38" xfId="1" applyNumberFormat="1" applyFont="1" applyFill="1" applyBorder="1"/>
    <xf numFmtId="167" fontId="11" fillId="9" borderId="11" xfId="1" applyNumberFormat="1" applyFont="1" applyFill="1" applyBorder="1" applyProtection="1">
      <protection locked="0"/>
    </xf>
    <xf numFmtId="167" fontId="11" fillId="9" borderId="10" xfId="1" applyNumberFormat="1" applyFont="1" applyFill="1" applyBorder="1" applyProtection="1">
      <protection locked="0"/>
    </xf>
    <xf numFmtId="167" fontId="11" fillId="9" borderId="34" xfId="1" applyNumberFormat="1" applyFont="1" applyFill="1" applyBorder="1" applyProtection="1">
      <protection locked="0"/>
    </xf>
    <xf numFmtId="167" fontId="11" fillId="9" borderId="35" xfId="1" applyNumberFormat="1" applyFont="1" applyFill="1" applyBorder="1"/>
    <xf numFmtId="167" fontId="11" fillId="9" borderId="37" xfId="1" applyNumberFormat="1" applyFont="1" applyFill="1" applyBorder="1" applyProtection="1">
      <protection locked="0"/>
    </xf>
    <xf numFmtId="167" fontId="11" fillId="9" borderId="38" xfId="1" applyNumberFormat="1" applyFont="1" applyFill="1" applyBorder="1" applyProtection="1">
      <protection locked="0"/>
    </xf>
    <xf numFmtId="167" fontId="11" fillId="9" borderId="36" xfId="1" applyNumberFormat="1" applyFont="1" applyFill="1" applyBorder="1"/>
    <xf numFmtId="167" fontId="11" fillId="9" borderId="10" xfId="1" applyNumberFormat="1" applyFont="1" applyFill="1" applyBorder="1"/>
    <xf numFmtId="167" fontId="11" fillId="9" borderId="9" xfId="1" applyNumberFormat="1" applyFont="1" applyFill="1" applyBorder="1"/>
    <xf numFmtId="167" fontId="11" fillId="9" borderId="7" xfId="1" applyNumberFormat="1" applyFont="1" applyFill="1" applyBorder="1"/>
    <xf numFmtId="167" fontId="11" fillId="9" borderId="39" xfId="1" applyNumberFormat="1" applyFont="1" applyFill="1" applyBorder="1" applyProtection="1">
      <protection locked="0"/>
    </xf>
    <xf numFmtId="167" fontId="11" fillId="9" borderId="41" xfId="1" applyNumberFormat="1" applyFont="1" applyFill="1" applyBorder="1" applyProtection="1">
      <protection locked="0"/>
    </xf>
    <xf numFmtId="167" fontId="11" fillId="9" borderId="31" xfId="1" applyNumberFormat="1" applyFont="1" applyFill="1" applyBorder="1"/>
    <xf numFmtId="167" fontId="11" fillId="9" borderId="30" xfId="1" applyNumberFormat="1" applyFont="1" applyFill="1" applyBorder="1"/>
    <xf numFmtId="167" fontId="11" fillId="9" borderId="9" xfId="1" applyNumberFormat="1" applyFont="1" applyFill="1" applyBorder="1" applyProtection="1">
      <protection locked="0"/>
    </xf>
    <xf numFmtId="167" fontId="11" fillId="9" borderId="7" xfId="1" applyNumberFormat="1" applyFont="1" applyFill="1" applyBorder="1" applyProtection="1">
      <protection locked="0"/>
    </xf>
    <xf numFmtId="167" fontId="11" fillId="6" borderId="32" xfId="1" applyNumberFormat="1" applyFont="1" applyFill="1" applyBorder="1"/>
    <xf numFmtId="167" fontId="11" fillId="6" borderId="33" xfId="1" applyNumberFormat="1" applyFont="1" applyFill="1" applyBorder="1"/>
    <xf numFmtId="167" fontId="11" fillId="6" borderId="3" xfId="1" applyNumberFormat="1" applyFont="1" applyFill="1" applyBorder="1"/>
    <xf numFmtId="167" fontId="11" fillId="6" borderId="3" xfId="1" applyNumberFormat="1" applyFont="1" applyFill="1" applyBorder="1" applyProtection="1">
      <protection locked="0"/>
    </xf>
    <xf numFmtId="167" fontId="11" fillId="6" borderId="34" xfId="1" applyNumberFormat="1" applyFont="1" applyFill="1" applyBorder="1" applyProtection="1">
      <protection locked="0"/>
    </xf>
    <xf numFmtId="167" fontId="11" fillId="6" borderId="35" xfId="1" applyNumberFormat="1" applyFont="1" applyFill="1" applyBorder="1"/>
    <xf numFmtId="167" fontId="11" fillId="6" borderId="37" xfId="1" applyNumberFormat="1" applyFont="1" applyFill="1" applyBorder="1"/>
    <xf numFmtId="167" fontId="11" fillId="6" borderId="38" xfId="1" applyNumberFormat="1" applyFont="1" applyFill="1" applyBorder="1"/>
    <xf numFmtId="167" fontId="11" fillId="6" borderId="10" xfId="1" applyNumberFormat="1" applyFont="1" applyFill="1" applyBorder="1" applyProtection="1">
      <protection locked="0"/>
    </xf>
    <xf numFmtId="167" fontId="11" fillId="6" borderId="11" xfId="1" applyNumberFormat="1" applyFont="1" applyFill="1" applyBorder="1" applyProtection="1">
      <protection locked="0"/>
    </xf>
    <xf numFmtId="0" fontId="11" fillId="11" borderId="10" xfId="1" applyFont="1" applyFill="1" applyBorder="1"/>
    <xf numFmtId="167" fontId="11" fillId="11" borderId="37" xfId="1" applyNumberFormat="1" applyFont="1" applyFill="1" applyBorder="1"/>
    <xf numFmtId="167" fontId="11" fillId="11" borderId="38" xfId="1" applyNumberFormat="1" applyFont="1" applyFill="1" applyBorder="1"/>
    <xf numFmtId="167" fontId="11" fillId="11" borderId="11" xfId="1" applyNumberFormat="1" applyFont="1" applyFill="1" applyBorder="1" applyProtection="1">
      <protection locked="0"/>
    </xf>
    <xf numFmtId="167" fontId="11" fillId="11" borderId="10" xfId="1" applyNumberFormat="1" applyFont="1" applyFill="1" applyBorder="1" applyProtection="1">
      <protection locked="0"/>
    </xf>
    <xf numFmtId="167" fontId="11" fillId="11" borderId="34" xfId="1" applyNumberFormat="1" applyFont="1" applyFill="1" applyBorder="1" applyProtection="1">
      <protection locked="0"/>
    </xf>
    <xf numFmtId="167" fontId="11" fillId="11" borderId="35" xfId="1" applyNumberFormat="1" applyFont="1" applyFill="1" applyBorder="1"/>
    <xf numFmtId="167" fontId="11" fillId="11" borderId="37" xfId="1" applyNumberFormat="1" applyFont="1" applyFill="1" applyBorder="1" applyProtection="1">
      <protection locked="0"/>
    </xf>
    <xf numFmtId="167" fontId="11" fillId="11" borderId="38" xfId="1" applyNumberFormat="1" applyFont="1" applyFill="1" applyBorder="1" applyProtection="1">
      <protection locked="0"/>
    </xf>
    <xf numFmtId="0" fontId="11" fillId="11" borderId="36" xfId="1" applyFont="1" applyFill="1" applyBorder="1"/>
    <xf numFmtId="0" fontId="11" fillId="11" borderId="36" xfId="1" applyFont="1" applyFill="1" applyBorder="1" applyAlignment="1"/>
    <xf numFmtId="167" fontId="11" fillId="11" borderId="36" xfId="1" applyNumberFormat="1" applyFont="1" applyFill="1" applyBorder="1"/>
    <xf numFmtId="0" fontId="11" fillId="11" borderId="19" xfId="1" applyFont="1" applyFill="1" applyBorder="1"/>
    <xf numFmtId="167" fontId="11" fillId="11" borderId="10" xfId="1" applyNumberFormat="1" applyFont="1" applyFill="1" applyBorder="1"/>
    <xf numFmtId="167" fontId="11" fillId="11" borderId="9" xfId="1" applyNumberFormat="1" applyFont="1" applyFill="1" applyBorder="1"/>
    <xf numFmtId="167" fontId="11" fillId="11" borderId="7" xfId="1" applyNumberFormat="1" applyFont="1" applyFill="1" applyBorder="1"/>
    <xf numFmtId="167" fontId="11" fillId="11" borderId="39" xfId="1" applyNumberFormat="1" applyFont="1" applyFill="1" applyBorder="1" applyProtection="1">
      <protection locked="0"/>
    </xf>
    <xf numFmtId="167" fontId="11" fillId="11" borderId="41" xfId="1" applyNumberFormat="1" applyFont="1" applyFill="1" applyBorder="1" applyProtection="1">
      <protection locked="0"/>
    </xf>
    <xf numFmtId="167" fontId="11" fillId="11" borderId="39" xfId="1" applyNumberFormat="1" applyFont="1" applyFill="1" applyBorder="1"/>
    <xf numFmtId="167" fontId="11" fillId="11" borderId="41" xfId="1" applyNumberFormat="1" applyFont="1" applyFill="1" applyBorder="1"/>
    <xf numFmtId="167" fontId="11" fillId="11" borderId="7" xfId="1" applyNumberFormat="1" applyFont="1" applyFill="1" applyBorder="1" applyProtection="1">
      <protection locked="0"/>
    </xf>
    <xf numFmtId="0" fontId="11" fillId="11" borderId="16" xfId="1" applyFont="1" applyFill="1" applyBorder="1"/>
    <xf numFmtId="167" fontId="11" fillId="11" borderId="24" xfId="1" applyNumberFormat="1" applyFont="1" applyFill="1" applyBorder="1"/>
    <xf numFmtId="167" fontId="11" fillId="11" borderId="49" xfId="1" applyNumberFormat="1" applyFont="1" applyFill="1" applyBorder="1"/>
    <xf numFmtId="0" fontId="11" fillId="11" borderId="36" xfId="1" applyFont="1" applyFill="1" applyBorder="1" applyProtection="1">
      <protection locked="0"/>
    </xf>
    <xf numFmtId="167" fontId="11" fillId="11" borderId="48" xfId="1" applyNumberFormat="1" applyFont="1" applyFill="1" applyBorder="1" applyProtection="1">
      <protection locked="0"/>
    </xf>
    <xf numFmtId="0" fontId="11" fillId="11" borderId="21" xfId="1" applyFont="1" applyFill="1" applyBorder="1" applyProtection="1">
      <protection locked="0"/>
    </xf>
    <xf numFmtId="167" fontId="11" fillId="11" borderId="31" xfId="1" applyNumberFormat="1" applyFont="1" applyFill="1" applyBorder="1" applyProtection="1">
      <protection locked="0"/>
    </xf>
    <xf numFmtId="167" fontId="11" fillId="11" borderId="30" xfId="1" applyNumberFormat="1" applyFont="1" applyFill="1" applyBorder="1" applyProtection="1">
      <protection locked="0"/>
    </xf>
    <xf numFmtId="167" fontId="11" fillId="11" borderId="29" xfId="1" applyNumberFormat="1" applyFont="1" applyFill="1" applyBorder="1" applyProtection="1">
      <protection locked="0"/>
    </xf>
    <xf numFmtId="167" fontId="11" fillId="11" borderId="50" xfId="1" applyNumberFormat="1" applyFont="1" applyFill="1" applyBorder="1" applyProtection="1">
      <protection locked="0"/>
    </xf>
    <xf numFmtId="0" fontId="11" fillId="6" borderId="19" xfId="1" applyFont="1" applyFill="1" applyBorder="1"/>
    <xf numFmtId="0" fontId="11" fillId="6" borderId="36" xfId="1" applyFont="1" applyFill="1" applyBorder="1"/>
    <xf numFmtId="0" fontId="11" fillId="6" borderId="36" xfId="1" applyFont="1" applyFill="1" applyBorder="1" applyAlignment="1"/>
    <xf numFmtId="0" fontId="11" fillId="6" borderId="10" xfId="1" applyFont="1" applyFill="1" applyBorder="1"/>
    <xf numFmtId="10" fontId="7" fillId="2" borderId="0" xfId="7" applyNumberFormat="1" applyFont="1" applyFill="1"/>
    <xf numFmtId="9" fontId="7" fillId="2" borderId="0" xfId="7" applyNumberFormat="1" applyFont="1" applyFill="1"/>
    <xf numFmtId="9" fontId="11" fillId="2" borderId="0" xfId="69" applyNumberFormat="1" applyFont="1" applyFill="1"/>
    <xf numFmtId="8" fontId="7" fillId="2" borderId="0" xfId="7" applyNumberFormat="1" applyFont="1" applyFill="1"/>
    <xf numFmtId="2" fontId="7" fillId="2" borderId="0" xfId="7" applyNumberFormat="1" applyFont="1" applyFill="1"/>
    <xf numFmtId="3" fontId="11" fillId="2" borderId="0" xfId="7" applyNumberFormat="1" applyFont="1" applyFill="1" applyAlignment="1">
      <alignment horizontal="right"/>
    </xf>
    <xf numFmtId="43" fontId="21" fillId="2" borderId="0" xfId="374" applyFont="1" applyFill="1"/>
    <xf numFmtId="0" fontId="47" fillId="2" borderId="0" xfId="0" applyFont="1" applyFill="1" applyBorder="1" applyAlignment="1">
      <alignment horizontal="center"/>
    </xf>
    <xf numFmtId="0" fontId="12" fillId="8" borderId="0" xfId="1" applyFont="1" applyFill="1" applyAlignment="1">
      <alignment horizontal="center"/>
    </xf>
    <xf numFmtId="0" fontId="12" fillId="6" borderId="0" xfId="1" applyFont="1" applyFill="1" applyAlignment="1">
      <alignment horizontal="center"/>
    </xf>
    <xf numFmtId="0" fontId="12" fillId="9" borderId="0" xfId="1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left" vertical="center" wrapText="1"/>
    </xf>
    <xf numFmtId="0" fontId="21" fillId="2" borderId="22" xfId="1" applyFont="1" applyFill="1" applyBorder="1" applyAlignment="1">
      <alignment horizontal="center"/>
    </xf>
    <xf numFmtId="3" fontId="11" fillId="3" borderId="1" xfId="1" applyNumberFormat="1" applyFont="1" applyFill="1" applyBorder="1" applyAlignment="1">
      <alignment horizontal="center"/>
    </xf>
    <xf numFmtId="3" fontId="26" fillId="3" borderId="0" xfId="1" applyNumberFormat="1" applyFont="1" applyFill="1" applyBorder="1" applyAlignment="1">
      <alignment horizontal="center"/>
    </xf>
    <xf numFmtId="0" fontId="35" fillId="2" borderId="1" xfId="1" applyFont="1" applyFill="1" applyBorder="1" applyAlignment="1">
      <alignment horizontal="center" vertical="center"/>
    </xf>
    <xf numFmtId="0" fontId="12" fillId="3" borderId="24" xfId="1" applyFont="1" applyFill="1" applyBorder="1" applyAlignment="1">
      <alignment horizontal="left"/>
    </xf>
    <xf numFmtId="0" fontId="12" fillId="3" borderId="25" xfId="1" applyFont="1" applyFill="1" applyBorder="1" applyAlignment="1">
      <alignment horizontal="left"/>
    </xf>
    <xf numFmtId="0" fontId="12" fillId="3" borderId="26" xfId="1" applyFont="1" applyFill="1" applyBorder="1" applyAlignment="1">
      <alignment horizontal="left"/>
    </xf>
    <xf numFmtId="0" fontId="11" fillId="2" borderId="36" xfId="1" applyFont="1" applyFill="1" applyBorder="1"/>
    <xf numFmtId="0" fontId="11" fillId="2" borderId="11" xfId="1" applyFont="1" applyFill="1" applyBorder="1"/>
    <xf numFmtId="0" fontId="12" fillId="2" borderId="24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3" borderId="24" xfId="1" applyFont="1" applyFill="1" applyBorder="1" applyAlignment="1">
      <alignment horizontal="center"/>
    </xf>
    <xf numFmtId="0" fontId="12" fillId="3" borderId="26" xfId="1" applyFont="1" applyFill="1" applyBorder="1" applyAlignment="1">
      <alignment horizontal="center"/>
    </xf>
    <xf numFmtId="0" fontId="11" fillId="3" borderId="22" xfId="1" applyFont="1" applyFill="1" applyBorder="1"/>
  </cellXfs>
  <cellStyles count="375">
    <cellStyle name="1000-sep (2 dec) 2" xfId="3" xr:uid="{00000000-0005-0000-0000-000000000000}"/>
    <cellStyle name="1000-sep (2 dec) 2 2" xfId="160" xr:uid="{00000000-0005-0000-0000-000001000000}"/>
    <cellStyle name="1000-sep (2 dec) 3" xfId="8" xr:uid="{00000000-0005-0000-0000-000002000000}"/>
    <cellStyle name="1000-sep (2 dec) 4" xfId="366" xr:uid="{00000000-0005-0000-0000-000003000000}"/>
    <cellStyle name="1000-sep (2 dec) 5" xfId="367" xr:uid="{00000000-0005-0000-0000-000004000000}"/>
    <cellStyle name="Comma" xfId="374" builtinId="3"/>
    <cellStyle name="Comma 2" xfId="263" xr:uid="{00000000-0005-0000-0000-000005000000}"/>
    <cellStyle name="Excel Built-in Normal" xfId="165" xr:uid="{00000000-0005-0000-0000-000006000000}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63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Hyperlink" xfId="2" builtinId="8"/>
    <cellStyle name="Hyperlink 2" xfId="4" xr:uid="{00000000-0005-0000-0000-000064010000}"/>
    <cellStyle name="Hyperlink 2 2" xfId="5" xr:uid="{00000000-0005-0000-0000-000065010000}"/>
    <cellStyle name="Normal" xfId="0" builtinId="0"/>
    <cellStyle name="Normal 2" xfId="1" xr:uid="{00000000-0005-0000-0000-000067010000}"/>
    <cellStyle name="Normal 2 2" xfId="6" xr:uid="{00000000-0005-0000-0000-000068010000}"/>
    <cellStyle name="Normal 2 3" xfId="365" xr:uid="{00000000-0005-0000-0000-000069010000}"/>
    <cellStyle name="Normal 3" xfId="7" xr:uid="{00000000-0005-0000-0000-00006A010000}"/>
    <cellStyle name="Normal 3 2" xfId="335" xr:uid="{00000000-0005-0000-0000-00006B010000}"/>
    <cellStyle name="Normal 4" xfId="162" xr:uid="{00000000-0005-0000-0000-00006C010000}"/>
    <cellStyle name="Normal 5" xfId="161" xr:uid="{00000000-0005-0000-0000-00006D010000}"/>
    <cellStyle name="Per cent" xfId="69" builtinId="5"/>
    <cellStyle name="Percent 2" xfId="158" xr:uid="{00000000-0005-0000-0000-00006F010000}"/>
    <cellStyle name="Percent 3" xfId="159" xr:uid="{00000000-0005-0000-0000-000070010000}"/>
    <cellStyle name="Percent 4" xfId="303" xr:uid="{00000000-0005-0000-0000-000071010000}"/>
    <cellStyle name="Percent 5" xfId="364" xr:uid="{00000000-0005-0000-0000-000072010000}"/>
    <cellStyle name="Percent 6" xfId="368" xr:uid="{00000000-0005-0000-0000-000073010000}"/>
    <cellStyle name="Procent 2" xfId="369" xr:uid="{00000000-0005-0000-0000-000074010000}"/>
    <cellStyle name="Procent 2 2" xfId="370" xr:uid="{00000000-0005-0000-0000-000075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26</xdr:row>
      <xdr:rowOff>127000</xdr:rowOff>
    </xdr:from>
    <xdr:to>
      <xdr:col>6</xdr:col>
      <xdr:colOff>742156</xdr:colOff>
      <xdr:row>34</xdr:row>
      <xdr:rowOff>190500</xdr:rowOff>
    </xdr:to>
    <xdr:cxnSp macro="">
      <xdr:nvCxnSpPr>
        <xdr:cNvPr id="3" name="Lige forbindels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7214234" y="6192520"/>
          <a:ext cx="4607402" cy="1953260"/>
        </a:xfrm>
        <a:prstGeom prst="line">
          <a:avLst/>
        </a:prstGeom>
        <a:ln>
          <a:solidFill>
            <a:schemeClr val="tx1"/>
          </a:solidFill>
          <a:prstDash val="dash"/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22</xdr:row>
      <xdr:rowOff>206375</xdr:rowOff>
    </xdr:from>
    <xdr:to>
      <xdr:col>12</xdr:col>
      <xdr:colOff>428625</xdr:colOff>
      <xdr:row>35</xdr:row>
      <xdr:rowOff>196850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74F7EA-8436-9E4D-9383-53E241678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0" y="5445125"/>
          <a:ext cx="2667000" cy="308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zoomScale="80" zoomScaleNormal="80" workbookViewId="0">
      <selection activeCell="B17" sqref="B17"/>
    </sheetView>
  </sheetViews>
  <sheetFormatPr baseColWidth="10" defaultColWidth="14" defaultRowHeight="19" customHeight="1"/>
  <cols>
    <col min="1" max="16384" width="14" style="585"/>
  </cols>
  <sheetData>
    <row r="1" spans="1:2" ht="26">
      <c r="A1" s="584" t="s">
        <v>747</v>
      </c>
    </row>
    <row r="3" spans="1:2" ht="19" customHeight="1">
      <c r="A3" s="683" t="s">
        <v>159</v>
      </c>
      <c r="B3" s="683"/>
    </row>
    <row r="4" spans="1:2" ht="19" customHeight="1">
      <c r="A4" s="589"/>
      <c r="B4" s="589"/>
    </row>
    <row r="5" spans="1:2" ht="19" customHeight="1">
      <c r="A5" s="583" t="s">
        <v>129</v>
      </c>
      <c r="B5" s="583" t="s">
        <v>149</v>
      </c>
    </row>
    <row r="6" spans="1:2" ht="19" customHeight="1">
      <c r="A6" s="586" t="s">
        <v>130</v>
      </c>
      <c r="B6" s="583" t="s">
        <v>150</v>
      </c>
    </row>
    <row r="7" spans="1:2" ht="19" customHeight="1">
      <c r="A7" s="583" t="s">
        <v>131</v>
      </c>
      <c r="B7" s="583" t="s">
        <v>151</v>
      </c>
    </row>
    <row r="8" spans="1:2" ht="19" customHeight="1">
      <c r="A8" s="583" t="s">
        <v>132</v>
      </c>
      <c r="B8" s="583" t="s">
        <v>644</v>
      </c>
    </row>
    <row r="9" spans="1:2" ht="19" customHeight="1">
      <c r="A9" s="583" t="s">
        <v>133</v>
      </c>
      <c r="B9" s="583" t="s">
        <v>645</v>
      </c>
    </row>
    <row r="10" spans="1:2" ht="19" customHeight="1">
      <c r="A10" s="583" t="s">
        <v>134</v>
      </c>
      <c r="B10" s="583" t="s">
        <v>646</v>
      </c>
    </row>
    <row r="11" spans="1:2" ht="19" customHeight="1">
      <c r="A11" s="583" t="s">
        <v>135</v>
      </c>
      <c r="B11" s="583" t="s">
        <v>647</v>
      </c>
    </row>
    <row r="12" spans="1:2" ht="19" customHeight="1">
      <c r="A12" s="583" t="s">
        <v>136</v>
      </c>
      <c r="B12" s="583" t="s">
        <v>648</v>
      </c>
    </row>
    <row r="13" spans="1:2" ht="19" customHeight="1">
      <c r="A13" s="583" t="s">
        <v>137</v>
      </c>
      <c r="B13" s="583" t="s">
        <v>649</v>
      </c>
    </row>
    <row r="14" spans="1:2" ht="19" customHeight="1">
      <c r="A14" s="583" t="s">
        <v>138</v>
      </c>
      <c r="B14" s="583" t="s">
        <v>650</v>
      </c>
    </row>
    <row r="15" spans="1:2" ht="19" customHeight="1">
      <c r="A15" s="583" t="s">
        <v>139</v>
      </c>
      <c r="B15" s="583" t="s">
        <v>651</v>
      </c>
    </row>
    <row r="16" spans="1:2" ht="19" customHeight="1">
      <c r="A16" s="583" t="s">
        <v>140</v>
      </c>
      <c r="B16" s="583" t="s">
        <v>652</v>
      </c>
    </row>
    <row r="17" spans="1:2" ht="19" customHeight="1">
      <c r="A17" s="583" t="s">
        <v>141</v>
      </c>
      <c r="B17" s="583" t="s">
        <v>653</v>
      </c>
    </row>
    <row r="18" spans="1:2" ht="19" customHeight="1">
      <c r="A18" s="583" t="s">
        <v>142</v>
      </c>
      <c r="B18" s="583" t="s">
        <v>654</v>
      </c>
    </row>
    <row r="19" spans="1:2" ht="19" customHeight="1">
      <c r="A19" s="583" t="s">
        <v>143</v>
      </c>
      <c r="B19" s="583" t="s">
        <v>655</v>
      </c>
    </row>
    <row r="20" spans="1:2" ht="19" customHeight="1">
      <c r="A20" s="583" t="s">
        <v>144</v>
      </c>
      <c r="B20" s="583" t="s">
        <v>656</v>
      </c>
    </row>
    <row r="21" spans="1:2" ht="19" customHeight="1">
      <c r="A21" s="583" t="s">
        <v>145</v>
      </c>
      <c r="B21" s="583" t="s">
        <v>657</v>
      </c>
    </row>
    <row r="22" spans="1:2" ht="19" customHeight="1">
      <c r="A22" s="583" t="s">
        <v>146</v>
      </c>
      <c r="B22" s="583" t="s">
        <v>658</v>
      </c>
    </row>
    <row r="23" spans="1:2" ht="19" customHeight="1">
      <c r="A23" s="583" t="s">
        <v>147</v>
      </c>
      <c r="B23" s="583" t="s">
        <v>659</v>
      </c>
    </row>
    <row r="24" spans="1:2" ht="19" customHeight="1">
      <c r="A24" s="583" t="s">
        <v>148</v>
      </c>
      <c r="B24" s="583" t="s">
        <v>660</v>
      </c>
    </row>
    <row r="25" spans="1:2" ht="19" customHeight="1">
      <c r="B25" s="587"/>
    </row>
    <row r="26" spans="1:2" ht="19" customHeight="1">
      <c r="B26" s="587"/>
    </row>
    <row r="27" spans="1:2" ht="19" customHeight="1">
      <c r="B27" s="587"/>
    </row>
    <row r="28" spans="1:2" ht="19" customHeight="1">
      <c r="B28" s="583"/>
    </row>
    <row r="29" spans="1:2" ht="19" customHeight="1">
      <c r="B29" s="583"/>
    </row>
    <row r="30" spans="1:2" ht="19" customHeight="1">
      <c r="B30" s="583"/>
    </row>
    <row r="31" spans="1:2" ht="19" customHeight="1">
      <c r="B31" s="587"/>
    </row>
    <row r="32" spans="1:2" ht="19" customHeight="1">
      <c r="B32" s="587"/>
    </row>
    <row r="33" spans="1:2" ht="19" customHeight="1">
      <c r="B33" s="587"/>
    </row>
    <row r="34" spans="1:2" ht="19" customHeight="1">
      <c r="B34" s="587"/>
    </row>
    <row r="37" spans="1:2" ht="19" customHeight="1">
      <c r="A37" s="588"/>
    </row>
  </sheetData>
  <mergeCells count="1">
    <mergeCell ref="A3:B3"/>
  </mergeCells>
  <hyperlinks>
    <hyperlink ref="A5" location="'R1'!A1" display="R1 AKTIVPOSTERING" xr:uid="{00000000-0004-0000-0000-000000000000}"/>
    <hyperlink ref="A6" location="'R2'!A1" display="R2 BALANCE &amp; RESULTATOPGØRELSE" xr:uid="{00000000-0004-0000-0000-000001000000}"/>
    <hyperlink ref="A7" location="'R3'!A1" display="R3 BOGFØRING" xr:uid="{00000000-0004-0000-0000-000002000000}"/>
    <hyperlink ref="A8" location="'R4'!A1" display="R4 BOGFØRING" xr:uid="{00000000-0004-0000-0000-000003000000}"/>
    <hyperlink ref="A9" location="'R5'!A1" display="R5 BOGFØRING" xr:uid="{00000000-0004-0000-0000-000004000000}"/>
    <hyperlink ref="A10" location="'R6'!A1" display="R6 BOGFØRING" xr:uid="{00000000-0004-0000-0000-000005000000}"/>
    <hyperlink ref="A11" location="'R7'!A1" display="R7 BOGFØRING (MOMS)" xr:uid="{00000000-0004-0000-0000-000006000000}"/>
    <hyperlink ref="A12" location="'R8'!A1" display="R8 LIKVIDATIONSBALANCE" xr:uid="{00000000-0004-0000-0000-000007000000}"/>
    <hyperlink ref="A13" location="'R9'!A1" display="R9 BALANCEN" xr:uid="{00000000-0004-0000-0000-000008000000}"/>
    <hyperlink ref="A14" location="'R10'!A1" display="R10 BALANCE &amp; RESULTATOPGØRELSE" xr:uid="{00000000-0004-0000-0000-000009000000}"/>
    <hyperlink ref="A15" location="'R11'!A1" display="R11 VAREFORBRUG" xr:uid="{00000000-0004-0000-0000-00000A000000}"/>
    <hyperlink ref="A16" location="'R12'!A1" display="R12 AFSKRIVNINGER" xr:uid="{00000000-0004-0000-0000-00000B000000}"/>
    <hyperlink ref="A17" location="'R13'!A1" display="R13 AFSKRIVNINGER" xr:uid="{00000000-0004-0000-0000-00000C000000}"/>
    <hyperlink ref="A18" location="'R14'!A1" display="R14 AFSKRIVNINGER" xr:uid="{00000000-0004-0000-0000-00000D000000}"/>
    <hyperlink ref="A19" location="'R15'!A1" display="R15 REGNSKABSAFSLUTNING" xr:uid="{00000000-0004-0000-0000-00000E000000}"/>
    <hyperlink ref="A20" location="'R16'!A1" display="R16 REGNSKABSAFSLUTNING" xr:uid="{00000000-0004-0000-0000-00000F000000}"/>
    <hyperlink ref="A21" location="'R17'!A1" display="R17 LIFO/FIFO" xr:uid="{00000000-0004-0000-0000-000010000000}"/>
    <hyperlink ref="A22" location="'R18'!A1" display="R18 HEMMELIGE RESERVER" xr:uid="{00000000-0004-0000-0000-000011000000}"/>
    <hyperlink ref="A23" location="'R19'!A1" display="R19 REGNSKABSANALYSE" xr:uid="{00000000-0004-0000-0000-000012000000}"/>
    <hyperlink ref="A24" location="'R20'!A1" display="R20 REGNSKABSANALYSE" xr:uid="{00000000-0004-0000-0000-000013000000}"/>
    <hyperlink ref="B5" location="'R21'!A1" display="R21 REGNSKABSANALYSE" xr:uid="{00000000-0004-0000-0000-000014000000}"/>
    <hyperlink ref="B6" location="'R22'!A1" display="R22 REGNSKABSANALYSE" xr:uid="{00000000-0004-0000-0000-000015000000}"/>
    <hyperlink ref="B7" location="'R23'!A1" display="R23" xr:uid="{00000000-0004-0000-0000-000016000000}"/>
    <hyperlink ref="B9" location="'R25'!A1" display="R25" xr:uid="{00000000-0004-0000-0000-000017000000}"/>
    <hyperlink ref="B11" location="'R27'!A1" display="R27" xr:uid="{00000000-0004-0000-0000-000018000000}"/>
    <hyperlink ref="B13" location="'R29'!A1" display="R29" xr:uid="{00000000-0004-0000-0000-000019000000}"/>
    <hyperlink ref="B8" location="'R24'!A1" display="R24" xr:uid="{00000000-0004-0000-0000-00001A000000}"/>
    <hyperlink ref="B10" location="'R26'!A1" display="R26" xr:uid="{00000000-0004-0000-0000-00001B000000}"/>
    <hyperlink ref="B12" location="'R28'!A1" display="R28" xr:uid="{00000000-0004-0000-0000-00001C000000}"/>
    <hyperlink ref="B14" location="'R30'!A1" display="R30" xr:uid="{00000000-0004-0000-0000-00001D000000}"/>
    <hyperlink ref="B15" location="'R31'!A1" display="R31" xr:uid="{00000000-0004-0000-0000-00001E000000}"/>
    <hyperlink ref="B17" location="'R33'!A1" display="R33" xr:uid="{00000000-0004-0000-0000-00001F000000}"/>
    <hyperlink ref="B19" location="'R35'!A1" display="R35" xr:uid="{00000000-0004-0000-0000-000020000000}"/>
    <hyperlink ref="B21" location="'R37'!A1" display="R37" xr:uid="{00000000-0004-0000-0000-000021000000}"/>
    <hyperlink ref="B16" location="'R32'!A1" display="R32" xr:uid="{00000000-0004-0000-0000-000022000000}"/>
    <hyperlink ref="B18" location="'R34'!A1" display="R34" xr:uid="{00000000-0004-0000-0000-000023000000}"/>
    <hyperlink ref="B20" location="'R36'!A1" display="R36" xr:uid="{00000000-0004-0000-0000-000024000000}"/>
    <hyperlink ref="B22" location="'R38'!A1" display="R38" xr:uid="{00000000-0004-0000-0000-000025000000}"/>
    <hyperlink ref="B23" location="'R39'!A1" display="R39" xr:uid="{00000000-0004-0000-0000-000026000000}"/>
    <hyperlink ref="B24" location="'R40'!A1" display="R40" xr:uid="{00000000-0004-0000-0000-000027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zoomScale="80" zoomScaleNormal="80" workbookViewId="0">
      <selection activeCell="F15" sqref="F15"/>
    </sheetView>
  </sheetViews>
  <sheetFormatPr baseColWidth="10" defaultColWidth="30.83203125" defaultRowHeight="19" customHeight="1"/>
  <cols>
    <col min="1" max="1" width="23.33203125" style="5" customWidth="1"/>
    <col min="2" max="2" width="22.83203125" style="5" customWidth="1"/>
    <col min="3" max="3" width="21.33203125" style="5" bestFit="1" customWidth="1"/>
    <col min="4" max="4" width="21.5" style="5" bestFit="1" customWidth="1"/>
    <col min="5" max="5" width="15.83203125" style="5" customWidth="1"/>
    <col min="6" max="6" width="14.5" style="5" customWidth="1"/>
    <col min="7" max="7" width="18.33203125" style="5" customWidth="1"/>
    <col min="8" max="8" width="12.5" style="5" bestFit="1" customWidth="1"/>
    <col min="9" max="9" width="14.33203125" style="5" bestFit="1" customWidth="1"/>
    <col min="10" max="10" width="14" style="5" bestFit="1" customWidth="1"/>
    <col min="11" max="16384" width="30.83203125" style="5"/>
  </cols>
  <sheetData>
    <row r="1" spans="1:10" ht="19" customHeight="1">
      <c r="A1" s="5" t="s">
        <v>211</v>
      </c>
      <c r="B1" s="190" t="s">
        <v>158</v>
      </c>
    </row>
    <row r="2" spans="1:10" ht="19" customHeight="1">
      <c r="B2" s="94"/>
    </row>
    <row r="3" spans="1:10" ht="19" customHeight="1">
      <c r="A3" s="347" t="s">
        <v>212</v>
      </c>
    </row>
    <row r="4" spans="1:10" ht="19" customHeight="1">
      <c r="A4" s="256"/>
    </row>
    <row r="5" spans="1:10" ht="19" customHeight="1">
      <c r="B5" s="684" t="s">
        <v>160</v>
      </c>
      <c r="C5" s="684"/>
      <c r="D5" s="684"/>
      <c r="E5" s="685" t="s">
        <v>161</v>
      </c>
      <c r="F5" s="685"/>
      <c r="G5" s="685"/>
      <c r="H5" s="130" t="s">
        <v>224</v>
      </c>
      <c r="I5" s="686" t="s">
        <v>225</v>
      </c>
      <c r="J5" s="686"/>
    </row>
    <row r="6" spans="1:10" ht="19" customHeight="1">
      <c r="B6" s="38" t="s">
        <v>10</v>
      </c>
      <c r="C6" s="38" t="s">
        <v>11</v>
      </c>
      <c r="D6" s="38" t="s">
        <v>12</v>
      </c>
      <c r="E6" s="38" t="s">
        <v>13</v>
      </c>
      <c r="F6" s="38" t="s">
        <v>14</v>
      </c>
      <c r="G6" s="38" t="s">
        <v>15</v>
      </c>
      <c r="H6" s="155" t="s">
        <v>28</v>
      </c>
      <c r="I6" s="155" t="s">
        <v>276</v>
      </c>
      <c r="J6" s="155" t="s">
        <v>277</v>
      </c>
    </row>
    <row r="7" spans="1:10" ht="19" customHeight="1">
      <c r="A7" s="5" t="s">
        <v>16</v>
      </c>
      <c r="C7" s="155" t="str">
        <f>A7</f>
        <v>Inventar</v>
      </c>
      <c r="D7" s="42"/>
      <c r="E7" s="42"/>
      <c r="F7" s="42"/>
      <c r="G7" s="42"/>
      <c r="H7" s="42"/>
      <c r="I7" s="42"/>
      <c r="J7" s="42"/>
    </row>
    <row r="8" spans="1:10" ht="19" customHeight="1">
      <c r="A8" s="5" t="s">
        <v>226</v>
      </c>
      <c r="B8" s="43"/>
      <c r="C8" s="43"/>
      <c r="D8" s="43"/>
      <c r="E8" s="43"/>
      <c r="F8" s="43"/>
      <c r="G8" s="43"/>
      <c r="H8" s="5" t="str">
        <f>A8</f>
        <v>Henlagt overskud</v>
      </c>
      <c r="I8" s="43"/>
      <c r="J8" s="43"/>
    </row>
    <row r="9" spans="1:10" ht="19" customHeight="1">
      <c r="A9" s="5" t="s">
        <v>17</v>
      </c>
      <c r="B9" s="43"/>
      <c r="C9" s="43" t="str">
        <f>A9</f>
        <v>Varevogn</v>
      </c>
      <c r="D9" s="43"/>
      <c r="E9" s="43"/>
      <c r="F9" s="43"/>
      <c r="G9" s="43"/>
      <c r="H9" s="43"/>
      <c r="I9" s="43"/>
      <c r="J9" s="43"/>
    </row>
    <row r="10" spans="1:10" ht="19" customHeight="1">
      <c r="A10" s="5" t="s">
        <v>195</v>
      </c>
      <c r="B10" s="43"/>
      <c r="C10" s="43"/>
      <c r="D10" s="43"/>
      <c r="E10" s="43"/>
      <c r="F10" s="43"/>
      <c r="G10" s="43"/>
      <c r="H10" s="43"/>
      <c r="I10" s="43" t="str">
        <f>A10</f>
        <v>Realkreditlån</v>
      </c>
      <c r="J10" s="43"/>
    </row>
    <row r="11" spans="1:10" ht="19" customHeight="1">
      <c r="A11" s="5" t="s">
        <v>31</v>
      </c>
      <c r="B11" s="43"/>
      <c r="C11" s="43"/>
      <c r="D11" s="43"/>
      <c r="E11" s="43"/>
      <c r="F11" s="43"/>
      <c r="G11" s="43" t="str">
        <f>A11</f>
        <v>Bankindestående</v>
      </c>
      <c r="H11" s="43"/>
      <c r="I11" s="43"/>
      <c r="J11" s="43"/>
    </row>
    <row r="12" spans="1:10" ht="19" customHeight="1">
      <c r="A12" s="5" t="s">
        <v>18</v>
      </c>
      <c r="B12" s="43" t="str">
        <f>A12</f>
        <v>Goodwill</v>
      </c>
      <c r="C12" s="43"/>
      <c r="D12" s="43"/>
      <c r="E12" s="43"/>
      <c r="F12" s="43"/>
      <c r="G12" s="43"/>
      <c r="H12" s="43"/>
      <c r="I12" s="43"/>
      <c r="J12" s="43"/>
    </row>
    <row r="13" spans="1:10" ht="19" customHeight="1">
      <c r="A13" s="5" t="s">
        <v>84</v>
      </c>
      <c r="B13" s="43"/>
      <c r="C13" s="43"/>
      <c r="D13" s="43"/>
      <c r="E13" s="43"/>
      <c r="F13" s="43"/>
      <c r="G13" s="43"/>
      <c r="H13" s="43"/>
      <c r="I13" s="43"/>
      <c r="J13" s="43" t="str">
        <f>A13</f>
        <v>Kassekredit</v>
      </c>
    </row>
    <row r="14" spans="1:10" ht="19" customHeight="1">
      <c r="A14" s="5" t="s">
        <v>19</v>
      </c>
      <c r="B14" s="43"/>
      <c r="C14" s="43" t="str">
        <f>A14</f>
        <v>Produktionsanlæg</v>
      </c>
      <c r="D14" s="43"/>
      <c r="E14" s="43"/>
      <c r="F14" s="43"/>
      <c r="G14" s="43"/>
      <c r="H14" s="43"/>
      <c r="I14" s="43"/>
      <c r="J14" s="43"/>
    </row>
    <row r="15" spans="1:10" ht="19" customHeight="1">
      <c r="A15" s="5" t="s">
        <v>194</v>
      </c>
      <c r="B15" s="43"/>
      <c r="C15" s="43"/>
      <c r="D15" s="43"/>
      <c r="E15" s="43"/>
      <c r="F15" s="43"/>
      <c r="G15" s="43"/>
      <c r="H15" s="43"/>
      <c r="I15" s="43"/>
      <c r="J15" s="43" t="str">
        <f>A15</f>
        <v>Leverandørgæld</v>
      </c>
    </row>
    <row r="16" spans="1:10" ht="19" customHeight="1">
      <c r="A16" s="5" t="s">
        <v>229</v>
      </c>
      <c r="B16" s="43"/>
      <c r="C16" s="43"/>
      <c r="D16" s="43"/>
      <c r="E16" s="43" t="str">
        <f>A16</f>
        <v>Færdigvarelager</v>
      </c>
      <c r="F16" s="43"/>
      <c r="G16" s="43"/>
      <c r="H16" s="43"/>
      <c r="I16" s="43"/>
      <c r="J16" s="43"/>
    </row>
    <row r="17" spans="1:10" ht="19" customHeight="1">
      <c r="A17" s="5" t="s">
        <v>20</v>
      </c>
      <c r="B17" s="43" t="str">
        <f>A17</f>
        <v>Patentrettighed</v>
      </c>
      <c r="C17" s="43"/>
      <c r="D17" s="43"/>
      <c r="E17" s="43"/>
      <c r="F17" s="43"/>
      <c r="G17" s="43"/>
      <c r="H17" s="43"/>
      <c r="I17" s="43"/>
      <c r="J17" s="43"/>
    </row>
    <row r="18" spans="1:10" ht="19" customHeight="1">
      <c r="A18" s="5" t="s">
        <v>21</v>
      </c>
      <c r="B18" s="43"/>
      <c r="C18" s="43" t="str">
        <f>A18</f>
        <v>Ejendom</v>
      </c>
      <c r="D18" s="43"/>
      <c r="E18" s="43"/>
      <c r="F18" s="43"/>
      <c r="G18" s="43"/>
      <c r="H18" s="43"/>
      <c r="I18" s="43"/>
      <c r="J18" s="43"/>
    </row>
    <row r="19" spans="1:10" ht="19" customHeight="1">
      <c r="A19" s="5" t="s">
        <v>196</v>
      </c>
      <c r="B19" s="43"/>
      <c r="C19" s="43"/>
      <c r="D19" s="43"/>
      <c r="E19" s="43"/>
      <c r="F19" s="43" t="str">
        <f>A19</f>
        <v>Tilgodehavender fra kunder</v>
      </c>
      <c r="G19" s="43"/>
      <c r="H19" s="43"/>
      <c r="I19" s="43"/>
      <c r="J19" s="43"/>
    </row>
    <row r="20" spans="1:10" ht="19" customHeight="1">
      <c r="A20" s="5" t="s">
        <v>227</v>
      </c>
      <c r="B20" s="43"/>
      <c r="C20" s="43"/>
      <c r="D20" s="43"/>
      <c r="E20" s="43"/>
      <c r="F20" s="43"/>
      <c r="H20" s="43" t="str">
        <f>A20</f>
        <v>Indskudt kapital</v>
      </c>
      <c r="I20" s="43"/>
      <c r="J20" s="43"/>
    </row>
    <row r="21" spans="1:10" ht="19" customHeight="1">
      <c r="A21" s="5" t="s">
        <v>228</v>
      </c>
      <c r="B21" s="43"/>
      <c r="C21" s="43"/>
      <c r="D21" s="43"/>
      <c r="E21" s="43"/>
      <c r="F21" s="43"/>
      <c r="G21" s="43" t="str">
        <f>A21</f>
        <v>Kassebeholdning</v>
      </c>
      <c r="H21" s="43"/>
      <c r="I21" s="43"/>
      <c r="J21" s="43"/>
    </row>
    <row r="22" spans="1:10" ht="19" customHeight="1">
      <c r="A22" s="5" t="s">
        <v>22</v>
      </c>
      <c r="B22" s="43"/>
      <c r="C22" s="43"/>
      <c r="D22" s="43"/>
      <c r="E22" s="43" t="str">
        <f>A22</f>
        <v>Råvarelager</v>
      </c>
      <c r="F22" s="43"/>
      <c r="G22" s="43"/>
      <c r="H22" s="43"/>
      <c r="I22" s="43"/>
      <c r="J22" s="43"/>
    </row>
    <row r="23" spans="1:10" ht="19" customHeight="1">
      <c r="A23" s="5" t="s">
        <v>269</v>
      </c>
      <c r="B23" s="43"/>
      <c r="C23" s="43"/>
      <c r="D23" s="43"/>
      <c r="E23" s="43"/>
      <c r="F23" s="43"/>
      <c r="G23" s="43"/>
      <c r="H23" s="43" t="str">
        <f>A23</f>
        <v>Skyldigt udbytte</v>
      </c>
      <c r="I23" s="43"/>
      <c r="J23" s="43" t="str">
        <f>A23</f>
        <v>Skyldigt udbytte</v>
      </c>
    </row>
    <row r="24" spans="1:10" ht="19" customHeight="1">
      <c r="A24" s="5" t="s">
        <v>23</v>
      </c>
      <c r="B24" s="44"/>
      <c r="C24" s="44"/>
      <c r="D24" s="44" t="str">
        <f>A24</f>
        <v>Aktier i datterselskab</v>
      </c>
      <c r="E24" s="44"/>
      <c r="F24" s="44"/>
      <c r="G24" s="44"/>
      <c r="H24" s="44"/>
      <c r="I24" s="44"/>
      <c r="J24" s="44"/>
    </row>
  </sheetData>
  <mergeCells count="3">
    <mergeCell ref="B5:D5"/>
    <mergeCell ref="E5:G5"/>
    <mergeCell ref="I5:J5"/>
  </mergeCells>
  <hyperlinks>
    <hyperlink ref="B1" location="Forside!A1" display="Forside!A1" xr:uid="{00000000-0004-0000-01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zoomScale="80" zoomScaleNormal="80" workbookViewId="0">
      <selection activeCell="F9" sqref="F9"/>
    </sheetView>
  </sheetViews>
  <sheetFormatPr baseColWidth="10" defaultColWidth="18.33203125" defaultRowHeight="19" customHeight="1"/>
  <cols>
    <col min="1" max="1" width="29" style="23" customWidth="1"/>
    <col min="2" max="2" width="9.33203125" style="23" customWidth="1"/>
    <col min="3" max="3" width="12.33203125" style="23" customWidth="1"/>
    <col min="4" max="4" width="28" style="132" bestFit="1" customWidth="1"/>
    <col min="5" max="5" width="11" style="132" customWidth="1"/>
    <col min="6" max="6" width="28.33203125" style="132" bestFit="1" customWidth="1"/>
    <col min="7" max="7" width="12" style="132" customWidth="1"/>
    <col min="8" max="16384" width="18.33203125" style="23"/>
  </cols>
  <sheetData>
    <row r="1" spans="1:7" ht="19" customHeight="1">
      <c r="A1" s="125" t="s">
        <v>231</v>
      </c>
      <c r="B1" s="190" t="s">
        <v>158</v>
      </c>
    </row>
    <row r="2" spans="1:7" s="125" customFormat="1" ht="19" customHeight="1">
      <c r="B2" s="94"/>
      <c r="D2" s="132"/>
      <c r="E2" s="132"/>
      <c r="F2" s="132"/>
      <c r="G2" s="132"/>
    </row>
    <row r="3" spans="1:7" ht="19" customHeight="1">
      <c r="A3" s="348" t="s">
        <v>34</v>
      </c>
    </row>
    <row r="4" spans="1:7" ht="19" customHeight="1" thickBot="1">
      <c r="A4" s="22"/>
    </row>
    <row r="5" spans="1:7" ht="19" customHeight="1">
      <c r="A5" s="24" t="s">
        <v>230</v>
      </c>
      <c r="B5" s="47" t="s">
        <v>35</v>
      </c>
      <c r="D5" s="133" t="s">
        <v>26</v>
      </c>
      <c r="E5" s="134"/>
      <c r="F5" s="135" t="s">
        <v>27</v>
      </c>
      <c r="G5" s="136"/>
    </row>
    <row r="6" spans="1:7" ht="19" customHeight="1">
      <c r="A6" s="24" t="s">
        <v>232</v>
      </c>
      <c r="B6" s="125">
        <v>362</v>
      </c>
      <c r="D6" s="137" t="s">
        <v>198</v>
      </c>
      <c r="E6" s="138"/>
      <c r="F6" s="139" t="s">
        <v>5</v>
      </c>
      <c r="G6" s="140"/>
    </row>
    <row r="7" spans="1:7" ht="19" customHeight="1">
      <c r="A7" s="24" t="s">
        <v>36</v>
      </c>
      <c r="B7" s="125">
        <v>4000</v>
      </c>
      <c r="D7" s="141" t="str" cm="1">
        <f t="array" ref="D7:E7">A6:B6</f>
        <v>Goodwill</v>
      </c>
      <c r="E7" s="138">
        <v>362</v>
      </c>
      <c r="F7" s="138" t="str" cm="1">
        <f t="array" ref="F7:G7">A16:B16</f>
        <v>Indskudt kapital</v>
      </c>
      <c r="G7" s="140">
        <v>2500</v>
      </c>
    </row>
    <row r="8" spans="1:7" ht="19" customHeight="1">
      <c r="A8" s="24" t="s">
        <v>16</v>
      </c>
      <c r="B8" s="125">
        <v>1350</v>
      </c>
      <c r="D8" s="141"/>
      <c r="E8" s="138"/>
      <c r="F8" s="138" t="str" cm="1">
        <f t="array" ref="F8:G8">A17:B17</f>
        <v>Henlagt overskud</v>
      </c>
      <c r="G8" s="140">
        <v>1400</v>
      </c>
    </row>
    <row r="9" spans="1:7" ht="19" customHeight="1">
      <c r="A9" s="24" t="s">
        <v>23</v>
      </c>
      <c r="B9" s="125">
        <v>1000</v>
      </c>
      <c r="D9" s="137" t="s">
        <v>199</v>
      </c>
      <c r="E9" s="138"/>
      <c r="F9" s="138" t="str" cm="1">
        <f t="array" ref="F9:G9">A18:B18</f>
        <v>Skyldigt udbytte</v>
      </c>
      <c r="G9" s="140">
        <v>156</v>
      </c>
    </row>
    <row r="10" spans="1:7" ht="19" customHeight="1">
      <c r="A10" s="24" t="s">
        <v>37</v>
      </c>
      <c r="B10" s="125">
        <v>420</v>
      </c>
      <c r="D10" s="141" t="str" cm="1">
        <f t="array" ref="D10:E10">A7:B7</f>
        <v>Lagerejendom</v>
      </c>
      <c r="E10" s="138">
        <v>4000</v>
      </c>
      <c r="F10" s="142" t="s">
        <v>200</v>
      </c>
      <c r="G10" s="152">
        <f>SUM(G7:G9)</f>
        <v>4056</v>
      </c>
    </row>
    <row r="11" spans="1:7" ht="19" customHeight="1">
      <c r="A11" s="24" t="s">
        <v>38</v>
      </c>
      <c r="B11" s="125">
        <v>608</v>
      </c>
      <c r="D11" s="141" t="str" cm="1">
        <f t="array" ref="D11:E11">A8:B8</f>
        <v>Inventar</v>
      </c>
      <c r="E11" s="138">
        <v>1350</v>
      </c>
      <c r="F11" s="139"/>
      <c r="G11" s="140"/>
    </row>
    <row r="12" spans="1:7" ht="19" customHeight="1">
      <c r="A12" s="24" t="s">
        <v>39</v>
      </c>
      <c r="B12" s="125">
        <v>1140</v>
      </c>
      <c r="D12" s="153"/>
      <c r="E12" s="154"/>
      <c r="F12" s="139"/>
      <c r="G12" s="140"/>
    </row>
    <row r="13" spans="1:7" ht="19" customHeight="1">
      <c r="A13" s="24" t="s">
        <v>196</v>
      </c>
      <c r="B13" s="125">
        <v>1740</v>
      </c>
      <c r="D13" s="137" t="s">
        <v>203</v>
      </c>
      <c r="E13" s="138"/>
      <c r="F13" s="139" t="s">
        <v>204</v>
      </c>
      <c r="G13" s="140"/>
    </row>
    <row r="14" spans="1:7" ht="19" customHeight="1">
      <c r="A14" s="24" t="s">
        <v>31</v>
      </c>
      <c r="B14" s="125">
        <v>344</v>
      </c>
      <c r="D14" s="141" t="str" cm="1">
        <f t="array" ref="D14:E14">A9:B9</f>
        <v>Aktier i datterselskab</v>
      </c>
      <c r="E14" s="138">
        <v>1000</v>
      </c>
      <c r="F14" s="138" t="str" cm="1">
        <f t="array" ref="F14:G14">A19:B19</f>
        <v>Realkreditlån</v>
      </c>
      <c r="G14" s="140">
        <v>3000</v>
      </c>
    </row>
    <row r="15" spans="1:7" ht="19" customHeight="1">
      <c r="A15" s="24" t="s">
        <v>228</v>
      </c>
      <c r="B15" s="125">
        <v>36</v>
      </c>
      <c r="D15" s="143" t="s">
        <v>206</v>
      </c>
      <c r="E15" s="151">
        <f>SUM(E7:E14)</f>
        <v>6712</v>
      </c>
      <c r="F15" s="142" t="s">
        <v>234</v>
      </c>
      <c r="G15" s="152">
        <f>SUM(G14)</f>
        <v>3000</v>
      </c>
    </row>
    <row r="16" spans="1:7" ht="19" customHeight="1">
      <c r="A16" s="24" t="s">
        <v>227</v>
      </c>
      <c r="B16" s="125">
        <v>2500</v>
      </c>
      <c r="D16" s="141"/>
      <c r="E16" s="138"/>
      <c r="F16" s="138"/>
      <c r="G16" s="140"/>
    </row>
    <row r="17" spans="1:7" ht="19" customHeight="1">
      <c r="A17" s="24" t="s">
        <v>226</v>
      </c>
      <c r="B17" s="125">
        <v>1400</v>
      </c>
      <c r="D17" s="137" t="s">
        <v>161</v>
      </c>
      <c r="E17" s="138"/>
      <c r="F17" s="139" t="s">
        <v>233</v>
      </c>
      <c r="G17" s="140"/>
    </row>
    <row r="18" spans="1:7" ht="19" customHeight="1">
      <c r="A18" s="24" t="s">
        <v>269</v>
      </c>
      <c r="B18" s="125">
        <v>156</v>
      </c>
      <c r="D18" s="141" t="str" cm="1">
        <f t="array" ref="D18:E18">A10:B10</f>
        <v>Råvarer og hjælpematerialer</v>
      </c>
      <c r="E18" s="138">
        <v>420</v>
      </c>
      <c r="F18" s="138" t="str" cm="1">
        <f t="array" ref="F18:G18">A21:B21</f>
        <v>Leverandørgæld</v>
      </c>
      <c r="G18" s="140">
        <v>1686</v>
      </c>
    </row>
    <row r="19" spans="1:7" ht="19" customHeight="1">
      <c r="A19" s="24" t="s">
        <v>195</v>
      </c>
      <c r="B19" s="125">
        <v>3000</v>
      </c>
      <c r="D19" s="141" t="str" cm="1">
        <f t="array" ref="D19:E19">A12:B12</f>
        <v>Færdigvarer</v>
      </c>
      <c r="E19" s="138">
        <v>1140</v>
      </c>
      <c r="F19" s="138" t="str" cm="1">
        <f t="array" ref="F19:G19">A20:B20</f>
        <v>Kassekredit</v>
      </c>
      <c r="G19" s="140">
        <v>2258</v>
      </c>
    </row>
    <row r="20" spans="1:7" ht="19" customHeight="1">
      <c r="A20" s="24" t="s">
        <v>42</v>
      </c>
      <c r="B20" s="125">
        <v>2258</v>
      </c>
      <c r="D20" s="141" t="str" cm="1">
        <f t="array" ref="D20:E20">A15:B15</f>
        <v>Kassebeholdning</v>
      </c>
      <c r="E20" s="138">
        <v>36</v>
      </c>
      <c r="F20" s="144" t="s">
        <v>235</v>
      </c>
      <c r="G20" s="152">
        <f>SUM(G18:G19)</f>
        <v>3944</v>
      </c>
    </row>
    <row r="21" spans="1:7" ht="19" customHeight="1">
      <c r="A21" s="24" t="s">
        <v>43</v>
      </c>
      <c r="B21" s="125">
        <v>1686</v>
      </c>
      <c r="D21" s="141" t="str" cm="1">
        <f t="array" ref="D21:E21">A13:B13</f>
        <v>Tilgodehavender fra kunder</v>
      </c>
      <c r="E21" s="138">
        <v>1740</v>
      </c>
      <c r="F21" s="144"/>
      <c r="G21" s="150"/>
    </row>
    <row r="22" spans="1:7" ht="19" customHeight="1">
      <c r="D22" s="141" t="str" cm="1">
        <f t="array" ref="D22:E22">A11:B11</f>
        <v>Varer under produktion</v>
      </c>
      <c r="E22" s="138">
        <v>608</v>
      </c>
      <c r="F22" s="138"/>
      <c r="G22" s="140"/>
    </row>
    <row r="23" spans="1:7" ht="19" customHeight="1">
      <c r="D23" s="141" t="str" cm="1">
        <f t="array" ref="D23:E23">A14:B14</f>
        <v>Bankindestående</v>
      </c>
      <c r="E23" s="138">
        <v>344</v>
      </c>
      <c r="F23" s="138"/>
      <c r="G23" s="140"/>
    </row>
    <row r="24" spans="1:7" ht="19" customHeight="1">
      <c r="D24" s="143" t="s">
        <v>207</v>
      </c>
      <c r="E24" s="151">
        <f>SUM(E18:E23)</f>
        <v>4288</v>
      </c>
      <c r="F24" s="142" t="s">
        <v>208</v>
      </c>
      <c r="G24" s="152">
        <f>G20+G15</f>
        <v>6944</v>
      </c>
    </row>
    <row r="25" spans="1:7" ht="19" customHeight="1" thickBot="1">
      <c r="D25" s="145"/>
      <c r="E25" s="146"/>
      <c r="F25" s="147"/>
      <c r="G25" s="148"/>
    </row>
    <row r="26" spans="1:7" ht="19" customHeight="1">
      <c r="D26" s="149" t="s">
        <v>209</v>
      </c>
      <c r="E26" s="149">
        <f>E24+E15</f>
        <v>11000</v>
      </c>
      <c r="F26" s="149" t="s">
        <v>210</v>
      </c>
      <c r="G26" s="149">
        <f>G24+G10</f>
        <v>11000</v>
      </c>
    </row>
  </sheetData>
  <hyperlinks>
    <hyperlink ref="B1" location="Forside!A1" display="Forside!A1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zoomScale="80" zoomScaleNormal="80" workbookViewId="0">
      <selection activeCell="F28" sqref="F28"/>
    </sheetView>
  </sheetViews>
  <sheetFormatPr baseColWidth="10" defaultColWidth="30.83203125" defaultRowHeight="19" customHeight="1"/>
  <cols>
    <col min="1" max="1" width="28.5" style="5" customWidth="1"/>
    <col min="2" max="2" width="10.5" style="5" bestFit="1" customWidth="1"/>
    <col min="3" max="3" width="15" style="5" bestFit="1" customWidth="1"/>
    <col min="4" max="4" width="19.5" style="5" bestFit="1" customWidth="1"/>
    <col min="5" max="5" width="18" style="5" bestFit="1" customWidth="1"/>
    <col min="6" max="6" width="14.5" style="5" bestFit="1" customWidth="1"/>
    <col min="7" max="7" width="18.33203125" style="5" customWidth="1"/>
    <col min="8" max="8" width="22.83203125" style="5" bestFit="1" customWidth="1"/>
    <col min="9" max="16384" width="30.83203125" style="5"/>
  </cols>
  <sheetData>
    <row r="1" spans="1:8" ht="19" customHeight="1">
      <c r="A1" s="5" t="s">
        <v>255</v>
      </c>
      <c r="B1" s="190" t="s">
        <v>158</v>
      </c>
    </row>
    <row r="2" spans="1:8" ht="19" customHeight="1">
      <c r="A2" s="4"/>
      <c r="C2" s="94"/>
    </row>
    <row r="3" spans="1:8" ht="19" customHeight="1">
      <c r="A3" s="347" t="s">
        <v>212</v>
      </c>
    </row>
    <row r="4" spans="1:8" ht="19" customHeight="1">
      <c r="A4" s="256"/>
    </row>
    <row r="5" spans="1:8" ht="19" customHeight="1">
      <c r="B5" s="684" t="s">
        <v>236</v>
      </c>
      <c r="C5" s="684"/>
      <c r="D5" s="684"/>
      <c r="E5" s="685" t="s">
        <v>237</v>
      </c>
      <c r="F5" s="685"/>
      <c r="G5" s="685"/>
      <c r="H5" s="685"/>
    </row>
    <row r="6" spans="1:8" ht="19" customHeight="1">
      <c r="B6" s="131" t="s">
        <v>152</v>
      </c>
      <c r="C6" s="131" t="s">
        <v>238</v>
      </c>
      <c r="D6" s="131" t="s">
        <v>239</v>
      </c>
      <c r="E6" s="131" t="s">
        <v>240</v>
      </c>
      <c r="F6" s="131" t="s">
        <v>244</v>
      </c>
      <c r="G6" s="131" t="s">
        <v>241</v>
      </c>
      <c r="H6" s="18" t="s">
        <v>242</v>
      </c>
    </row>
    <row r="7" spans="1:8" ht="19" customHeight="1">
      <c r="A7" s="5" t="s">
        <v>243</v>
      </c>
      <c r="B7" s="42" t="str">
        <f>A7</f>
        <v>Salg af varer</v>
      </c>
      <c r="C7" s="42"/>
      <c r="D7" s="42"/>
      <c r="E7" s="42"/>
      <c r="F7" s="42"/>
      <c r="G7" s="42"/>
      <c r="H7" s="16"/>
    </row>
    <row r="8" spans="1:8" ht="19" customHeight="1">
      <c r="A8" s="5" t="s">
        <v>215</v>
      </c>
      <c r="B8" s="43"/>
      <c r="C8" s="43"/>
      <c r="D8" s="43"/>
      <c r="E8" s="43"/>
      <c r="F8" s="43" t="str">
        <f>A8</f>
        <v>Lokaleomkostninger</v>
      </c>
      <c r="G8" s="43"/>
      <c r="H8" s="16"/>
    </row>
    <row r="9" spans="1:8" ht="19" customHeight="1">
      <c r="A9" s="5" t="s">
        <v>218</v>
      </c>
      <c r="B9" s="43"/>
      <c r="C9" s="43" t="str">
        <f>A9</f>
        <v>Renteindtægter</v>
      </c>
      <c r="D9" s="43"/>
      <c r="E9" s="43"/>
      <c r="F9" s="43"/>
      <c r="G9" s="43"/>
      <c r="H9" s="16"/>
    </row>
    <row r="10" spans="1:8" ht="19" customHeight="1">
      <c r="A10" s="5" t="s">
        <v>245</v>
      </c>
      <c r="B10" s="43"/>
      <c r="C10" s="43"/>
      <c r="D10" s="43" t="str">
        <f>A10</f>
        <v>Gevinst ved frasalg af aktiv</v>
      </c>
      <c r="E10" s="43"/>
      <c r="F10" s="43"/>
      <c r="G10" s="43"/>
      <c r="H10" s="16"/>
    </row>
    <row r="11" spans="1:8" ht="19" customHeight="1">
      <c r="A11" s="5" t="s">
        <v>77</v>
      </c>
      <c r="B11" s="43"/>
      <c r="C11" s="43"/>
      <c r="D11" s="43"/>
      <c r="E11" s="43" t="str">
        <f>A11</f>
        <v>Vareforbrug</v>
      </c>
      <c r="F11" s="43"/>
      <c r="G11" s="43"/>
      <c r="H11" s="16"/>
    </row>
    <row r="12" spans="1:8" ht="19" customHeight="1">
      <c r="A12" s="5" t="s">
        <v>247</v>
      </c>
      <c r="B12" s="43"/>
      <c r="C12" s="43"/>
      <c r="D12" s="43"/>
      <c r="E12" s="43"/>
      <c r="F12" s="43" t="str">
        <f>A12</f>
        <v>Lønninger</v>
      </c>
      <c r="G12" s="43"/>
      <c r="H12" s="16"/>
    </row>
    <row r="13" spans="1:8" ht="19" customHeight="1">
      <c r="A13" s="5" t="s">
        <v>248</v>
      </c>
      <c r="B13" s="43"/>
      <c r="C13" s="43"/>
      <c r="D13" s="43"/>
      <c r="E13" s="43"/>
      <c r="F13" s="43"/>
      <c r="G13" s="43" t="str">
        <f>A13</f>
        <v>Bankgebyrer</v>
      </c>
      <c r="H13" s="16"/>
    </row>
    <row r="14" spans="1:8" ht="19" customHeight="1">
      <c r="A14" s="5" t="s">
        <v>249</v>
      </c>
      <c r="B14" s="43" t="str">
        <f>A14</f>
        <v>Salg af tjenesteydelser</v>
      </c>
      <c r="C14" s="43"/>
      <c r="D14" s="43"/>
      <c r="E14" s="43"/>
      <c r="F14" s="43"/>
      <c r="G14" s="43"/>
      <c r="H14" s="16"/>
    </row>
    <row r="15" spans="1:8" ht="19" customHeight="1">
      <c r="A15" s="5" t="s">
        <v>250</v>
      </c>
      <c r="B15" s="43"/>
      <c r="C15" s="43" t="str">
        <f>A15</f>
        <v>Valutakursgevinst</v>
      </c>
      <c r="D15" s="43"/>
      <c r="E15" s="43"/>
      <c r="F15" s="43"/>
      <c r="G15" s="43"/>
      <c r="H15" s="16"/>
    </row>
    <row r="16" spans="1:8" ht="19" customHeight="1">
      <c r="A16" s="5" t="s">
        <v>214</v>
      </c>
      <c r="B16" s="43"/>
      <c r="C16" s="43"/>
      <c r="D16" s="43"/>
      <c r="F16" s="43" t="str">
        <f>A16</f>
        <v>Salgsfremmende omk.</v>
      </c>
      <c r="G16" s="43"/>
      <c r="H16" s="16"/>
    </row>
    <row r="17" spans="1:8" ht="19" customHeight="1">
      <c r="A17" s="5" t="s">
        <v>251</v>
      </c>
      <c r="B17" s="43"/>
      <c r="C17" s="43"/>
      <c r="D17" s="43"/>
      <c r="E17" s="43"/>
      <c r="F17" s="43"/>
      <c r="G17" s="43"/>
      <c r="H17" s="16" t="str">
        <f>A17</f>
        <v>Tab ved frasalg af aktiv</v>
      </c>
    </row>
    <row r="18" spans="1:8" ht="19" customHeight="1">
      <c r="A18" s="5" t="s">
        <v>105</v>
      </c>
      <c r="B18" s="43"/>
      <c r="C18" s="43"/>
      <c r="D18" s="43"/>
      <c r="E18" s="43"/>
      <c r="F18" s="43" t="str">
        <f>A18</f>
        <v>Afskrivninger</v>
      </c>
      <c r="G18" s="43"/>
      <c r="H18" s="16"/>
    </row>
    <row r="19" spans="1:8" ht="19" customHeight="1">
      <c r="A19" s="5" t="s">
        <v>102</v>
      </c>
      <c r="B19" s="43"/>
      <c r="C19" s="43"/>
      <c r="D19" s="43"/>
      <c r="E19" s="5" t="str">
        <f>A19</f>
        <v>Salgsprovision</v>
      </c>
      <c r="F19" s="43"/>
      <c r="G19" s="43"/>
      <c r="H19" s="16"/>
    </row>
    <row r="20" spans="1:8" ht="19" customHeight="1">
      <c r="A20" s="5" t="s">
        <v>252</v>
      </c>
      <c r="B20" s="44"/>
      <c r="C20" s="44"/>
      <c r="D20" s="44"/>
      <c r="E20" s="44"/>
      <c r="F20" s="44" t="str">
        <f>A20</f>
        <v>Honorar til advokat</v>
      </c>
      <c r="G20" s="44"/>
      <c r="H20" s="19"/>
    </row>
    <row r="24" spans="1:8" ht="19" customHeight="1">
      <c r="A24" s="5" t="s">
        <v>775</v>
      </c>
    </row>
  </sheetData>
  <mergeCells count="2">
    <mergeCell ref="B5:D5"/>
    <mergeCell ref="E5:H5"/>
  </mergeCells>
  <hyperlinks>
    <hyperlink ref="B1" location="Forside!A1" display="Forside!A1" xr:uid="{00000000-0004-0000-03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zoomScale="80" zoomScaleNormal="80" workbookViewId="0">
      <selection activeCell="E20" sqref="E20"/>
    </sheetView>
  </sheetViews>
  <sheetFormatPr baseColWidth="10" defaultColWidth="10.83203125" defaultRowHeight="16"/>
  <cols>
    <col min="1" max="1" width="25.83203125" style="156" customWidth="1"/>
    <col min="2" max="2" width="10.83203125" style="157"/>
    <col min="3" max="3" width="3.5" style="156" customWidth="1"/>
    <col min="4" max="4" width="29" style="156" customWidth="1"/>
    <col min="5" max="5" width="11" style="156" customWidth="1"/>
    <col min="6" max="6" width="4.83203125" style="156" customWidth="1"/>
    <col min="7" max="7" width="24" style="156" customWidth="1"/>
    <col min="8" max="8" width="3.33203125" style="156" customWidth="1"/>
    <col min="9" max="9" width="10.83203125" style="156"/>
    <col min="10" max="10" width="4.5" style="156" customWidth="1"/>
    <col min="11" max="11" width="28.5" style="156" customWidth="1"/>
    <col min="12" max="12" width="12.6640625" style="156" bestFit="1" customWidth="1"/>
    <col min="13" max="16384" width="10.83203125" style="156"/>
  </cols>
  <sheetData>
    <row r="1" spans="1:17">
      <c r="A1" s="154" t="s">
        <v>287</v>
      </c>
      <c r="B1" s="190" t="s">
        <v>158</v>
      </c>
    </row>
    <row r="3" spans="1:17">
      <c r="A3" s="158" t="s">
        <v>288</v>
      </c>
      <c r="G3" s="158" t="s">
        <v>288</v>
      </c>
    </row>
    <row r="4" spans="1:17">
      <c r="A4" s="158"/>
    </row>
    <row r="5" spans="1:17" ht="18">
      <c r="A5" s="159" t="s">
        <v>289</v>
      </c>
      <c r="B5" s="160" t="s">
        <v>213</v>
      </c>
      <c r="C5" s="160"/>
      <c r="D5" s="161" t="s">
        <v>165</v>
      </c>
      <c r="E5" s="159"/>
      <c r="F5" s="157"/>
      <c r="G5" s="159" t="s">
        <v>289</v>
      </c>
      <c r="H5" s="159"/>
      <c r="I5" s="160" t="s">
        <v>213</v>
      </c>
      <c r="J5" s="160"/>
      <c r="K5" s="161" t="s">
        <v>165</v>
      </c>
      <c r="P5" s="687"/>
      <c r="Q5" s="687"/>
    </row>
    <row r="6" spans="1:17">
      <c r="A6" s="162" t="s">
        <v>262</v>
      </c>
      <c r="B6" s="163">
        <v>300000</v>
      </c>
      <c r="E6" s="159"/>
      <c r="F6" s="157"/>
      <c r="G6" s="162" t="s">
        <v>102</v>
      </c>
      <c r="H6" s="162"/>
      <c r="I6" s="163">
        <v>100000</v>
      </c>
      <c r="M6" s="163"/>
    </row>
    <row r="7" spans="1:17">
      <c r="A7" s="162" t="s">
        <v>105</v>
      </c>
      <c r="B7" s="163">
        <v>100000</v>
      </c>
      <c r="D7" s="164" t="s">
        <v>258</v>
      </c>
      <c r="E7" s="165">
        <f>B11</f>
        <v>7500000</v>
      </c>
      <c r="F7" s="166"/>
      <c r="G7" s="162" t="s">
        <v>215</v>
      </c>
      <c r="H7" s="162"/>
      <c r="I7" s="167">
        <v>450000</v>
      </c>
      <c r="K7" s="164" t="s">
        <v>258</v>
      </c>
      <c r="L7" s="165">
        <f>I16</f>
        <v>10000000</v>
      </c>
      <c r="M7" s="163"/>
    </row>
    <row r="8" spans="1:17">
      <c r="A8" s="162" t="s">
        <v>77</v>
      </c>
      <c r="B8" s="163">
        <v>4000000</v>
      </c>
      <c r="D8" s="168" t="s">
        <v>216</v>
      </c>
      <c r="E8" s="169">
        <f>B8</f>
        <v>4000000</v>
      </c>
      <c r="F8" s="163"/>
      <c r="G8" s="162" t="s">
        <v>293</v>
      </c>
      <c r="H8" s="162"/>
      <c r="I8" s="167">
        <v>1400000</v>
      </c>
      <c r="K8" s="168" t="s">
        <v>216</v>
      </c>
      <c r="L8" s="169">
        <f>I17+I11</f>
        <v>5700000</v>
      </c>
      <c r="M8" s="163"/>
    </row>
    <row r="9" spans="1:17">
      <c r="A9" s="162" t="s">
        <v>293</v>
      </c>
      <c r="B9" s="167">
        <v>1250000</v>
      </c>
      <c r="D9" s="170" t="s">
        <v>217</v>
      </c>
      <c r="E9" s="171">
        <f>B14</f>
        <v>27500</v>
      </c>
      <c r="F9" s="163"/>
      <c r="G9" s="162" t="s">
        <v>260</v>
      </c>
      <c r="H9" s="162"/>
      <c r="I9" s="167">
        <v>600000</v>
      </c>
      <c r="K9" s="170" t="s">
        <v>217</v>
      </c>
      <c r="L9" s="171">
        <f>I6</f>
        <v>100000</v>
      </c>
      <c r="M9" s="163"/>
    </row>
    <row r="10" spans="1:17">
      <c r="A10" s="162" t="s">
        <v>260</v>
      </c>
      <c r="B10" s="167">
        <v>500000</v>
      </c>
      <c r="D10" s="172" t="s">
        <v>219</v>
      </c>
      <c r="E10" s="173">
        <f>E7-E8-E9</f>
        <v>3472500</v>
      </c>
      <c r="F10" s="166"/>
      <c r="G10" s="162" t="s">
        <v>218</v>
      </c>
      <c r="H10" s="162"/>
      <c r="I10" s="163">
        <v>48000</v>
      </c>
      <c r="K10" s="172" t="s">
        <v>219</v>
      </c>
      <c r="L10" s="173">
        <f>L7-L8-L9</f>
        <v>4200000</v>
      </c>
      <c r="M10" s="163"/>
    </row>
    <row r="11" spans="1:17">
      <c r="A11" s="162" t="s">
        <v>253</v>
      </c>
      <c r="B11" s="163">
        <v>7500000</v>
      </c>
      <c r="D11" s="168" t="s">
        <v>294</v>
      </c>
      <c r="E11" s="163">
        <f>B9</f>
        <v>1250000</v>
      </c>
      <c r="F11" s="163"/>
      <c r="G11" s="162" t="s">
        <v>266</v>
      </c>
      <c r="H11" s="162"/>
      <c r="I11" s="163">
        <v>1500000</v>
      </c>
      <c r="K11" s="168" t="s">
        <v>259</v>
      </c>
      <c r="L11" s="163">
        <f>I8</f>
        <v>1400000</v>
      </c>
      <c r="M11" s="163"/>
    </row>
    <row r="12" spans="1:17">
      <c r="A12" s="162" t="s">
        <v>218</v>
      </c>
      <c r="B12" s="163">
        <v>27500</v>
      </c>
      <c r="D12" s="168" t="s">
        <v>267</v>
      </c>
      <c r="E12" s="163">
        <f>B16</f>
        <v>200000</v>
      </c>
      <c r="F12" s="163"/>
      <c r="G12" s="162" t="s">
        <v>80</v>
      </c>
      <c r="H12" s="162"/>
      <c r="I12" s="163">
        <v>66000</v>
      </c>
      <c r="K12" s="168" t="s">
        <v>267</v>
      </c>
      <c r="L12" s="163">
        <f>I7</f>
        <v>450000</v>
      </c>
      <c r="M12" s="163"/>
    </row>
    <row r="13" spans="1:17">
      <c r="A13" s="162" t="s">
        <v>265</v>
      </c>
      <c r="B13" s="163">
        <v>10000</v>
      </c>
      <c r="D13" s="168" t="s">
        <v>263</v>
      </c>
      <c r="E13" s="163">
        <f>B6</f>
        <v>300000</v>
      </c>
      <c r="F13" s="166"/>
      <c r="G13" s="162" t="s">
        <v>105</v>
      </c>
      <c r="H13" s="162"/>
      <c r="I13" s="163">
        <v>75000</v>
      </c>
      <c r="K13" s="168" t="s">
        <v>263</v>
      </c>
      <c r="L13" s="163">
        <f>I19</f>
        <v>340000</v>
      </c>
      <c r="M13" s="163"/>
    </row>
    <row r="14" spans="1:17">
      <c r="A14" s="162" t="s">
        <v>102</v>
      </c>
      <c r="B14" s="163">
        <v>27500</v>
      </c>
      <c r="D14" s="170" t="s">
        <v>261</v>
      </c>
      <c r="E14" s="174">
        <f>B10</f>
        <v>500000</v>
      </c>
      <c r="F14" s="163"/>
      <c r="G14" s="162" t="s">
        <v>248</v>
      </c>
      <c r="H14" s="162"/>
      <c r="I14" s="163">
        <v>11000</v>
      </c>
      <c r="K14" s="170" t="s">
        <v>261</v>
      </c>
      <c r="L14" s="174">
        <f>I9</f>
        <v>600000</v>
      </c>
      <c r="M14" s="163"/>
    </row>
    <row r="15" spans="1:17">
      <c r="A15" s="162" t="s">
        <v>80</v>
      </c>
      <c r="B15" s="163">
        <v>100000</v>
      </c>
      <c r="D15" s="175" t="s">
        <v>220</v>
      </c>
      <c r="E15" s="176">
        <f>E10-E11-E12-E13-E14</f>
        <v>1222500</v>
      </c>
      <c r="F15" s="166"/>
      <c r="G15" s="162" t="s">
        <v>254</v>
      </c>
      <c r="H15" s="162"/>
      <c r="I15" s="163">
        <v>328500</v>
      </c>
      <c r="K15" s="175" t="s">
        <v>220</v>
      </c>
      <c r="L15" s="176">
        <f>L10-SUM(L11:L14)</f>
        <v>1410000</v>
      </c>
    </row>
    <row r="16" spans="1:17">
      <c r="A16" s="162" t="s">
        <v>215</v>
      </c>
      <c r="B16" s="167">
        <v>200000</v>
      </c>
      <c r="D16" s="170" t="s">
        <v>221</v>
      </c>
      <c r="E16" s="174">
        <f>B7</f>
        <v>100000</v>
      </c>
      <c r="F16" s="167"/>
      <c r="G16" s="162" t="s">
        <v>162</v>
      </c>
      <c r="H16" s="162"/>
      <c r="I16" s="163">
        <v>10000000</v>
      </c>
      <c r="K16" s="170" t="s">
        <v>221</v>
      </c>
      <c r="L16" s="174">
        <f>I13</f>
        <v>75000</v>
      </c>
    </row>
    <row r="17" spans="1:12">
      <c r="A17" s="162" t="s">
        <v>254</v>
      </c>
      <c r="B17" s="167">
        <v>260000</v>
      </c>
      <c r="D17" s="172" t="s">
        <v>222</v>
      </c>
      <c r="E17" s="173">
        <f>E15-E16</f>
        <v>1122500</v>
      </c>
      <c r="F17" s="167"/>
      <c r="G17" s="162" t="s">
        <v>246</v>
      </c>
      <c r="H17" s="162"/>
      <c r="I17" s="163">
        <v>4200000</v>
      </c>
      <c r="K17" s="172" t="s">
        <v>222</v>
      </c>
      <c r="L17" s="173">
        <f>L15-L16</f>
        <v>1335000</v>
      </c>
    </row>
    <row r="18" spans="1:12">
      <c r="A18" s="159"/>
      <c r="D18" s="168" t="s">
        <v>264</v>
      </c>
      <c r="E18" s="163">
        <f>B12</f>
        <v>27500</v>
      </c>
      <c r="F18" s="166"/>
      <c r="G18" s="162" t="s">
        <v>250</v>
      </c>
      <c r="H18" s="162"/>
      <c r="I18" s="163">
        <v>8000</v>
      </c>
      <c r="K18" s="168" t="s">
        <v>264</v>
      </c>
      <c r="L18" s="163">
        <f>I10+I18</f>
        <v>56000</v>
      </c>
    </row>
    <row r="19" spans="1:12">
      <c r="D19" s="170" t="s">
        <v>256</v>
      </c>
      <c r="E19" s="174">
        <f>B15+B13</f>
        <v>110000</v>
      </c>
      <c r="F19" s="166"/>
      <c r="G19" s="162" t="s">
        <v>214</v>
      </c>
      <c r="H19" s="162"/>
      <c r="I19" s="163">
        <v>340000</v>
      </c>
      <c r="K19" s="170" t="s">
        <v>256</v>
      </c>
      <c r="L19" s="174">
        <f>I12+I14</f>
        <v>77000</v>
      </c>
    </row>
    <row r="20" spans="1:12">
      <c r="D20" s="172" t="s">
        <v>257</v>
      </c>
      <c r="E20" s="173">
        <f>E17+E18-E19</f>
        <v>1040000</v>
      </c>
      <c r="G20" s="159"/>
      <c r="H20" s="159"/>
      <c r="I20" s="157"/>
      <c r="K20" s="172" t="s">
        <v>257</v>
      </c>
      <c r="L20" s="173">
        <f>L17+L18-L19</f>
        <v>1314000</v>
      </c>
    </row>
    <row r="21" spans="1:12">
      <c r="C21" s="173"/>
      <c r="D21" s="170" t="s">
        <v>296</v>
      </c>
      <c r="E21" s="174">
        <f>B17</f>
        <v>260000</v>
      </c>
      <c r="G21" s="159"/>
      <c r="H21" s="159"/>
      <c r="I21" s="157"/>
      <c r="K21" s="170" t="s">
        <v>296</v>
      </c>
      <c r="L21" s="174">
        <f>I15</f>
        <v>328500</v>
      </c>
    </row>
    <row r="22" spans="1:12">
      <c r="D22" s="172" t="s">
        <v>223</v>
      </c>
      <c r="E22" s="173">
        <f>E20-E21</f>
        <v>780000</v>
      </c>
      <c r="H22" s="159"/>
      <c r="I22" s="157"/>
      <c r="K22" s="172" t="s">
        <v>223</v>
      </c>
      <c r="L22" s="173">
        <f>L20-L21</f>
        <v>985500</v>
      </c>
    </row>
    <row r="23" spans="1:12">
      <c r="H23" s="159"/>
      <c r="I23" s="157"/>
    </row>
    <row r="24" spans="1:12">
      <c r="C24" s="177"/>
      <c r="J24" s="163"/>
    </row>
    <row r="25" spans="1:12">
      <c r="J25" s="163"/>
    </row>
    <row r="26" spans="1:12">
      <c r="G26" s="162"/>
      <c r="H26" s="162"/>
      <c r="I26" s="163"/>
      <c r="J26" s="173"/>
    </row>
    <row r="27" spans="1:12">
      <c r="C27" s="173"/>
      <c r="J27" s="163"/>
    </row>
    <row r="28" spans="1:12">
      <c r="J28" s="163"/>
    </row>
    <row r="29" spans="1:12">
      <c r="C29" s="173"/>
      <c r="G29" s="178"/>
      <c r="J29" s="163"/>
    </row>
    <row r="30" spans="1:12">
      <c r="G30" s="178"/>
      <c r="J30" s="163"/>
    </row>
    <row r="31" spans="1:12">
      <c r="G31" s="178"/>
      <c r="J31" s="163"/>
    </row>
    <row r="32" spans="1:12">
      <c r="C32" s="173"/>
      <c r="G32" s="178"/>
      <c r="J32" s="173"/>
    </row>
    <row r="33" spans="7:9">
      <c r="G33" s="178"/>
    </row>
    <row r="34" spans="7:9">
      <c r="G34" s="178"/>
    </row>
    <row r="35" spans="7:9">
      <c r="G35" s="178"/>
    </row>
    <row r="36" spans="7:9">
      <c r="G36" s="178"/>
    </row>
    <row r="37" spans="7:9">
      <c r="G37" s="178"/>
    </row>
    <row r="38" spans="7:9">
      <c r="G38" s="178"/>
      <c r="I38" s="163"/>
    </row>
    <row r="39" spans="7:9">
      <c r="G39" s="178"/>
    </row>
    <row r="40" spans="7:9">
      <c r="G40" s="178"/>
    </row>
    <row r="41" spans="7:9">
      <c r="G41" s="178"/>
    </row>
    <row r="42" spans="7:9">
      <c r="G42" s="178"/>
    </row>
    <row r="43" spans="7:9">
      <c r="G43" s="178"/>
    </row>
  </sheetData>
  <mergeCells count="1">
    <mergeCell ref="P5:Q5"/>
  </mergeCells>
  <hyperlinks>
    <hyperlink ref="B1" location="Forside!A1" display="Forside!A1" xr:uid="{00000000-0004-0000-0400-000000000000}"/>
  </hyperlinks>
  <pageMargins left="0.25" right="0.25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6"/>
  <sheetViews>
    <sheetView topLeftCell="A12" zoomScale="80" zoomScaleNormal="80" workbookViewId="0">
      <selection activeCell="B44" sqref="B44"/>
    </sheetView>
  </sheetViews>
  <sheetFormatPr baseColWidth="10" defaultColWidth="18.33203125" defaultRowHeight="19" customHeight="1"/>
  <cols>
    <col min="1" max="1" width="28.33203125" style="154" customWidth="1"/>
    <col min="2" max="2" width="24" style="154" bestFit="1" customWidth="1"/>
    <col min="3" max="3" width="19.5" style="154" customWidth="1"/>
    <col min="4" max="4" width="21.33203125" style="154" bestFit="1" customWidth="1"/>
    <col min="5" max="5" width="26.5" style="154" customWidth="1"/>
    <col min="6" max="6" width="25.5" style="154" bestFit="1" customWidth="1"/>
    <col min="7" max="16384" width="18.33203125" style="154"/>
  </cols>
  <sheetData>
    <row r="1" spans="1:7" ht="16">
      <c r="A1" s="154" t="s">
        <v>291</v>
      </c>
      <c r="B1" s="190" t="s">
        <v>158</v>
      </c>
    </row>
    <row r="2" spans="1:7" ht="16">
      <c r="A2" s="129"/>
      <c r="C2" s="191"/>
    </row>
    <row r="3" spans="1:7" ht="19" customHeight="1">
      <c r="A3" s="204" t="s">
        <v>692</v>
      </c>
      <c r="C3" s="191"/>
    </row>
    <row r="4" spans="1:7" ht="19" customHeight="1">
      <c r="A4" s="204"/>
      <c r="C4" s="191"/>
    </row>
    <row r="5" spans="1:7" ht="19" customHeight="1">
      <c r="A5" s="154" t="s">
        <v>162</v>
      </c>
      <c r="B5" s="154" t="s">
        <v>189</v>
      </c>
      <c r="C5" s="154" t="s">
        <v>190</v>
      </c>
      <c r="D5" s="154" t="s">
        <v>276</v>
      </c>
    </row>
    <row r="6" spans="1:7" ht="19" customHeight="1">
      <c r="A6" s="154" t="s">
        <v>153</v>
      </c>
      <c r="B6" s="154" t="s">
        <v>191</v>
      </c>
      <c r="C6" s="154" t="s">
        <v>28</v>
      </c>
      <c r="D6" s="154" t="s">
        <v>277</v>
      </c>
    </row>
    <row r="8" spans="1:7" ht="19" customHeight="1">
      <c r="A8" s="193" t="s">
        <v>192</v>
      </c>
      <c r="B8" s="193" t="s">
        <v>193</v>
      </c>
      <c r="C8" s="193" t="s">
        <v>717</v>
      </c>
      <c r="D8" s="193" t="s">
        <v>192</v>
      </c>
      <c r="E8" s="193" t="s">
        <v>193</v>
      </c>
      <c r="F8" s="193" t="s">
        <v>717</v>
      </c>
      <c r="G8" s="194"/>
    </row>
    <row r="9" spans="1:7" ht="19" customHeight="1">
      <c r="A9" s="195" t="str">
        <f>C5</f>
        <v>Omsætningsaktiv</v>
      </c>
      <c r="B9" s="195" t="s">
        <v>25</v>
      </c>
      <c r="C9" s="195">
        <v>500000</v>
      </c>
      <c r="D9" s="196" t="str">
        <f>A6</f>
        <v>Omkostninger</v>
      </c>
      <c r="E9" s="195" t="s">
        <v>293</v>
      </c>
      <c r="F9" s="195">
        <v>200000</v>
      </c>
    </row>
    <row r="10" spans="1:7" ht="19" customHeight="1">
      <c r="A10" s="195" t="str">
        <f>D6</f>
        <v>Kortfristet gæld</v>
      </c>
      <c r="B10" s="195" t="s">
        <v>194</v>
      </c>
      <c r="C10" s="195">
        <v>450000</v>
      </c>
      <c r="D10" s="196" t="str">
        <f>C6</f>
        <v>Egenkapital</v>
      </c>
      <c r="E10" s="195" t="s">
        <v>227</v>
      </c>
      <c r="F10" s="195">
        <v>500000</v>
      </c>
    </row>
    <row r="11" spans="1:7" ht="19" customHeight="1">
      <c r="A11" s="195" t="str">
        <f>A6</f>
        <v>Omkostninger</v>
      </c>
      <c r="B11" s="195" t="s">
        <v>260</v>
      </c>
      <c r="C11" s="195">
        <v>175000</v>
      </c>
      <c r="D11" s="196" t="str">
        <f>B5</f>
        <v>Immaterielt anlægsaktiv</v>
      </c>
      <c r="E11" s="195" t="s">
        <v>270</v>
      </c>
      <c r="F11" s="195">
        <v>100000</v>
      </c>
    </row>
    <row r="12" spans="1:7" ht="19" customHeight="1">
      <c r="A12" s="195" t="str">
        <f>A6</f>
        <v>Omkostninger</v>
      </c>
      <c r="B12" s="195" t="s">
        <v>24</v>
      </c>
      <c r="C12" s="195">
        <v>25000</v>
      </c>
      <c r="D12" s="196" t="str">
        <f>B6</f>
        <v>Materielt anlægsaktiv</v>
      </c>
      <c r="E12" s="195" t="s">
        <v>29</v>
      </c>
      <c r="F12" s="195">
        <v>150000</v>
      </c>
    </row>
    <row r="13" spans="1:7" ht="19" customHeight="1">
      <c r="A13" s="195" t="str">
        <f>A6</f>
        <v>Omkostninger</v>
      </c>
      <c r="B13" s="195" t="s">
        <v>77</v>
      </c>
      <c r="C13" s="195">
        <v>650000</v>
      </c>
      <c r="D13" s="154" t="s">
        <v>162</v>
      </c>
      <c r="E13" s="195" t="s">
        <v>718</v>
      </c>
      <c r="F13" s="195">
        <v>1600000</v>
      </c>
    </row>
    <row r="14" spans="1:7" ht="19" customHeight="1">
      <c r="A14" s="195" t="str">
        <f>D6</f>
        <v>Kortfristet gæld</v>
      </c>
      <c r="B14" s="195" t="s">
        <v>84</v>
      </c>
      <c r="C14" s="195">
        <v>200000</v>
      </c>
      <c r="D14" s="196" t="str">
        <f>D5</f>
        <v>Langfristet gæld</v>
      </c>
      <c r="E14" s="195" t="s">
        <v>195</v>
      </c>
      <c r="F14" s="195">
        <v>800000</v>
      </c>
    </row>
    <row r="15" spans="1:7" ht="19" customHeight="1">
      <c r="A15" s="195" t="str">
        <f>C5</f>
        <v>Omsætningsaktiv</v>
      </c>
      <c r="B15" s="195" t="s">
        <v>196</v>
      </c>
      <c r="C15" s="195">
        <v>400000</v>
      </c>
      <c r="D15" s="196" t="str">
        <f>D6</f>
        <v>Kortfristet gæld</v>
      </c>
      <c r="E15" s="195" t="s">
        <v>269</v>
      </c>
      <c r="F15" s="195">
        <v>50000</v>
      </c>
    </row>
    <row r="16" spans="1:7" ht="19" customHeight="1">
      <c r="A16" s="195" t="str">
        <f>B6</f>
        <v>Materielt anlægsaktiv</v>
      </c>
      <c r="B16" s="195" t="s">
        <v>81</v>
      </c>
      <c r="C16" s="195">
        <v>75000</v>
      </c>
      <c r="D16" s="196" t="str">
        <f>C5</f>
        <v>Omsætningsaktiv</v>
      </c>
      <c r="E16" s="195" t="s">
        <v>31</v>
      </c>
      <c r="F16" s="195">
        <v>135000</v>
      </c>
    </row>
    <row r="17" spans="1:25" ht="19" customHeight="1">
      <c r="A17" s="590" t="str">
        <f>C5</f>
        <v>Omsætningsaktiv</v>
      </c>
      <c r="B17" s="590" t="s">
        <v>228</v>
      </c>
      <c r="C17" s="590">
        <v>40000</v>
      </c>
      <c r="D17" s="591" t="str">
        <f>B6</f>
        <v>Materielt anlægsaktiv</v>
      </c>
      <c r="E17" s="590" t="s">
        <v>275</v>
      </c>
      <c r="F17" s="590">
        <v>1000000</v>
      </c>
    </row>
    <row r="18" spans="1:25" s="593" customFormat="1" ht="19" customHeight="1">
      <c r="A18" s="592"/>
      <c r="B18" s="195" t="s">
        <v>719</v>
      </c>
      <c r="C18" s="593">
        <v>100000</v>
      </c>
      <c r="D18" s="196" t="str">
        <f>C6</f>
        <v>Egenkapital</v>
      </c>
      <c r="E18" s="195" t="s">
        <v>720</v>
      </c>
      <c r="F18" s="594">
        <v>-50000</v>
      </c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20" spans="1:25" ht="19" customHeight="1">
      <c r="A20" s="204" t="s">
        <v>197</v>
      </c>
    </row>
    <row r="21" spans="1:25" ht="19" customHeight="1">
      <c r="A21" s="192"/>
    </row>
    <row r="22" spans="1:25" ht="19" customHeight="1">
      <c r="A22" s="197" t="s">
        <v>170</v>
      </c>
    </row>
    <row r="23" spans="1:25" ht="19" customHeight="1" thickBot="1"/>
    <row r="24" spans="1:25" ht="19" customHeight="1">
      <c r="A24" s="198" t="s">
        <v>26</v>
      </c>
      <c r="B24" s="199"/>
      <c r="C24" s="200" t="s">
        <v>27</v>
      </c>
      <c r="D24" s="201"/>
      <c r="F24" s="202" t="s">
        <v>169</v>
      </c>
    </row>
    <row r="25" spans="1:25" ht="19" customHeight="1" thickBot="1">
      <c r="A25" s="203" t="s">
        <v>198</v>
      </c>
      <c r="C25" s="204" t="s">
        <v>5</v>
      </c>
      <c r="D25" s="205"/>
      <c r="E25" s="132"/>
      <c r="F25" s="206"/>
      <c r="G25" s="132"/>
    </row>
    <row r="26" spans="1:25" ht="19" customHeight="1">
      <c r="A26" s="153" t="str" cm="1">
        <f t="array" ref="A26:B26">E11:F11</f>
        <v>Patentrettighed</v>
      </c>
      <c r="B26" s="154">
        <v>100000</v>
      </c>
      <c r="C26" s="154" t="str" cm="1">
        <f t="array" ref="C26:D26">E10:F10</f>
        <v>Indskudt kapital</v>
      </c>
      <c r="D26" s="205">
        <v>500000</v>
      </c>
      <c r="E26" s="132"/>
      <c r="F26" s="207" t="str">
        <f>E13</f>
        <v>Omsætning</v>
      </c>
      <c r="G26" s="208">
        <f>F13</f>
        <v>1600000</v>
      </c>
    </row>
    <row r="27" spans="1:25" ht="19" customHeight="1">
      <c r="C27" s="154" t="str" cm="1">
        <f t="array" ref="C27:D27">F35:G35</f>
        <v>ÅRETS RESULTAT</v>
      </c>
      <c r="D27" s="209">
        <v>550000</v>
      </c>
      <c r="E27" s="132"/>
      <c r="F27" s="153" t="str">
        <f>B13</f>
        <v>Vareforbrug</v>
      </c>
      <c r="G27" s="205">
        <f>C13</f>
        <v>650000</v>
      </c>
    </row>
    <row r="28" spans="1:25" ht="19" customHeight="1">
      <c r="A28" s="203" t="s">
        <v>199</v>
      </c>
      <c r="C28" s="153" t="str" cm="1">
        <f t="array" ref="C28:D28">E18:F18</f>
        <v>Udbytte (fragår i egenkapital)</v>
      </c>
      <c r="D28" s="154">
        <v>-50000</v>
      </c>
      <c r="E28" s="132"/>
      <c r="F28" s="211" t="s">
        <v>271</v>
      </c>
      <c r="G28" s="212">
        <f>G26-G27</f>
        <v>950000</v>
      </c>
    </row>
    <row r="29" spans="1:25" ht="19" customHeight="1">
      <c r="A29" s="153" t="str" cm="1">
        <f t="array" ref="A29:B29">E17:F17</f>
        <v>Ejendom</v>
      </c>
      <c r="B29" s="154">
        <v>1000000</v>
      </c>
      <c r="C29" s="210" t="s">
        <v>200</v>
      </c>
      <c r="D29" s="205">
        <f>SUM(D26:D28)</f>
        <v>1000000</v>
      </c>
      <c r="E29" s="132"/>
      <c r="F29" s="153" t="str">
        <f>B11</f>
        <v>Øvrige faste omkostninger</v>
      </c>
      <c r="G29" s="205">
        <f>C11</f>
        <v>175000</v>
      </c>
    </row>
    <row r="30" spans="1:25" ht="19" customHeight="1">
      <c r="A30" s="153" t="str" cm="1">
        <f t="array" ref="A30:B30">B16:C16</f>
        <v>Inventar</v>
      </c>
      <c r="B30" s="154">
        <v>75000</v>
      </c>
      <c r="E30" s="132"/>
      <c r="F30" s="153" t="str">
        <f>E9</f>
        <v>Personaleomkostninger</v>
      </c>
      <c r="G30" s="205">
        <f>F9</f>
        <v>200000</v>
      </c>
    </row>
    <row r="31" spans="1:25" ht="19" customHeight="1">
      <c r="A31" s="153" t="str" cm="1">
        <f t="array" ref="A31:B31">E12:F12</f>
        <v>Varebil</v>
      </c>
      <c r="B31" s="154">
        <v>150000</v>
      </c>
      <c r="C31" s="204"/>
      <c r="D31" s="205"/>
      <c r="E31" s="132"/>
      <c r="F31" s="211" t="s">
        <v>201</v>
      </c>
      <c r="G31" s="212">
        <f>G28-G29-G30</f>
        <v>575000</v>
      </c>
    </row>
    <row r="32" spans="1:25" ht="19" customHeight="1">
      <c r="A32" s="153"/>
      <c r="C32" s="204" t="s">
        <v>163</v>
      </c>
      <c r="D32" s="205"/>
      <c r="E32" s="132"/>
      <c r="F32" s="153" t="s">
        <v>202</v>
      </c>
      <c r="G32" s="205"/>
    </row>
    <row r="33" spans="1:7" ht="19" customHeight="1">
      <c r="A33" s="203" t="s">
        <v>203</v>
      </c>
      <c r="C33" s="154" t="str" cm="1">
        <f t="array" ref="C33:D33">E14:F14</f>
        <v>Realkreditlån</v>
      </c>
      <c r="D33" s="205">
        <v>800000</v>
      </c>
      <c r="E33" s="132"/>
      <c r="F33" s="211" t="s">
        <v>184</v>
      </c>
      <c r="G33" s="212">
        <f>G31-G32</f>
        <v>575000</v>
      </c>
    </row>
    <row r="34" spans="1:7" ht="19" customHeight="1" thickBot="1">
      <c r="A34" s="153" t="str" cm="1">
        <f t="array" ref="A34:B34">B18:C18</f>
        <v>Aktier i datterselskab</v>
      </c>
      <c r="B34" s="154">
        <v>100000</v>
      </c>
      <c r="D34" s="205"/>
      <c r="E34" s="132"/>
      <c r="F34" s="213" t="str">
        <f>B12</f>
        <v>Renteomkostninger</v>
      </c>
      <c r="G34" s="214">
        <f>C12</f>
        <v>25000</v>
      </c>
    </row>
    <row r="35" spans="1:7" ht="19" customHeight="1">
      <c r="D35" s="205"/>
      <c r="E35" s="132"/>
      <c r="F35" s="215" t="s">
        <v>205</v>
      </c>
      <c r="G35" s="216">
        <f>G33-G34</f>
        <v>550000</v>
      </c>
    </row>
    <row r="36" spans="1:7" ht="19" customHeight="1">
      <c r="A36" s="217" t="s">
        <v>206</v>
      </c>
      <c r="B36" s="194">
        <f>SUM(B26:B35)</f>
        <v>1425000</v>
      </c>
      <c r="C36" s="204" t="s">
        <v>164</v>
      </c>
      <c r="D36" s="205"/>
      <c r="E36" s="132"/>
    </row>
    <row r="37" spans="1:7" ht="19" customHeight="1">
      <c r="A37" s="153"/>
      <c r="C37" s="154" t="str" cm="1">
        <f t="array" ref="C37:D37">B10:C10</f>
        <v>Leverandørgæld</v>
      </c>
      <c r="D37" s="205">
        <v>450000</v>
      </c>
      <c r="E37" s="132"/>
    </row>
    <row r="38" spans="1:7" ht="19" customHeight="1">
      <c r="A38" s="203" t="s">
        <v>721</v>
      </c>
      <c r="C38" s="154" t="str" cm="1">
        <f t="array" ref="C38:D38">B14:C14</f>
        <v>Kassekredit</v>
      </c>
      <c r="D38" s="205">
        <v>200000</v>
      </c>
      <c r="E38" s="132"/>
    </row>
    <row r="39" spans="1:7" ht="19" customHeight="1">
      <c r="A39" s="153" t="str" cm="1">
        <f t="array" ref="A39:B39">B9:C9</f>
        <v>Varelager</v>
      </c>
      <c r="B39" s="154">
        <v>500000</v>
      </c>
      <c r="C39" s="154" t="str" cm="1">
        <f t="array" ref="C39:D39">E15:F15</f>
        <v>Skyldigt udbytte</v>
      </c>
      <c r="D39" s="205">
        <v>50000</v>
      </c>
      <c r="E39" s="132"/>
    </row>
    <row r="40" spans="1:7" ht="19" customHeight="1">
      <c r="A40" s="153" t="str" cm="1">
        <f t="array" ref="A40:B40">B15:C15</f>
        <v>Tilgodehavender fra kunder</v>
      </c>
      <c r="B40" s="154">
        <v>400000</v>
      </c>
      <c r="D40" s="205"/>
      <c r="E40" s="132"/>
    </row>
    <row r="41" spans="1:7" ht="19" customHeight="1">
      <c r="A41" s="153" t="str" cm="1">
        <f t="array" ref="A41:B41">E16:F16</f>
        <v>Bankindestående</v>
      </c>
      <c r="B41" s="154">
        <v>135000</v>
      </c>
      <c r="D41" s="205"/>
      <c r="E41" s="132"/>
    </row>
    <row r="42" spans="1:7" ht="19" customHeight="1">
      <c r="A42" s="153" t="str" cm="1">
        <f t="array" ref="A42:B42">B17:C17</f>
        <v>Kassebeholdning</v>
      </c>
      <c r="B42" s="154">
        <v>40000</v>
      </c>
      <c r="D42" s="205"/>
      <c r="E42" s="132"/>
    </row>
    <row r="43" spans="1:7" ht="19" customHeight="1">
      <c r="D43" s="205"/>
      <c r="E43" s="132"/>
    </row>
    <row r="44" spans="1:7" ht="19" customHeight="1">
      <c r="A44" s="217" t="s">
        <v>207</v>
      </c>
      <c r="B44" s="194">
        <f>SUM(B37:B42)</f>
        <v>1075000</v>
      </c>
      <c r="C44" s="210" t="s">
        <v>208</v>
      </c>
      <c r="D44" s="212">
        <f>SUM(D33:D43)</f>
        <v>1500000</v>
      </c>
    </row>
    <row r="45" spans="1:7" ht="19" customHeight="1" thickBot="1">
      <c r="A45" s="213"/>
      <c r="B45" s="218"/>
      <c r="C45" s="219"/>
      <c r="D45" s="214"/>
    </row>
    <row r="46" spans="1:7" ht="19" customHeight="1">
      <c r="A46" s="215" t="s">
        <v>209</v>
      </c>
      <c r="B46" s="215">
        <f>B44+B36</f>
        <v>2500000</v>
      </c>
      <c r="C46" s="215" t="s">
        <v>210</v>
      </c>
      <c r="D46" s="215">
        <f>D44+D29</f>
        <v>2500000</v>
      </c>
    </row>
  </sheetData>
  <hyperlinks>
    <hyperlink ref="B1" location="Forside!A1" display="Forside!A1" xr:uid="{00000000-0004-0000-0500-000000000000}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zoomScale="80" zoomScaleNormal="80" workbookViewId="0">
      <selection activeCell="A28" sqref="A28:A30"/>
    </sheetView>
  </sheetViews>
  <sheetFormatPr baseColWidth="10" defaultColWidth="18.5" defaultRowHeight="19" customHeight="1"/>
  <cols>
    <col min="1" max="1" width="28.5" style="125" customWidth="1"/>
    <col min="2" max="2" width="10.5" style="125" customWidth="1"/>
    <col min="3" max="3" width="29" style="125" customWidth="1"/>
    <col min="4" max="4" width="11" style="125" customWidth="1"/>
    <col min="5" max="5" width="17.33203125" style="125" bestFit="1" customWidth="1"/>
    <col min="6" max="6" width="24" style="125" bestFit="1" customWidth="1"/>
    <col min="7" max="7" width="12.5" style="125" customWidth="1"/>
    <col min="8" max="16384" width="18.5" style="125"/>
  </cols>
  <sheetData>
    <row r="1" spans="1:7" ht="19" customHeight="1">
      <c r="A1" s="125" t="s">
        <v>292</v>
      </c>
      <c r="B1" s="190" t="s">
        <v>158</v>
      </c>
    </row>
    <row r="2" spans="1:7" ht="19" customHeight="1">
      <c r="A2" s="595" t="s">
        <v>295</v>
      </c>
      <c r="B2" s="94"/>
    </row>
    <row r="3" spans="1:7" ht="19" customHeight="1">
      <c r="B3" s="49"/>
      <c r="C3" s="49"/>
      <c r="D3" s="49"/>
    </row>
    <row r="4" spans="1:7" ht="19" customHeight="1">
      <c r="A4" s="183" t="s">
        <v>152</v>
      </c>
      <c r="B4" s="27">
        <v>1950</v>
      </c>
      <c r="C4" s="183" t="s">
        <v>268</v>
      </c>
      <c r="D4" s="186">
        <v>70</v>
      </c>
      <c r="E4" s="183" t="s">
        <v>80</v>
      </c>
      <c r="F4" s="28">
        <v>65</v>
      </c>
      <c r="G4" s="251"/>
    </row>
    <row r="5" spans="1:7" ht="19" customHeight="1">
      <c r="A5" s="184" t="s">
        <v>44</v>
      </c>
      <c r="B5" s="252">
        <v>45</v>
      </c>
      <c r="C5" s="184" t="s">
        <v>227</v>
      </c>
      <c r="D5" s="154">
        <v>2590</v>
      </c>
      <c r="E5" s="184" t="s">
        <v>84</v>
      </c>
      <c r="F5" s="29">
        <v>70</v>
      </c>
      <c r="G5" s="251"/>
    </row>
    <row r="6" spans="1:7" ht="19" customHeight="1">
      <c r="A6" s="184" t="s">
        <v>25</v>
      </c>
      <c r="B6" s="252">
        <v>600</v>
      </c>
      <c r="C6" s="184" t="s">
        <v>260</v>
      </c>
      <c r="D6" s="154">
        <v>180</v>
      </c>
      <c r="E6" s="184" t="s">
        <v>45</v>
      </c>
      <c r="F6" s="29">
        <v>90</v>
      </c>
      <c r="G6" s="251"/>
    </row>
    <row r="7" spans="1:7" ht="19" customHeight="1">
      <c r="A7" s="184" t="s">
        <v>16</v>
      </c>
      <c r="B7" s="252">
        <v>320</v>
      </c>
      <c r="C7" s="184" t="s">
        <v>293</v>
      </c>
      <c r="D7" s="154">
        <v>450</v>
      </c>
      <c r="E7" s="184" t="s">
        <v>194</v>
      </c>
      <c r="F7" s="29">
        <v>125</v>
      </c>
      <c r="G7" s="251"/>
    </row>
    <row r="8" spans="1:7" ht="19" customHeight="1">
      <c r="A8" s="184" t="s">
        <v>46</v>
      </c>
      <c r="B8" s="252">
        <v>450</v>
      </c>
      <c r="C8" s="184" t="s">
        <v>274</v>
      </c>
      <c r="D8" s="154">
        <v>1200</v>
      </c>
      <c r="E8" s="184" t="s">
        <v>33</v>
      </c>
      <c r="F8" s="29">
        <v>420</v>
      </c>
      <c r="G8" s="251"/>
    </row>
    <row r="9" spans="1:7" ht="19" customHeight="1">
      <c r="A9" s="184" t="s">
        <v>19</v>
      </c>
      <c r="B9" s="252">
        <v>940</v>
      </c>
      <c r="C9" s="184" t="s">
        <v>47</v>
      </c>
      <c r="D9" s="154">
        <v>650</v>
      </c>
      <c r="E9" s="184" t="s">
        <v>269</v>
      </c>
      <c r="F9" s="29">
        <v>90</v>
      </c>
      <c r="G9" s="251"/>
    </row>
    <row r="10" spans="1:7" ht="19" customHeight="1">
      <c r="A10" s="185" t="s">
        <v>720</v>
      </c>
      <c r="B10" s="31">
        <v>-90</v>
      </c>
      <c r="C10" s="185" t="s">
        <v>273</v>
      </c>
      <c r="D10" s="187">
        <v>800</v>
      </c>
      <c r="E10" s="185" t="s">
        <v>48</v>
      </c>
      <c r="F10" s="32">
        <v>1545</v>
      </c>
      <c r="G10" s="251"/>
    </row>
    <row r="11" spans="1:7" ht="19" customHeight="1">
      <c r="A11" s="154"/>
      <c r="B11" s="252"/>
      <c r="C11" s="154"/>
      <c r="D11" s="154"/>
      <c r="E11" s="154"/>
      <c r="F11" s="252"/>
      <c r="G11" s="252"/>
    </row>
    <row r="12" spans="1:7" ht="19" customHeight="1">
      <c r="A12" s="50" t="s">
        <v>170</v>
      </c>
      <c r="F12" s="50" t="s">
        <v>169</v>
      </c>
    </row>
    <row r="13" spans="1:7" ht="19" customHeight="1">
      <c r="A13" s="31" t="s">
        <v>26</v>
      </c>
      <c r="B13" s="40" t="s">
        <v>49</v>
      </c>
      <c r="C13" s="252" t="s">
        <v>27</v>
      </c>
      <c r="D13" s="25" t="s">
        <v>49</v>
      </c>
      <c r="F13" s="22"/>
    </row>
    <row r="14" spans="1:7" ht="19" customHeight="1">
      <c r="A14" s="48" t="s">
        <v>50</v>
      </c>
      <c r="B14" s="39"/>
      <c r="C14" s="48" t="s">
        <v>5</v>
      </c>
      <c r="D14" s="28"/>
      <c r="F14" s="26" t="str" cm="1">
        <f t="array" ref="F14:G14">A4:B4</f>
        <v>Omsætning</v>
      </c>
      <c r="G14" s="28">
        <v>1950</v>
      </c>
    </row>
    <row r="15" spans="1:7" ht="19" customHeight="1">
      <c r="A15" s="251" t="s">
        <v>51</v>
      </c>
      <c r="B15" s="252"/>
      <c r="C15" s="251" t="str" cm="1">
        <f t="array" ref="C15:D15">F23:G23</f>
        <v>ÅRETS RESULTAT</v>
      </c>
      <c r="D15" s="29">
        <v>715</v>
      </c>
      <c r="F15" s="251" t="str" cm="1">
        <f t="array" ref="F15:G15">A8:B8</f>
        <v>Vareforbrug</v>
      </c>
      <c r="G15" s="29">
        <v>450</v>
      </c>
    </row>
    <row r="16" spans="1:7" ht="19" customHeight="1">
      <c r="A16" s="251" t="str" cm="1">
        <f t="array" ref="A16:B16">C9:D9</f>
        <v>Produktrettigheder til BlaBla®</v>
      </c>
      <c r="B16" s="252">
        <v>650</v>
      </c>
      <c r="C16" s="251" t="str" cm="1">
        <f t="array" ref="C16:D16">C5:D5</f>
        <v>Indskudt kapital</v>
      </c>
      <c r="D16" s="29">
        <v>2590</v>
      </c>
      <c r="F16" s="51" t="s">
        <v>271</v>
      </c>
      <c r="G16" s="55">
        <f>G14-G15</f>
        <v>1500</v>
      </c>
    </row>
    <row r="17" spans="1:7" ht="19" customHeight="1">
      <c r="A17" s="251"/>
      <c r="B17" s="252"/>
      <c r="C17" s="251" t="str" cm="1">
        <f t="array" ref="C17:D17">A10:B10</f>
        <v>Udbytte (fragår i egenkapital)</v>
      </c>
      <c r="D17" s="29">
        <v>-90</v>
      </c>
      <c r="F17" s="251" t="str" cm="1">
        <f t="array" ref="F17:G17">C6:D6</f>
        <v>Øvrige faste omkostninger</v>
      </c>
      <c r="G17" s="29">
        <v>180</v>
      </c>
    </row>
    <row r="18" spans="1:7" ht="19" customHeight="1">
      <c r="A18" s="251" t="s">
        <v>40</v>
      </c>
      <c r="B18" s="252"/>
      <c r="F18" s="251" t="str" cm="1">
        <f t="array" ref="F18:G18">C7:D7</f>
        <v>Personaleomkostninger</v>
      </c>
      <c r="G18" s="29">
        <v>450</v>
      </c>
    </row>
    <row r="19" spans="1:7" ht="19" customHeight="1">
      <c r="A19" s="251" t="str" cm="1">
        <f t="array" ref="A19:B19">A9:B9</f>
        <v>Produktionsanlæg</v>
      </c>
      <c r="B19" s="252">
        <v>940</v>
      </c>
      <c r="C19" s="51" t="s">
        <v>6</v>
      </c>
      <c r="D19" s="29"/>
      <c r="F19" s="51" t="s">
        <v>201</v>
      </c>
      <c r="G19" s="55">
        <f>G16-G17-G18</f>
        <v>870</v>
      </c>
    </row>
    <row r="20" spans="1:7" ht="19" customHeight="1">
      <c r="A20" s="251" t="str" cm="1">
        <f t="array" ref="A20:B20">E8:F8</f>
        <v>Varebiler</v>
      </c>
      <c r="B20" s="252">
        <v>420</v>
      </c>
      <c r="C20" s="251" t="s">
        <v>163</v>
      </c>
      <c r="D20" s="29"/>
      <c r="F20" s="251" t="str" cm="1">
        <f t="array" ref="F20:G20">E6:F6</f>
        <v>Afskrivninger</v>
      </c>
      <c r="G20" s="29">
        <v>90</v>
      </c>
    </row>
    <row r="21" spans="1:7" ht="19" customHeight="1">
      <c r="A21" s="251" t="str" cm="1">
        <f t="array" ref="A21:B21">A7:B7</f>
        <v>Inventar</v>
      </c>
      <c r="B21" s="252">
        <v>320</v>
      </c>
      <c r="C21" s="251" t="str" cm="1">
        <f t="array" ref="C21:D21">E10:F10</f>
        <v>Realkreditlån</v>
      </c>
      <c r="D21" s="29">
        <v>1545</v>
      </c>
      <c r="F21" s="51" t="s">
        <v>272</v>
      </c>
      <c r="G21" s="55">
        <f>G19-G20</f>
        <v>780</v>
      </c>
    </row>
    <row r="22" spans="1:7" ht="19" customHeight="1">
      <c r="A22" s="251"/>
      <c r="B22" s="252"/>
      <c r="C22" s="251"/>
      <c r="D22" s="29"/>
      <c r="F22" s="30" t="str" cm="1">
        <f t="array" ref="F22:G22">E4:F4</f>
        <v>Renteomkostninger</v>
      </c>
      <c r="G22" s="32">
        <v>65</v>
      </c>
    </row>
    <row r="23" spans="1:7" ht="19" customHeight="1">
      <c r="A23" s="251" t="s">
        <v>41</v>
      </c>
      <c r="B23" s="252"/>
      <c r="C23" s="251"/>
      <c r="D23" s="29"/>
      <c r="F23" s="24" t="s">
        <v>52</v>
      </c>
      <c r="G23" s="24">
        <f>G21-G22</f>
        <v>715</v>
      </c>
    </row>
    <row r="24" spans="1:7" ht="19" customHeight="1">
      <c r="A24" s="251" t="str" cm="1">
        <f t="array" ref="A24:B24">C10:D10</f>
        <v>Aktier i datterselskaber</v>
      </c>
      <c r="B24" s="252">
        <v>800</v>
      </c>
      <c r="C24" s="251" t="s">
        <v>164</v>
      </c>
      <c r="D24" s="29"/>
    </row>
    <row r="25" spans="1:7" ht="19" customHeight="1">
      <c r="A25" s="251" t="str" cm="1">
        <f t="array" ref="A25:B25">C8:D8</f>
        <v>Kortfristede værdipapirer</v>
      </c>
      <c r="B25" s="252">
        <v>1200</v>
      </c>
      <c r="C25" s="251" t="str" cm="1">
        <f t="array" ref="C25:D25">E5:F5</f>
        <v>Kassekredit</v>
      </c>
      <c r="D25" s="29">
        <v>70</v>
      </c>
    </row>
    <row r="26" spans="1:7" ht="19" customHeight="1">
      <c r="C26" s="251" t="str" cm="1">
        <f t="array" ref="C26:D26">E7:F7</f>
        <v>Leverandørgæld</v>
      </c>
      <c r="D26" s="29">
        <v>125</v>
      </c>
    </row>
    <row r="27" spans="1:7" ht="19" customHeight="1">
      <c r="A27" s="51" t="s">
        <v>161</v>
      </c>
      <c r="B27" s="252"/>
      <c r="C27" s="251" t="str" cm="1">
        <f t="array" ref="C27:D27">E9:F9</f>
        <v>Skyldigt udbytte</v>
      </c>
      <c r="D27" s="29">
        <v>90</v>
      </c>
    </row>
    <row r="28" spans="1:7" ht="19" customHeight="1">
      <c r="A28" s="251" t="str" cm="1">
        <f t="array" ref="A28:B28">A5:B5</f>
        <v>Kassebeholdning</v>
      </c>
      <c r="B28" s="252">
        <v>45</v>
      </c>
      <c r="C28" s="251"/>
      <c r="D28" s="29"/>
    </row>
    <row r="29" spans="1:7" ht="19" customHeight="1">
      <c r="A29" s="251" t="str" cm="1">
        <f t="array" ref="A29:B29">A6:B6</f>
        <v>Varelager</v>
      </c>
      <c r="B29" s="252">
        <v>600</v>
      </c>
      <c r="C29" s="251"/>
      <c r="D29" s="29"/>
    </row>
    <row r="30" spans="1:7" ht="19" customHeight="1">
      <c r="A30" s="251" t="str" cm="1">
        <f t="array" ref="A30:B30">C4:D4</f>
        <v>Tilgodehavende fra kunder</v>
      </c>
      <c r="B30" s="252">
        <v>70</v>
      </c>
      <c r="C30" s="251"/>
      <c r="D30" s="29"/>
    </row>
    <row r="31" spans="1:7" ht="19" customHeight="1">
      <c r="A31" s="51" t="s">
        <v>749</v>
      </c>
      <c r="B31" s="252">
        <f>SUM(B16:B26)</f>
        <v>4330</v>
      </c>
      <c r="C31" s="251" t="s">
        <v>114</v>
      </c>
      <c r="D31" s="29">
        <f>SUM(D15:D17)</f>
        <v>3215</v>
      </c>
    </row>
    <row r="32" spans="1:7" ht="19" customHeight="1">
      <c r="A32" s="597" t="s">
        <v>750</v>
      </c>
      <c r="B32" s="31">
        <f>SUM(B28:B30)</f>
        <v>715</v>
      </c>
      <c r="C32" s="30" t="s">
        <v>748</v>
      </c>
      <c r="D32" s="32">
        <f>SUM(D21:D27)</f>
        <v>1830</v>
      </c>
    </row>
    <row r="33" spans="1:4" ht="19" customHeight="1">
      <c r="A33" s="24" t="s">
        <v>209</v>
      </c>
      <c r="B33" s="24">
        <f>B31+B32</f>
        <v>5045</v>
      </c>
      <c r="C33" s="24" t="s">
        <v>210</v>
      </c>
      <c r="D33" s="24">
        <f>D31+D32</f>
        <v>5045</v>
      </c>
    </row>
  </sheetData>
  <hyperlinks>
    <hyperlink ref="B1" location="Forside!A1" display="Forside!A1" xr:uid="{00000000-0004-0000-06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topLeftCell="A4" zoomScale="90" zoomScaleNormal="90" workbookViewId="0">
      <selection activeCell="A7" sqref="A7"/>
    </sheetView>
  </sheetViews>
  <sheetFormatPr baseColWidth="10" defaultColWidth="18.33203125" defaultRowHeight="19" customHeight="1"/>
  <cols>
    <col min="1" max="1" width="27" style="188" customWidth="1"/>
    <col min="2" max="16384" width="18.33203125" style="188"/>
  </cols>
  <sheetData>
    <row r="1" spans="1:3" ht="19" customHeight="1">
      <c r="A1" s="188" t="s">
        <v>290</v>
      </c>
      <c r="B1" s="190" t="s">
        <v>158</v>
      </c>
    </row>
    <row r="3" spans="1:3" ht="19" customHeight="1">
      <c r="A3" s="188" t="s">
        <v>278</v>
      </c>
    </row>
    <row r="4" spans="1:3" ht="19" customHeight="1">
      <c r="A4" s="188" t="s">
        <v>279</v>
      </c>
    </row>
    <row r="5" spans="1:3" ht="19" customHeight="1">
      <c r="A5" s="188" t="s">
        <v>280</v>
      </c>
    </row>
    <row r="7" spans="1:3" ht="19" customHeight="1">
      <c r="A7" s="188" t="s">
        <v>281</v>
      </c>
    </row>
    <row r="9" spans="1:3" ht="19" customHeight="1">
      <c r="A9" s="188" t="s">
        <v>697</v>
      </c>
    </row>
    <row r="10" spans="1:3" ht="19" customHeight="1">
      <c r="A10" s="126" t="s">
        <v>693</v>
      </c>
    </row>
    <row r="12" spans="1:3" ht="19" customHeight="1">
      <c r="A12" s="179" t="s">
        <v>282</v>
      </c>
      <c r="B12" s="189"/>
    </row>
    <row r="13" spans="1:3" ht="19" customHeight="1">
      <c r="A13" s="180" t="s">
        <v>283</v>
      </c>
      <c r="B13" s="189"/>
    </row>
    <row r="14" spans="1:3" ht="19" customHeight="1">
      <c r="A14" s="179" t="s">
        <v>284</v>
      </c>
      <c r="B14" s="189"/>
    </row>
    <row r="15" spans="1:3" ht="19" customHeight="1">
      <c r="A15" s="181" t="s">
        <v>285</v>
      </c>
      <c r="B15" s="31"/>
    </row>
    <row r="16" spans="1:3" ht="19" customHeight="1">
      <c r="A16" s="182" t="s">
        <v>286</v>
      </c>
      <c r="B16" s="45"/>
      <c r="C16" s="188">
        <v>295000</v>
      </c>
    </row>
    <row r="17" spans="1:4" ht="19" customHeight="1">
      <c r="A17" s="220"/>
      <c r="B17" s="220"/>
      <c r="C17" s="220"/>
      <c r="D17" s="220"/>
    </row>
    <row r="18" spans="1:4" ht="19" customHeight="1">
      <c r="A18" s="221" t="s">
        <v>694</v>
      </c>
      <c r="B18" s="220"/>
      <c r="C18" s="220"/>
      <c r="D18" s="220"/>
    </row>
    <row r="19" spans="1:4" ht="19" customHeight="1">
      <c r="A19" s="220"/>
      <c r="B19" s="220"/>
      <c r="C19" s="220"/>
      <c r="D19" s="220"/>
    </row>
    <row r="20" spans="1:4" ht="19" customHeight="1">
      <c r="A20" s="2"/>
      <c r="B20" s="222" t="s">
        <v>311</v>
      </c>
      <c r="C20" s="223" t="s">
        <v>300</v>
      </c>
      <c r="D20" s="223" t="s">
        <v>301</v>
      </c>
    </row>
    <row r="21" spans="1:4" ht="19" customHeight="1">
      <c r="A21" s="224" t="s">
        <v>152</v>
      </c>
      <c r="B21" s="225">
        <v>100000</v>
      </c>
      <c r="C21" s="225">
        <v>136000</v>
      </c>
      <c r="D21" s="225">
        <v>128000</v>
      </c>
    </row>
    <row r="22" spans="1:4" ht="19" customHeight="1">
      <c r="A22" s="224" t="s">
        <v>302</v>
      </c>
      <c r="B22" s="225">
        <v>20000</v>
      </c>
      <c r="C22" s="225">
        <v>25000</v>
      </c>
      <c r="D22" s="226" t="s">
        <v>298</v>
      </c>
    </row>
    <row r="23" spans="1:4" ht="19" customHeight="1">
      <c r="A23" s="224" t="s">
        <v>726</v>
      </c>
      <c r="B23" s="225">
        <v>10000</v>
      </c>
      <c r="C23" s="225">
        <v>25000</v>
      </c>
      <c r="D23" s="225">
        <v>16000</v>
      </c>
    </row>
    <row r="24" spans="1:4" ht="19" customHeight="1">
      <c r="A24" s="224" t="s">
        <v>303</v>
      </c>
      <c r="B24" s="225">
        <v>30000</v>
      </c>
      <c r="C24" s="226" t="s">
        <v>298</v>
      </c>
      <c r="D24" s="225">
        <v>32000</v>
      </c>
    </row>
    <row r="25" spans="1:4" ht="19" customHeight="1">
      <c r="A25" s="224" t="s">
        <v>304</v>
      </c>
      <c r="B25" s="225">
        <v>40000</v>
      </c>
      <c r="C25" s="225">
        <v>41000</v>
      </c>
      <c r="D25" s="225">
        <v>44000</v>
      </c>
    </row>
    <row r="26" spans="1:4" ht="19" customHeight="1">
      <c r="A26" s="224" t="s">
        <v>299</v>
      </c>
      <c r="B26" s="226" t="s">
        <v>298</v>
      </c>
      <c r="C26" s="225">
        <v>60000</v>
      </c>
      <c r="D26" s="225">
        <v>70000</v>
      </c>
    </row>
    <row r="27" spans="1:4" ht="19" customHeight="1">
      <c r="A27" s="224" t="s">
        <v>77</v>
      </c>
      <c r="B27" s="226" t="s">
        <v>298</v>
      </c>
      <c r="C27" s="226" t="s">
        <v>298</v>
      </c>
      <c r="D27" s="226" t="s">
        <v>298</v>
      </c>
    </row>
    <row r="29" spans="1:4" ht="19" customHeight="1">
      <c r="A29" s="128"/>
    </row>
    <row r="30" spans="1:4" ht="19" customHeight="1">
      <c r="A30" s="227" t="s">
        <v>258</v>
      </c>
      <c r="B30" s="225">
        <v>100000</v>
      </c>
      <c r="C30" s="228">
        <f>C21</f>
        <v>136000</v>
      </c>
      <c r="D30" s="228">
        <f>D21</f>
        <v>128000</v>
      </c>
    </row>
    <row r="31" spans="1:4" ht="19" customHeight="1">
      <c r="A31" s="227" t="s">
        <v>216</v>
      </c>
      <c r="B31" s="229">
        <v>50000</v>
      </c>
      <c r="C31" s="229">
        <v>70000</v>
      </c>
      <c r="D31" s="229">
        <f>D30-D32-D33</f>
        <v>68000</v>
      </c>
    </row>
    <row r="32" spans="1:4" ht="19" customHeight="1">
      <c r="A32" s="227" t="s">
        <v>307</v>
      </c>
      <c r="B32" s="228">
        <f>B25</f>
        <v>40000</v>
      </c>
      <c r="C32" s="228">
        <f>C25</f>
        <v>41000</v>
      </c>
      <c r="D32" s="228">
        <f>D25</f>
        <v>44000</v>
      </c>
    </row>
    <row r="33" spans="1:5" ht="19" customHeight="1">
      <c r="A33" s="227" t="s">
        <v>305</v>
      </c>
      <c r="B33" s="228">
        <f>B23</f>
        <v>10000</v>
      </c>
      <c r="C33" s="228">
        <f>C23</f>
        <v>25000</v>
      </c>
      <c r="D33" s="228">
        <f>D23</f>
        <v>16000</v>
      </c>
    </row>
    <row r="34" spans="1:5" ht="19" customHeight="1">
      <c r="A34" s="231"/>
      <c r="B34" s="232"/>
      <c r="C34" s="232"/>
      <c r="D34" s="232"/>
    </row>
    <row r="35" spans="1:5" ht="19" customHeight="1">
      <c r="A35" s="227" t="s">
        <v>308</v>
      </c>
      <c r="B35" s="228">
        <f>B31</f>
        <v>50000</v>
      </c>
      <c r="C35" s="228">
        <f t="shared" ref="C35:D35" si="0">C31</f>
        <v>70000</v>
      </c>
      <c r="D35" s="228">
        <f t="shared" si="0"/>
        <v>68000</v>
      </c>
      <c r="E35" s="252"/>
    </row>
    <row r="36" spans="1:5" ht="19" customHeight="1">
      <c r="A36" s="227" t="s">
        <v>309</v>
      </c>
      <c r="B36" s="228">
        <f>B22</f>
        <v>20000</v>
      </c>
      <c r="C36" s="228">
        <f>C22</f>
        <v>25000</v>
      </c>
      <c r="D36" s="229">
        <f>D35+D38-D37</f>
        <v>30000</v>
      </c>
      <c r="E36" s="252"/>
    </row>
    <row r="37" spans="1:5" ht="19" customHeight="1">
      <c r="A37" s="227" t="s">
        <v>306</v>
      </c>
      <c r="B37" s="229">
        <f>B35-B36+B38</f>
        <v>60000</v>
      </c>
      <c r="C37" s="230">
        <f>C26</f>
        <v>60000</v>
      </c>
      <c r="D37" s="230">
        <f>D26</f>
        <v>70000</v>
      </c>
      <c r="E37" s="252"/>
    </row>
    <row r="38" spans="1:5" ht="19" customHeight="1">
      <c r="A38" s="227" t="s">
        <v>310</v>
      </c>
      <c r="B38" s="228">
        <f>B24</f>
        <v>30000</v>
      </c>
      <c r="C38" s="229">
        <f>C37+C36-C35</f>
        <v>15000</v>
      </c>
      <c r="D38" s="228">
        <f>D24</f>
        <v>32000</v>
      </c>
    </row>
  </sheetData>
  <hyperlinks>
    <hyperlink ref="B1" location="Forside!A1" display="Forside!A1" xr:uid="{00000000-0004-0000-07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48576"/>
  <sheetViews>
    <sheetView zoomScale="80" zoomScaleNormal="80" workbookViewId="0">
      <selection activeCell="B12" sqref="B12"/>
    </sheetView>
  </sheetViews>
  <sheetFormatPr baseColWidth="10" defaultColWidth="21.33203125" defaultRowHeight="19" customHeight="1"/>
  <cols>
    <col min="1" max="1" width="29" style="2" customWidth="1"/>
    <col min="2" max="2" width="21.33203125" style="118"/>
    <col min="3" max="5" width="21.33203125" style="2"/>
    <col min="6" max="9" width="21.33203125" style="86"/>
    <col min="10" max="16384" width="21.33203125" style="2"/>
  </cols>
  <sheetData>
    <row r="1" spans="1:9" ht="19" customHeight="1">
      <c r="A1" s="2" t="s">
        <v>312</v>
      </c>
      <c r="B1" s="190" t="s">
        <v>158</v>
      </c>
      <c r="F1" s="2"/>
      <c r="G1" s="2"/>
      <c r="H1" s="2"/>
      <c r="I1" s="2"/>
    </row>
    <row r="2" spans="1:9" ht="19" customHeight="1">
      <c r="B2" s="117"/>
      <c r="C2" s="95"/>
      <c r="F2" s="2"/>
      <c r="G2" s="2"/>
      <c r="H2" s="2"/>
      <c r="I2" s="2"/>
    </row>
    <row r="3" spans="1:9" ht="19" customHeight="1">
      <c r="A3" s="80" t="s">
        <v>322</v>
      </c>
      <c r="B3" s="85"/>
      <c r="C3" s="80"/>
      <c r="D3" s="80"/>
      <c r="E3" s="80"/>
      <c r="F3" s="2"/>
      <c r="G3" s="2"/>
      <c r="H3" s="2"/>
      <c r="I3" s="2"/>
    </row>
    <row r="4" spans="1:9" ht="19" customHeight="1">
      <c r="A4" s="81"/>
      <c r="B4" s="119"/>
      <c r="C4" s="82"/>
      <c r="D4" s="82"/>
      <c r="E4" s="80"/>
      <c r="F4" s="2"/>
      <c r="G4" s="2"/>
      <c r="H4" s="2"/>
      <c r="I4" s="2"/>
    </row>
    <row r="5" spans="1:9" ht="19" customHeight="1">
      <c r="A5" s="90" t="s">
        <v>695</v>
      </c>
      <c r="B5" s="84"/>
      <c r="C5" s="81"/>
      <c r="D5" s="235" t="s">
        <v>320</v>
      </c>
      <c r="E5" s="80" t="s">
        <v>751</v>
      </c>
      <c r="F5" s="2"/>
      <c r="G5" s="2"/>
      <c r="H5" s="2"/>
      <c r="I5" s="2"/>
    </row>
    <row r="6" spans="1:9" ht="19" customHeight="1">
      <c r="A6" s="83"/>
      <c r="B6" s="87">
        <v>4000</v>
      </c>
      <c r="C6" s="81"/>
      <c r="D6" s="2" t="s">
        <v>325</v>
      </c>
      <c r="E6" s="80"/>
      <c r="F6" s="2"/>
      <c r="G6" s="2"/>
      <c r="H6" s="2"/>
      <c r="I6" s="2"/>
    </row>
    <row r="7" spans="1:9" ht="19" customHeight="1">
      <c r="A7" s="233"/>
      <c r="B7" s="238">
        <v>-3000</v>
      </c>
      <c r="C7" s="81"/>
      <c r="E7" s="80"/>
      <c r="F7" s="2"/>
      <c r="G7" s="2"/>
      <c r="H7" s="2"/>
      <c r="I7" s="2"/>
    </row>
    <row r="8" spans="1:9" ht="19" customHeight="1">
      <c r="A8" s="234" t="s">
        <v>313</v>
      </c>
      <c r="B8" s="239">
        <f>SUM(B6:B7)</f>
        <v>1000</v>
      </c>
      <c r="C8" s="81">
        <v>1</v>
      </c>
      <c r="D8" s="235" t="s">
        <v>321</v>
      </c>
      <c r="E8" s="80" t="s">
        <v>751</v>
      </c>
      <c r="F8" s="2"/>
      <c r="G8" s="2"/>
      <c r="H8" s="2"/>
      <c r="I8" s="2"/>
    </row>
    <row r="9" spans="1:9" ht="19" customHeight="1">
      <c r="A9" s="83"/>
      <c r="B9" s="240"/>
      <c r="C9" s="81"/>
      <c r="D9" s="2" t="s">
        <v>324</v>
      </c>
      <c r="E9" s="80"/>
      <c r="F9" s="2"/>
      <c r="G9" s="2"/>
      <c r="H9" s="2"/>
      <c r="I9" s="2"/>
    </row>
    <row r="10" spans="1:9" ht="19" customHeight="1">
      <c r="A10" s="90" t="s">
        <v>696</v>
      </c>
      <c r="B10" s="241"/>
      <c r="C10" s="81"/>
      <c r="E10" s="80"/>
      <c r="F10" s="2"/>
      <c r="G10" s="2"/>
      <c r="H10" s="2"/>
      <c r="I10" s="2"/>
    </row>
    <row r="11" spans="1:9" ht="19" customHeight="1">
      <c r="A11" s="233"/>
      <c r="B11" s="238">
        <v>-3000</v>
      </c>
      <c r="C11" s="81"/>
      <c r="D11" s="236" t="s">
        <v>323</v>
      </c>
      <c r="E11" s="80"/>
      <c r="F11" s="2"/>
      <c r="G11" s="2"/>
      <c r="H11" s="2"/>
      <c r="I11" s="2"/>
    </row>
    <row r="12" spans="1:9" ht="19" customHeight="1">
      <c r="A12" s="90" t="s">
        <v>314</v>
      </c>
      <c r="B12" s="239">
        <f>B11</f>
        <v>-3000</v>
      </c>
      <c r="C12" s="81">
        <v>2</v>
      </c>
      <c r="D12" s="80" t="s">
        <v>326</v>
      </c>
      <c r="E12" s="80"/>
      <c r="F12" s="2"/>
      <c r="G12" s="2"/>
      <c r="H12" s="2"/>
      <c r="I12" s="2"/>
    </row>
    <row r="13" spans="1:9" ht="19" customHeight="1">
      <c r="B13" s="242"/>
      <c r="D13" s="80"/>
      <c r="E13" s="80"/>
      <c r="F13" s="2"/>
      <c r="G13" s="2"/>
      <c r="H13" s="2"/>
      <c r="I13" s="2"/>
    </row>
    <row r="14" spans="1:9" ht="19" customHeight="1">
      <c r="A14" s="90" t="s">
        <v>315</v>
      </c>
      <c r="B14" s="243"/>
      <c r="C14" s="80"/>
      <c r="D14" s="235" t="s">
        <v>327</v>
      </c>
      <c r="E14" s="80" t="s">
        <v>751</v>
      </c>
      <c r="F14" s="2"/>
      <c r="G14" s="2"/>
      <c r="H14" s="2"/>
      <c r="I14" s="2"/>
    </row>
    <row r="15" spans="1:9" ht="19" customHeight="1">
      <c r="A15" s="83"/>
      <c r="B15" s="243">
        <v>7000</v>
      </c>
      <c r="C15" s="80"/>
      <c r="D15" s="2" t="s">
        <v>328</v>
      </c>
      <c r="E15" s="80"/>
      <c r="F15" s="2"/>
      <c r="G15" s="2"/>
      <c r="H15" s="2"/>
      <c r="I15" s="2"/>
    </row>
    <row r="16" spans="1:9" ht="19" customHeight="1">
      <c r="A16" s="89"/>
      <c r="B16" s="244">
        <v>-1500</v>
      </c>
      <c r="C16" s="80"/>
      <c r="D16" s="80"/>
      <c r="F16" s="2"/>
      <c r="G16" s="2"/>
      <c r="H16" s="2"/>
      <c r="I16" s="2"/>
    </row>
    <row r="17" spans="1:9" ht="19" customHeight="1">
      <c r="A17" s="90" t="s">
        <v>316</v>
      </c>
      <c r="B17" s="245">
        <f>SUM(B15:B16)</f>
        <v>5500</v>
      </c>
      <c r="C17" s="3">
        <v>3</v>
      </c>
      <c r="D17" s="235" t="s">
        <v>329</v>
      </c>
      <c r="F17" s="2"/>
      <c r="G17" s="2"/>
      <c r="H17" s="2"/>
      <c r="I17" s="2"/>
    </row>
    <row r="18" spans="1:9" ht="19" customHeight="1">
      <c r="B18" s="242"/>
      <c r="D18" s="2" t="s">
        <v>330</v>
      </c>
      <c r="F18" s="2"/>
      <c r="G18" s="2"/>
      <c r="H18" s="2"/>
      <c r="I18" s="2"/>
    </row>
    <row r="19" spans="1:9" ht="19" customHeight="1">
      <c r="A19" s="234" t="s">
        <v>317</v>
      </c>
      <c r="B19" s="245">
        <f>B17+B12+B8</f>
        <v>3500</v>
      </c>
      <c r="C19" s="80" t="s">
        <v>166</v>
      </c>
      <c r="D19" s="80"/>
      <c r="F19" s="2"/>
      <c r="G19" s="2"/>
      <c r="H19" s="2"/>
      <c r="I19" s="2"/>
    </row>
    <row r="20" spans="1:9" ht="19" customHeight="1">
      <c r="A20" s="237" t="s">
        <v>318</v>
      </c>
      <c r="B20" s="246">
        <v>13000</v>
      </c>
      <c r="C20" s="80"/>
    </row>
    <row r="21" spans="1:9" ht="19" customHeight="1">
      <c r="A21" s="91" t="s">
        <v>319</v>
      </c>
      <c r="B21" s="245">
        <f>B20+B19</f>
        <v>16500</v>
      </c>
      <c r="C21" s="80"/>
    </row>
    <row r="1048576" spans="1:9" ht="19" customHeight="1">
      <c r="A1048576" s="83"/>
      <c r="F1048576" s="2"/>
      <c r="G1048576" s="2"/>
      <c r="H1048576" s="2"/>
      <c r="I1048576" s="2"/>
    </row>
  </sheetData>
  <hyperlinks>
    <hyperlink ref="B1" location="Forside!A1" display="Forside!A1" xr:uid="{00000000-0004-0000-08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"/>
  <sheetViews>
    <sheetView topLeftCell="A4" zoomScale="80" zoomScaleNormal="80" workbookViewId="0">
      <selection activeCell="A28" sqref="A28"/>
    </sheetView>
  </sheetViews>
  <sheetFormatPr baseColWidth="10" defaultColWidth="21.33203125" defaultRowHeight="19" customHeight="1"/>
  <cols>
    <col min="1" max="1" width="27" style="2" customWidth="1"/>
    <col min="2" max="2" width="30" style="2" bestFit="1" customWidth="1"/>
    <col min="3" max="5" width="21.33203125" style="2"/>
    <col min="6" max="6" width="29.83203125" style="2" bestFit="1" customWidth="1"/>
    <col min="7" max="16384" width="21.33203125" style="2"/>
  </cols>
  <sheetData>
    <row r="1" spans="1:6" ht="19" customHeight="1">
      <c r="A1" s="2" t="s">
        <v>698</v>
      </c>
      <c r="B1" s="190" t="s">
        <v>158</v>
      </c>
    </row>
    <row r="2" spans="1:6" ht="19" customHeight="1">
      <c r="B2" s="190"/>
    </row>
    <row r="3" spans="1:6" ht="19" customHeight="1">
      <c r="A3" s="2" t="s">
        <v>727</v>
      </c>
      <c r="B3" s="79"/>
    </row>
    <row r="4" spans="1:6" ht="19" customHeight="1">
      <c r="A4" s="2" t="s">
        <v>728</v>
      </c>
      <c r="B4" s="79"/>
    </row>
    <row r="5" spans="1:6" ht="19" customHeight="1">
      <c r="A5" s="2" t="s">
        <v>335</v>
      </c>
      <c r="B5" s="79"/>
    </row>
    <row r="6" spans="1:6" ht="19" customHeight="1">
      <c r="B6" s="79"/>
    </row>
    <row r="7" spans="1:6" ht="19" customHeight="1">
      <c r="A7" s="2" t="s">
        <v>729</v>
      </c>
      <c r="B7" s="79"/>
      <c r="C7" s="2" t="s">
        <v>730</v>
      </c>
    </row>
    <row r="8" spans="1:6" ht="19" customHeight="1">
      <c r="A8" s="2" t="s">
        <v>731</v>
      </c>
      <c r="B8" s="79"/>
      <c r="C8" s="2" t="s">
        <v>732</v>
      </c>
    </row>
    <row r="9" spans="1:6" ht="19" customHeight="1">
      <c r="A9" s="2" t="s">
        <v>733</v>
      </c>
      <c r="B9" s="79"/>
      <c r="C9" s="2" t="s">
        <v>734</v>
      </c>
    </row>
    <row r="10" spans="1:6" ht="19" customHeight="1">
      <c r="A10" s="2" t="s">
        <v>735</v>
      </c>
      <c r="B10" s="79"/>
      <c r="C10" s="2" t="s">
        <v>736</v>
      </c>
    </row>
    <row r="12" spans="1:6" ht="19" customHeight="1">
      <c r="A12" s="247" t="s">
        <v>331</v>
      </c>
      <c r="B12" s="248" t="s">
        <v>334</v>
      </c>
      <c r="C12" s="249" t="s">
        <v>165</v>
      </c>
      <c r="D12" s="249" t="s">
        <v>154</v>
      </c>
      <c r="E12" s="249" t="s">
        <v>332</v>
      </c>
      <c r="F12" s="248" t="s">
        <v>333</v>
      </c>
    </row>
    <row r="13" spans="1:6" ht="19" customHeight="1">
      <c r="A13" s="116">
        <v>1</v>
      </c>
      <c r="B13" s="116" t="s">
        <v>753</v>
      </c>
      <c r="C13" s="116"/>
      <c r="D13" s="116" t="s">
        <v>752</v>
      </c>
      <c r="E13" s="116" t="s">
        <v>752</v>
      </c>
      <c r="F13" s="116" t="s">
        <v>752</v>
      </c>
    </row>
    <row r="14" spans="1:6" ht="19" customHeight="1">
      <c r="A14" s="116">
        <v>2</v>
      </c>
      <c r="B14" s="116" t="s">
        <v>754</v>
      </c>
      <c r="C14" s="116" t="s">
        <v>752</v>
      </c>
      <c r="D14" s="116" t="s">
        <v>752</v>
      </c>
      <c r="E14" s="116" t="s">
        <v>752</v>
      </c>
      <c r="F14" s="116" t="s">
        <v>752</v>
      </c>
    </row>
    <row r="15" spans="1:6" ht="19" customHeight="1">
      <c r="A15" s="116">
        <v>3</v>
      </c>
      <c r="B15" s="116" t="s">
        <v>754</v>
      </c>
      <c r="C15" s="116" t="s">
        <v>752</v>
      </c>
      <c r="D15" s="116" t="s">
        <v>752</v>
      </c>
      <c r="E15" s="116" t="s">
        <v>752</v>
      </c>
      <c r="F15" s="116" t="s">
        <v>752</v>
      </c>
    </row>
    <row r="16" spans="1:6" ht="19" customHeight="1">
      <c r="A16" s="116">
        <v>4</v>
      </c>
      <c r="B16" s="116" t="s">
        <v>755</v>
      </c>
      <c r="C16" s="116"/>
      <c r="D16" s="116" t="s">
        <v>752</v>
      </c>
      <c r="E16" s="116" t="s">
        <v>752</v>
      </c>
      <c r="F16" s="116"/>
    </row>
    <row r="17" spans="1:8" ht="19" customHeight="1">
      <c r="A17" s="116">
        <v>5</v>
      </c>
      <c r="B17" s="116" t="s">
        <v>753</v>
      </c>
      <c r="C17" s="116" t="s">
        <v>752</v>
      </c>
      <c r="D17" s="116" t="s">
        <v>752</v>
      </c>
      <c r="E17" s="116" t="s">
        <v>752</v>
      </c>
      <c r="F17" s="116" t="s">
        <v>752</v>
      </c>
    </row>
    <row r="18" spans="1:8" ht="19" customHeight="1">
      <c r="A18" s="116">
        <v>6</v>
      </c>
      <c r="B18" s="116" t="s">
        <v>753</v>
      </c>
      <c r="C18" s="116"/>
      <c r="D18" s="116" t="s">
        <v>752</v>
      </c>
      <c r="E18" s="116" t="s">
        <v>752</v>
      </c>
      <c r="F18" s="116" t="s">
        <v>752</v>
      </c>
    </row>
    <row r="19" spans="1:8" ht="19" customHeight="1">
      <c r="A19" s="116">
        <v>7</v>
      </c>
      <c r="B19" s="116" t="s">
        <v>755</v>
      </c>
      <c r="C19" s="116"/>
      <c r="D19" s="116" t="s">
        <v>752</v>
      </c>
      <c r="E19" s="116" t="s">
        <v>752</v>
      </c>
      <c r="F19" s="116"/>
      <c r="H19" s="94"/>
    </row>
    <row r="20" spans="1:8" ht="19" customHeight="1">
      <c r="A20" s="116">
        <v>8</v>
      </c>
      <c r="B20" s="116" t="s">
        <v>754</v>
      </c>
      <c r="C20" s="116"/>
      <c r="D20" s="116" t="s">
        <v>752</v>
      </c>
      <c r="E20" s="116" t="s">
        <v>752</v>
      </c>
      <c r="F20" s="116"/>
    </row>
    <row r="22" spans="1:8" ht="19" customHeight="1">
      <c r="A22" s="235" t="s">
        <v>336</v>
      </c>
    </row>
    <row r="23" spans="1:8" ht="19" customHeight="1">
      <c r="A23" s="250" t="s">
        <v>337</v>
      </c>
    </row>
    <row r="24" spans="1:8" ht="19" customHeight="1">
      <c r="A24" s="2" t="s">
        <v>776</v>
      </c>
    </row>
    <row r="27" spans="1:8" ht="19" customHeight="1">
      <c r="A27" s="250" t="s">
        <v>338</v>
      </c>
    </row>
    <row r="28" spans="1:8" ht="19" customHeight="1">
      <c r="A28" s="2" t="s">
        <v>777</v>
      </c>
    </row>
  </sheetData>
  <hyperlinks>
    <hyperlink ref="B1" location="Forside!A1" display="Forside!A1" xr:uid="{00000000-0004-0000-09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zoomScale="80" zoomScaleNormal="80" workbookViewId="0">
      <selection activeCell="E14" sqref="E14"/>
    </sheetView>
  </sheetViews>
  <sheetFormatPr baseColWidth="10" defaultColWidth="21.33203125" defaultRowHeight="19" customHeight="1"/>
  <cols>
    <col min="1" max="1" width="27" style="2" customWidth="1"/>
    <col min="2" max="2" width="30" style="2" bestFit="1" customWidth="1"/>
    <col min="3" max="5" width="21.33203125" style="2"/>
    <col min="6" max="6" width="19" style="2" bestFit="1" customWidth="1"/>
    <col min="7" max="16384" width="21.33203125" style="2"/>
  </cols>
  <sheetData>
    <row r="1" spans="1:6" ht="19" customHeight="1">
      <c r="A1" s="2" t="s">
        <v>699</v>
      </c>
      <c r="B1" s="190" t="s">
        <v>158</v>
      </c>
    </row>
    <row r="2" spans="1:6" ht="19" customHeight="1">
      <c r="B2" s="190"/>
    </row>
    <row r="3" spans="1:6" ht="19" customHeight="1">
      <c r="A3" s="2" t="s">
        <v>727</v>
      </c>
      <c r="B3" s="79"/>
    </row>
    <row r="4" spans="1:6" ht="19" customHeight="1">
      <c r="A4" s="2" t="s">
        <v>297</v>
      </c>
      <c r="B4" s="79"/>
    </row>
    <row r="5" spans="1:6" ht="19" customHeight="1">
      <c r="A5" s="2" t="s">
        <v>335</v>
      </c>
      <c r="B5" s="79"/>
    </row>
    <row r="6" spans="1:6" ht="19" customHeight="1">
      <c r="B6" s="79"/>
    </row>
    <row r="7" spans="1:6" ht="19" customHeight="1">
      <c r="A7" s="2" t="s">
        <v>339</v>
      </c>
      <c r="B7" s="79"/>
      <c r="D7" s="2" t="s">
        <v>344</v>
      </c>
    </row>
    <row r="8" spans="1:6" ht="19" customHeight="1">
      <c r="A8" s="2" t="s">
        <v>340</v>
      </c>
      <c r="B8" s="79"/>
      <c r="D8" s="2" t="s">
        <v>345</v>
      </c>
    </row>
    <row r="9" spans="1:6" ht="19" customHeight="1">
      <c r="A9" s="2" t="s">
        <v>346</v>
      </c>
      <c r="B9" s="79"/>
      <c r="D9" s="2" t="s">
        <v>342</v>
      </c>
    </row>
    <row r="10" spans="1:6" ht="19" customHeight="1">
      <c r="A10" s="2" t="s">
        <v>341</v>
      </c>
      <c r="B10" s="79"/>
      <c r="D10" s="2" t="s">
        <v>343</v>
      </c>
    </row>
    <row r="12" spans="1:6" ht="19" customHeight="1">
      <c r="A12" s="247" t="s">
        <v>331</v>
      </c>
      <c r="B12" s="248" t="s">
        <v>334</v>
      </c>
      <c r="C12" s="249" t="s">
        <v>165</v>
      </c>
      <c r="D12" s="249" t="s">
        <v>154</v>
      </c>
      <c r="E12" s="249" t="s">
        <v>332</v>
      </c>
      <c r="F12" s="248" t="s">
        <v>333</v>
      </c>
    </row>
    <row r="13" spans="1:6" ht="19" customHeight="1">
      <c r="A13" s="116">
        <v>1</v>
      </c>
      <c r="B13" s="116" t="s">
        <v>757</v>
      </c>
      <c r="C13" s="116"/>
      <c r="D13" s="116" t="s">
        <v>752</v>
      </c>
      <c r="E13" s="116" t="s">
        <v>752</v>
      </c>
      <c r="F13" s="116"/>
    </row>
    <row r="14" spans="1:6" ht="19" customHeight="1">
      <c r="A14" s="116">
        <v>2</v>
      </c>
      <c r="B14" s="116" t="s">
        <v>758</v>
      </c>
      <c r="C14" s="116"/>
      <c r="D14" s="116" t="s">
        <v>752</v>
      </c>
      <c r="E14" s="116"/>
      <c r="F14" s="116"/>
    </row>
    <row r="15" spans="1:6" ht="19" customHeight="1">
      <c r="A15" s="116">
        <v>3</v>
      </c>
      <c r="B15" s="116" t="s">
        <v>758</v>
      </c>
      <c r="C15" s="116" t="s">
        <v>752</v>
      </c>
      <c r="D15" s="116" t="s">
        <v>752</v>
      </c>
      <c r="E15" s="116" t="s">
        <v>752</v>
      </c>
      <c r="F15" s="116"/>
    </row>
    <row r="16" spans="1:6" ht="19" customHeight="1">
      <c r="A16" s="116">
        <v>4</v>
      </c>
      <c r="B16" s="116" t="s">
        <v>758</v>
      </c>
      <c r="C16" s="116"/>
      <c r="D16" s="116" t="s">
        <v>752</v>
      </c>
      <c r="E16" s="116"/>
      <c r="F16" s="116"/>
    </row>
    <row r="17" spans="1:8" ht="19" customHeight="1">
      <c r="A17" s="116">
        <v>5</v>
      </c>
      <c r="B17" s="116" t="s">
        <v>759</v>
      </c>
      <c r="C17" s="116"/>
      <c r="D17" s="116" t="s">
        <v>752</v>
      </c>
      <c r="E17" s="116" t="s">
        <v>752</v>
      </c>
      <c r="F17" s="116"/>
    </row>
    <row r="18" spans="1:8" ht="19" customHeight="1">
      <c r="A18" s="116">
        <v>6</v>
      </c>
      <c r="B18" s="116" t="s">
        <v>757</v>
      </c>
      <c r="C18" s="116" t="s">
        <v>752</v>
      </c>
      <c r="D18" s="116" t="s">
        <v>752</v>
      </c>
      <c r="E18" s="116" t="s">
        <v>752</v>
      </c>
      <c r="F18" s="116" t="s">
        <v>752</v>
      </c>
    </row>
    <row r="19" spans="1:8" ht="19" customHeight="1">
      <c r="A19" s="116">
        <v>7</v>
      </c>
      <c r="B19" s="116" t="s">
        <v>758</v>
      </c>
      <c r="C19" s="116" t="s">
        <v>752</v>
      </c>
      <c r="D19" s="116" t="s">
        <v>752</v>
      </c>
      <c r="E19" s="116" t="s">
        <v>752</v>
      </c>
      <c r="F19" s="116"/>
      <c r="H19" s="94"/>
    </row>
    <row r="20" spans="1:8" ht="19" customHeight="1">
      <c r="A20" s="116">
        <v>8</v>
      </c>
      <c r="B20" s="116" t="s">
        <v>758</v>
      </c>
      <c r="C20" s="116" t="s">
        <v>752</v>
      </c>
      <c r="D20" s="116" t="s">
        <v>752</v>
      </c>
      <c r="E20" s="116" t="s">
        <v>752</v>
      </c>
      <c r="F20" s="116"/>
    </row>
    <row r="23" spans="1:8" ht="19" customHeight="1">
      <c r="A23" s="250"/>
    </row>
  </sheetData>
  <hyperlinks>
    <hyperlink ref="B1" location="Forside!A1" display="Forside!A1" xr:uid="{00000000-0004-0000-0A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4"/>
  <sheetViews>
    <sheetView zoomScale="80" zoomScaleNormal="80" workbookViewId="0">
      <selection activeCell="A13" sqref="A13"/>
    </sheetView>
  </sheetViews>
  <sheetFormatPr baseColWidth="10" defaultColWidth="21.33203125" defaultRowHeight="19" customHeight="1"/>
  <cols>
    <col min="1" max="1" width="21.33203125" style="2"/>
    <col min="2" max="2" width="16" style="2" customWidth="1"/>
    <col min="3" max="3" width="9.33203125" style="2" customWidth="1"/>
    <col min="4" max="4" width="23.83203125" style="2" customWidth="1"/>
    <col min="5" max="7" width="21.33203125" style="2"/>
    <col min="8" max="11" width="21.33203125" style="86"/>
    <col min="12" max="16384" width="21.33203125" style="2"/>
  </cols>
  <sheetData>
    <row r="1" spans="1:11" ht="19" customHeight="1">
      <c r="A1" s="2" t="s">
        <v>347</v>
      </c>
      <c r="B1" s="190" t="s">
        <v>158</v>
      </c>
      <c r="H1" s="2"/>
      <c r="I1" s="2"/>
      <c r="J1" s="2"/>
      <c r="K1" s="2"/>
    </row>
    <row r="2" spans="1:11" ht="19" customHeight="1">
      <c r="B2" s="79"/>
      <c r="C2" s="95"/>
      <c r="H2" s="2"/>
      <c r="I2" s="2"/>
      <c r="J2" s="2"/>
      <c r="K2" s="2"/>
    </row>
    <row r="3" spans="1:11" ht="19" customHeight="1">
      <c r="A3" s="2" t="s">
        <v>348</v>
      </c>
      <c r="B3" s="79"/>
      <c r="C3" s="95"/>
      <c r="H3" s="2"/>
      <c r="I3" s="2"/>
      <c r="J3" s="2"/>
      <c r="K3" s="2"/>
    </row>
    <row r="4" spans="1:11" ht="19" customHeight="1">
      <c r="A4" s="2" t="s">
        <v>349</v>
      </c>
      <c r="B4" s="79"/>
      <c r="C4" s="95"/>
      <c r="H4" s="2"/>
      <c r="I4" s="2"/>
      <c r="J4" s="2"/>
      <c r="K4" s="2"/>
    </row>
    <row r="5" spans="1:11" ht="19" customHeight="1">
      <c r="A5" s="306" t="s">
        <v>722</v>
      </c>
      <c r="B5" s="79"/>
      <c r="C5" s="95"/>
      <c r="H5" s="2"/>
      <c r="I5" s="2"/>
      <c r="J5" s="2"/>
      <c r="K5" s="2"/>
    </row>
    <row r="6" spans="1:11" ht="19" customHeight="1">
      <c r="B6" s="79"/>
      <c r="C6" s="95"/>
      <c r="H6" s="2"/>
      <c r="I6" s="2"/>
      <c r="J6" s="2"/>
      <c r="K6" s="2"/>
    </row>
    <row r="7" spans="1:11" ht="19" customHeight="1">
      <c r="A7" s="2" t="s">
        <v>350</v>
      </c>
      <c r="B7" s="79"/>
      <c r="C7" s="95"/>
      <c r="H7" s="2"/>
      <c r="I7" s="2"/>
      <c r="J7" s="2"/>
      <c r="K7" s="2"/>
    </row>
    <row r="8" spans="1:11" ht="19" customHeight="1">
      <c r="A8" s="250" t="s">
        <v>351</v>
      </c>
      <c r="B8" s="79"/>
      <c r="C8" s="95"/>
      <c r="H8" s="2"/>
      <c r="I8" s="2"/>
      <c r="J8" s="2"/>
      <c r="K8" s="2"/>
    </row>
    <row r="9" spans="1:11" ht="19" customHeight="1">
      <c r="H9" s="2"/>
      <c r="I9" s="2"/>
      <c r="J9" s="2"/>
      <c r="K9" s="2"/>
    </row>
    <row r="10" spans="1:11" ht="19" customHeight="1">
      <c r="A10" s="296" t="s">
        <v>352</v>
      </c>
      <c r="B10" s="80"/>
      <c r="C10" s="80"/>
      <c r="D10" s="80"/>
      <c r="E10" s="80"/>
      <c r="F10" s="80"/>
      <c r="G10" s="80"/>
      <c r="H10" s="2"/>
      <c r="I10" s="2"/>
      <c r="J10" s="2"/>
      <c r="K10" s="2"/>
    </row>
    <row r="11" spans="1:11" ht="19" customHeight="1">
      <c r="A11" s="304" t="s">
        <v>778</v>
      </c>
      <c r="B11" s="82"/>
      <c r="C11" s="82"/>
      <c r="D11" s="82"/>
      <c r="E11" s="82"/>
      <c r="F11" s="82"/>
      <c r="G11" s="80"/>
      <c r="H11" s="2"/>
      <c r="I11" s="2"/>
      <c r="J11" s="2"/>
      <c r="K11" s="2"/>
    </row>
    <row r="12" spans="1:11" ht="19" customHeight="1">
      <c r="A12" s="2" t="s">
        <v>779</v>
      </c>
      <c r="B12" s="81"/>
      <c r="C12" s="81"/>
      <c r="D12" s="81"/>
      <c r="E12" s="81"/>
      <c r="F12" s="80"/>
      <c r="G12" s="80"/>
      <c r="H12" s="2"/>
      <c r="I12" s="2"/>
      <c r="J12" s="2"/>
      <c r="K12" s="2"/>
    </row>
    <row r="13" spans="1:11" ht="19" customHeight="1">
      <c r="A13" s="257" t="s">
        <v>165</v>
      </c>
      <c r="B13" s="96"/>
      <c r="C13" s="96"/>
      <c r="D13" s="257" t="s">
        <v>332</v>
      </c>
      <c r="E13" s="97"/>
      <c r="F13" s="97"/>
      <c r="G13" s="257" t="s">
        <v>154</v>
      </c>
      <c r="H13" s="96"/>
      <c r="I13" s="96"/>
      <c r="J13" s="96"/>
      <c r="K13" s="2"/>
    </row>
    <row r="14" spans="1:11" ht="19" customHeight="1">
      <c r="A14" s="258" t="s">
        <v>152</v>
      </c>
      <c r="B14" s="598"/>
      <c r="C14" s="96"/>
      <c r="D14" s="258" t="s">
        <v>354</v>
      </c>
      <c r="E14" s="99"/>
      <c r="F14" s="97"/>
      <c r="G14" s="100" t="s">
        <v>360</v>
      </c>
      <c r="H14" s="101"/>
      <c r="I14" s="279" t="s">
        <v>28</v>
      </c>
      <c r="J14" s="102"/>
      <c r="K14" s="2"/>
    </row>
    <row r="15" spans="1:11" ht="19" customHeight="1">
      <c r="A15" s="103" t="s">
        <v>756</v>
      </c>
      <c r="B15" s="104">
        <v>300000</v>
      </c>
      <c r="C15" s="96"/>
      <c r="D15" s="103"/>
      <c r="E15" s="108">
        <v>300000</v>
      </c>
      <c r="F15" s="97"/>
      <c r="G15" s="103" t="s">
        <v>275</v>
      </c>
      <c r="H15" s="276">
        <v>800000</v>
      </c>
      <c r="I15" s="265" t="s">
        <v>28</v>
      </c>
      <c r="J15" s="272">
        <f>H27</f>
        <v>470000</v>
      </c>
      <c r="K15" s="2"/>
    </row>
    <row r="16" spans="1:11" ht="19" customHeight="1">
      <c r="A16" s="103" t="s">
        <v>275</v>
      </c>
      <c r="B16" s="104"/>
      <c r="C16" s="96"/>
      <c r="D16" s="106"/>
      <c r="E16" s="108">
        <v>-250000</v>
      </c>
      <c r="F16" s="97"/>
      <c r="G16" s="106" t="s">
        <v>228</v>
      </c>
      <c r="H16" s="275">
        <v>270000</v>
      </c>
      <c r="I16" s="599"/>
      <c r="J16" s="272"/>
      <c r="K16" s="2"/>
    </row>
    <row r="17" spans="1:11" ht="19" customHeight="1">
      <c r="A17" s="259" t="s">
        <v>153</v>
      </c>
      <c r="B17" s="104"/>
      <c r="C17" s="96"/>
      <c r="D17" s="106"/>
      <c r="E17" s="105"/>
      <c r="F17" s="97"/>
      <c r="G17" s="103"/>
      <c r="H17" s="600"/>
      <c r="I17" s="279" t="s">
        <v>98</v>
      </c>
      <c r="J17" s="278"/>
      <c r="K17" s="2"/>
    </row>
    <row r="18" spans="1:11" ht="19" customHeight="1">
      <c r="A18" s="89" t="s">
        <v>353</v>
      </c>
      <c r="B18" s="264">
        <f>250000</f>
        <v>250000</v>
      </c>
      <c r="C18" s="96"/>
      <c r="D18" s="265" t="s">
        <v>355</v>
      </c>
      <c r="E18" s="92"/>
      <c r="F18" s="93"/>
      <c r="G18" s="103"/>
      <c r="H18" s="97"/>
      <c r="I18" s="106" t="s">
        <v>760</v>
      </c>
      <c r="J18" s="272">
        <v>600000</v>
      </c>
      <c r="K18" s="2"/>
    </row>
    <row r="19" spans="1:11" ht="19" customHeight="1">
      <c r="A19" s="260" t="s">
        <v>90</v>
      </c>
      <c r="B19" s="263">
        <f>SUM(B15:B16)-B18</f>
        <v>50000</v>
      </c>
      <c r="C19" s="96"/>
      <c r="D19" s="106"/>
      <c r="E19" s="266">
        <v>-800000</v>
      </c>
      <c r="F19" s="93"/>
      <c r="G19" s="109"/>
      <c r="H19" s="110"/>
      <c r="I19" s="109"/>
      <c r="J19" s="273"/>
      <c r="K19" s="2"/>
    </row>
    <row r="20" spans="1:11" ht="19" customHeight="1">
      <c r="A20" s="93"/>
      <c r="B20" s="97"/>
      <c r="C20" s="96"/>
      <c r="D20" s="106"/>
      <c r="E20" s="92"/>
      <c r="F20" s="93"/>
      <c r="G20" s="267" t="s">
        <v>112</v>
      </c>
      <c r="H20" s="270">
        <f>H15+H16+H17</f>
        <v>1070000</v>
      </c>
      <c r="I20" s="277" t="s">
        <v>115</v>
      </c>
      <c r="J20" s="270">
        <f>SUM(J15:J19)</f>
        <v>1070000</v>
      </c>
      <c r="K20" s="2"/>
    </row>
    <row r="21" spans="1:11" ht="19" customHeight="1">
      <c r="A21" s="93"/>
      <c r="B21" s="93"/>
      <c r="C21" s="96"/>
      <c r="D21" s="265" t="s">
        <v>356</v>
      </c>
      <c r="E21" s="92"/>
      <c r="F21" s="93"/>
      <c r="G21" s="93"/>
      <c r="H21" s="93"/>
      <c r="I21" s="93"/>
      <c r="J21" s="93"/>
      <c r="K21" s="2"/>
    </row>
    <row r="22" spans="1:11" ht="19" customHeight="1">
      <c r="A22" s="93"/>
      <c r="B22" s="93"/>
      <c r="C22" s="93"/>
      <c r="D22" s="106"/>
      <c r="E22" s="266">
        <v>500000</v>
      </c>
      <c r="F22" s="93"/>
      <c r="G22" s="269" t="s">
        <v>357</v>
      </c>
      <c r="H22" s="113"/>
      <c r="I22" s="113"/>
      <c r="J22" s="93"/>
      <c r="K22" s="2"/>
    </row>
    <row r="23" spans="1:11" ht="19" customHeight="1">
      <c r="A23" s="93"/>
      <c r="B23" s="93"/>
      <c r="C23" s="93"/>
      <c r="D23" s="106"/>
      <c r="E23" s="266">
        <v>600000</v>
      </c>
      <c r="F23" s="93"/>
      <c r="I23" s="93"/>
      <c r="J23" s="2"/>
      <c r="K23" s="2"/>
    </row>
    <row r="24" spans="1:11" ht="19" customHeight="1">
      <c r="A24" s="93"/>
      <c r="B24" s="93"/>
      <c r="C24" s="93"/>
      <c r="D24" s="106"/>
      <c r="E24" s="266">
        <v>-80000</v>
      </c>
      <c r="F24" s="93"/>
      <c r="G24" s="114" t="s">
        <v>761</v>
      </c>
      <c r="H24" s="271">
        <v>500000</v>
      </c>
      <c r="I24" s="93"/>
      <c r="J24" s="2"/>
      <c r="K24" s="2"/>
    </row>
    <row r="25" spans="1:11" ht="19" customHeight="1">
      <c r="A25" s="93"/>
      <c r="B25" s="93"/>
      <c r="C25" s="113"/>
      <c r="D25" s="109"/>
      <c r="E25" s="112"/>
      <c r="F25" s="93"/>
      <c r="G25" s="106" t="s">
        <v>226</v>
      </c>
      <c r="H25" s="272">
        <f>B19</f>
        <v>50000</v>
      </c>
      <c r="I25" s="93"/>
      <c r="J25" s="2"/>
      <c r="K25" s="2"/>
    </row>
    <row r="26" spans="1:11" ht="19" customHeight="1">
      <c r="A26" s="93"/>
      <c r="B26" s="93"/>
      <c r="C26" s="93"/>
      <c r="D26" s="265" t="s">
        <v>317</v>
      </c>
      <c r="E26" s="268">
        <f>SUM(E15:E24)</f>
        <v>270000</v>
      </c>
      <c r="F26" s="93"/>
      <c r="G26" s="106" t="s">
        <v>4</v>
      </c>
      <c r="H26" s="272">
        <v>-80000</v>
      </c>
      <c r="I26" s="115"/>
      <c r="J26" s="2"/>
      <c r="K26" s="2"/>
    </row>
    <row r="27" spans="1:11" ht="19" customHeight="1">
      <c r="A27" s="93"/>
      <c r="B27" s="93"/>
      <c r="C27" s="93"/>
      <c r="D27" s="109" t="s">
        <v>318</v>
      </c>
      <c r="E27" s="111">
        <v>0</v>
      </c>
      <c r="F27" s="93"/>
      <c r="G27" s="267" t="s">
        <v>358</v>
      </c>
      <c r="H27" s="274">
        <f>SUM(H24:H26)</f>
        <v>470000</v>
      </c>
      <c r="I27" s="115"/>
      <c r="K27" s="2"/>
    </row>
    <row r="28" spans="1:11" ht="19" customHeight="1">
      <c r="A28" s="80"/>
      <c r="B28" s="80"/>
      <c r="C28" s="93"/>
      <c r="D28" s="267" t="s">
        <v>319</v>
      </c>
      <c r="E28" s="261">
        <f>E26+E27</f>
        <v>270000</v>
      </c>
      <c r="F28" s="93"/>
      <c r="G28" s="93"/>
      <c r="H28" s="115"/>
      <c r="I28" s="115"/>
      <c r="J28" s="115"/>
      <c r="K28" s="2"/>
    </row>
    <row r="29" spans="1:11" ht="19" customHeight="1">
      <c r="A29" s="80"/>
      <c r="B29" s="80"/>
      <c r="C29" s="93"/>
      <c r="D29" s="97"/>
      <c r="E29" s="93"/>
      <c r="F29" s="93"/>
      <c r="G29" s="93"/>
      <c r="H29" s="115"/>
      <c r="I29" s="115"/>
      <c r="J29" s="115"/>
      <c r="K29" s="2"/>
    </row>
    <row r="30" spans="1:11" ht="19" customHeight="1">
      <c r="A30" s="80"/>
      <c r="B30" s="80"/>
      <c r="C30" s="93"/>
      <c r="D30" s="93"/>
      <c r="E30" s="93"/>
      <c r="F30" s="93"/>
      <c r="G30" s="93"/>
      <c r="H30" s="115"/>
      <c r="I30" s="115"/>
    </row>
    <row r="31" spans="1:11" ht="19" customHeight="1">
      <c r="A31" s="80"/>
      <c r="B31" s="80"/>
      <c r="C31" s="93"/>
      <c r="D31" s="93"/>
      <c r="E31" s="93"/>
      <c r="F31" s="93"/>
    </row>
    <row r="32" spans="1:11" ht="19" customHeight="1">
      <c r="A32" s="80"/>
      <c r="B32" s="80"/>
      <c r="C32" s="80"/>
    </row>
    <row r="33" spans="1:3" ht="19" customHeight="1">
      <c r="A33" s="80"/>
      <c r="B33" s="80"/>
      <c r="C33" s="80"/>
    </row>
    <row r="34" spans="1:3" ht="19" customHeight="1">
      <c r="A34" s="80"/>
      <c r="B34" s="80"/>
      <c r="C34" s="80"/>
    </row>
    <row r="35" spans="1:3" ht="19" customHeight="1">
      <c r="A35" s="80"/>
      <c r="B35" s="80"/>
      <c r="C35" s="80"/>
    </row>
    <row r="36" spans="1:3" ht="19" customHeight="1">
      <c r="A36" s="80"/>
      <c r="B36" s="80"/>
      <c r="C36" s="80"/>
    </row>
    <row r="37" spans="1:3" ht="19" customHeight="1">
      <c r="A37" s="80"/>
      <c r="B37" s="80"/>
      <c r="C37" s="80"/>
    </row>
    <row r="38" spans="1:3" ht="19" customHeight="1">
      <c r="A38" s="80"/>
      <c r="B38" s="80"/>
      <c r="C38" s="80"/>
    </row>
    <row r="39" spans="1:3" ht="19" customHeight="1">
      <c r="A39" s="80"/>
      <c r="B39" s="80"/>
      <c r="C39" s="80"/>
    </row>
    <row r="40" spans="1:3" ht="19" customHeight="1">
      <c r="A40" s="80"/>
      <c r="B40" s="80"/>
      <c r="C40" s="80"/>
    </row>
    <row r="41" spans="1:3" ht="19" customHeight="1">
      <c r="C41" s="80"/>
    </row>
    <row r="42" spans="1:3" ht="19" customHeight="1">
      <c r="C42" s="80"/>
    </row>
    <row r="43" spans="1:3" ht="19" customHeight="1">
      <c r="C43" s="80"/>
    </row>
    <row r="44" spans="1:3" ht="19" customHeight="1">
      <c r="C44" s="80"/>
    </row>
  </sheetData>
  <hyperlinks>
    <hyperlink ref="B1" location="Forside!A1" display="Forside!A1" xr:uid="{00000000-0004-0000-0B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9"/>
  <sheetViews>
    <sheetView zoomScale="80" zoomScaleNormal="80" workbookViewId="0">
      <selection activeCell="H11" sqref="H11"/>
    </sheetView>
  </sheetViews>
  <sheetFormatPr baseColWidth="10" defaultColWidth="21.33203125" defaultRowHeight="19" customHeight="1"/>
  <cols>
    <col min="1" max="1" width="21.33203125" style="2"/>
    <col min="2" max="2" width="16" style="2" customWidth="1"/>
    <col min="3" max="3" width="9.33203125" style="2" customWidth="1"/>
    <col min="4" max="4" width="23.83203125" style="2" customWidth="1"/>
    <col min="5" max="7" width="21.33203125" style="2"/>
    <col min="8" max="11" width="21.33203125" style="86"/>
    <col min="12" max="16384" width="21.33203125" style="2"/>
  </cols>
  <sheetData>
    <row r="1" spans="1:11" ht="19" customHeight="1">
      <c r="A1" s="2" t="s">
        <v>363</v>
      </c>
      <c r="B1" s="190" t="s">
        <v>158</v>
      </c>
      <c r="H1" s="2"/>
      <c r="I1" s="2"/>
      <c r="J1" s="2"/>
      <c r="K1" s="2"/>
    </row>
    <row r="2" spans="1:11" ht="19" customHeight="1">
      <c r="B2" s="79"/>
      <c r="C2" s="95"/>
      <c r="H2" s="2"/>
      <c r="I2" s="2"/>
      <c r="J2" s="2"/>
      <c r="K2" s="2"/>
    </row>
    <row r="3" spans="1:11" ht="19" customHeight="1">
      <c r="A3" s="2" t="s">
        <v>361</v>
      </c>
      <c r="B3" s="79"/>
      <c r="C3" s="95"/>
      <c r="H3" s="2"/>
      <c r="I3" s="2"/>
      <c r="J3" s="2"/>
      <c r="K3" s="2"/>
    </row>
    <row r="4" spans="1:11" ht="19" customHeight="1">
      <c r="A4" s="2" t="s">
        <v>362</v>
      </c>
      <c r="B4" s="79"/>
      <c r="C4" s="95"/>
      <c r="H4" s="2"/>
      <c r="I4" s="2"/>
      <c r="J4" s="2"/>
      <c r="K4" s="2"/>
    </row>
    <row r="5" spans="1:11" ht="19" customHeight="1">
      <c r="A5" s="2" t="s">
        <v>737</v>
      </c>
      <c r="B5" s="79"/>
      <c r="C5" s="95"/>
      <c r="H5" s="2"/>
      <c r="I5" s="2"/>
      <c r="J5" s="2"/>
      <c r="K5" s="2"/>
    </row>
    <row r="6" spans="1:11" ht="19" customHeight="1">
      <c r="B6" s="79"/>
      <c r="C6" s="95"/>
      <c r="H6" s="2"/>
      <c r="I6" s="2"/>
      <c r="J6" s="2"/>
      <c r="K6" s="2"/>
    </row>
    <row r="7" spans="1:11" ht="19" customHeight="1">
      <c r="A7" s="2" t="s">
        <v>350</v>
      </c>
      <c r="B7" s="79"/>
      <c r="C7" s="95"/>
      <c r="H7" s="2"/>
      <c r="I7" s="2"/>
      <c r="J7" s="2"/>
      <c r="K7" s="2"/>
    </row>
    <row r="8" spans="1:11" ht="19" customHeight="1">
      <c r="A8" s="250" t="s">
        <v>351</v>
      </c>
      <c r="B8" s="79"/>
      <c r="C8" s="95"/>
      <c r="H8" s="2"/>
      <c r="I8" s="2"/>
      <c r="J8" s="2"/>
      <c r="K8" s="2"/>
    </row>
    <row r="9" spans="1:11" ht="19" customHeight="1">
      <c r="H9" s="2"/>
      <c r="I9" s="2"/>
      <c r="J9" s="2"/>
      <c r="K9" s="2"/>
    </row>
    <row r="10" spans="1:11" ht="19" customHeight="1">
      <c r="A10" s="296" t="s">
        <v>700</v>
      </c>
      <c r="B10" s="80"/>
      <c r="C10" s="80"/>
      <c r="D10" s="80"/>
      <c r="E10" s="80"/>
      <c r="F10" s="80"/>
      <c r="G10" s="80"/>
      <c r="H10" s="2"/>
      <c r="I10" s="2"/>
      <c r="J10" s="2"/>
      <c r="K10" s="2"/>
    </row>
    <row r="11" spans="1:11" ht="19" customHeight="1">
      <c r="A11" s="562" t="s">
        <v>763</v>
      </c>
      <c r="B11" s="82"/>
      <c r="C11" s="82"/>
      <c r="D11" s="82"/>
      <c r="E11" s="82"/>
      <c r="F11" s="82"/>
      <c r="G11" s="80"/>
      <c r="H11" s="2"/>
      <c r="I11" s="2"/>
      <c r="J11" s="2"/>
      <c r="K11" s="2"/>
    </row>
    <row r="12" spans="1:11" ht="19" customHeight="1">
      <c r="B12" s="81"/>
      <c r="C12" s="81"/>
      <c r="D12" s="81"/>
      <c r="E12" s="81"/>
      <c r="F12" s="80"/>
      <c r="G12" s="80"/>
      <c r="H12" s="2"/>
      <c r="I12" s="2"/>
      <c r="J12" s="2"/>
      <c r="K12" s="2"/>
    </row>
    <row r="13" spans="1:11" ht="19" customHeight="1">
      <c r="A13" s="257" t="s">
        <v>165</v>
      </c>
      <c r="B13" s="96"/>
      <c r="C13" s="96"/>
      <c r="D13" s="257" t="s">
        <v>332</v>
      </c>
      <c r="E13" s="97"/>
      <c r="F13" s="97"/>
      <c r="G13" s="257" t="s">
        <v>154</v>
      </c>
      <c r="H13" s="96"/>
      <c r="I13" s="96"/>
      <c r="J13" s="96"/>
      <c r="K13" s="2"/>
    </row>
    <row r="14" spans="1:11" ht="19" customHeight="1">
      <c r="A14" s="258" t="s">
        <v>152</v>
      </c>
      <c r="B14" s="98"/>
      <c r="C14" s="96"/>
      <c r="D14" s="258" t="s">
        <v>354</v>
      </c>
      <c r="E14" s="99"/>
      <c r="F14" s="97"/>
      <c r="G14" s="100" t="s">
        <v>360</v>
      </c>
      <c r="H14" s="101"/>
      <c r="I14" s="279" t="s">
        <v>28</v>
      </c>
      <c r="J14" s="102"/>
      <c r="K14" s="2"/>
    </row>
    <row r="15" spans="1:11" ht="19" customHeight="1">
      <c r="A15" s="103" t="s">
        <v>756</v>
      </c>
      <c r="B15" s="262">
        <v>120000</v>
      </c>
      <c r="C15" s="96"/>
      <c r="D15" s="103"/>
      <c r="E15" s="108">
        <v>120000</v>
      </c>
      <c r="F15" s="97"/>
      <c r="G15" s="103" t="s">
        <v>762</v>
      </c>
      <c r="H15" s="276">
        <f>400000</f>
        <v>400000</v>
      </c>
      <c r="I15" s="265" t="s">
        <v>28</v>
      </c>
      <c r="J15" s="272">
        <f>H27</f>
        <v>270000</v>
      </c>
      <c r="K15" s="2"/>
    </row>
    <row r="16" spans="1:11" ht="19" customHeight="1">
      <c r="A16" s="107"/>
      <c r="B16" s="104"/>
      <c r="C16" s="96"/>
      <c r="D16" s="106"/>
      <c r="E16" s="108">
        <v>-140000</v>
      </c>
      <c r="F16" s="97"/>
      <c r="G16" s="106" t="s">
        <v>228</v>
      </c>
      <c r="H16" s="275">
        <f>E28</f>
        <v>20000</v>
      </c>
      <c r="I16" s="106"/>
      <c r="J16" s="272"/>
      <c r="K16" s="2"/>
    </row>
    <row r="17" spans="1:11" ht="19" customHeight="1">
      <c r="A17" s="259" t="s">
        <v>153</v>
      </c>
      <c r="B17" s="104"/>
      <c r="C17" s="96"/>
      <c r="D17" s="106"/>
      <c r="E17" s="105"/>
      <c r="F17" s="97"/>
      <c r="G17" s="103"/>
      <c r="H17" s="97"/>
      <c r="I17" s="279" t="s">
        <v>98</v>
      </c>
      <c r="J17" s="278"/>
      <c r="K17" s="2"/>
    </row>
    <row r="18" spans="1:11" ht="19" customHeight="1">
      <c r="A18" s="89" t="s">
        <v>754</v>
      </c>
      <c r="B18" s="264">
        <v>140000</v>
      </c>
      <c r="C18" s="96"/>
      <c r="D18" s="265" t="s">
        <v>355</v>
      </c>
      <c r="E18" s="92"/>
      <c r="F18" s="93"/>
      <c r="G18" s="103"/>
      <c r="H18" s="97"/>
      <c r="I18" s="106" t="str" cm="1">
        <f t="array" ref="I18:J18">D23:E23</f>
        <v>Gæld</v>
      </c>
      <c r="J18" s="272">
        <v>150000</v>
      </c>
      <c r="K18" s="2"/>
    </row>
    <row r="19" spans="1:11" ht="19" customHeight="1">
      <c r="A19" s="260" t="s">
        <v>90</v>
      </c>
      <c r="B19" s="263">
        <f>SUM(B15:B16)-SUM(B17:B18)</f>
        <v>-20000</v>
      </c>
      <c r="C19" s="96"/>
      <c r="D19" s="106" t="s">
        <v>762</v>
      </c>
      <c r="E19" s="266">
        <v>-400000</v>
      </c>
      <c r="F19" s="93"/>
      <c r="G19" s="109"/>
      <c r="H19" s="110"/>
      <c r="I19" s="109"/>
      <c r="J19" s="273"/>
      <c r="K19" s="2"/>
    </row>
    <row r="20" spans="1:11" ht="19" customHeight="1">
      <c r="A20" s="93"/>
      <c r="B20" s="97"/>
      <c r="C20" s="96"/>
      <c r="D20" s="106"/>
      <c r="E20" s="92"/>
      <c r="F20" s="93"/>
      <c r="G20" s="267" t="s">
        <v>112</v>
      </c>
      <c r="H20" s="270">
        <f>SUM(H15:H19)</f>
        <v>420000</v>
      </c>
      <c r="I20" s="277" t="s">
        <v>115</v>
      </c>
      <c r="J20" s="270">
        <f>SUM(J15:J19)</f>
        <v>420000</v>
      </c>
      <c r="K20" s="2"/>
    </row>
    <row r="21" spans="1:11" ht="19" customHeight="1">
      <c r="A21" s="93"/>
      <c r="B21" s="93"/>
      <c r="C21" s="96"/>
      <c r="D21" s="265" t="s">
        <v>356</v>
      </c>
      <c r="E21" s="92"/>
      <c r="F21" s="93"/>
      <c r="G21" s="93"/>
      <c r="H21" s="93"/>
      <c r="I21" s="93"/>
      <c r="J21" s="93"/>
      <c r="K21" s="2"/>
    </row>
    <row r="22" spans="1:11" ht="19" customHeight="1">
      <c r="A22" s="93"/>
      <c r="B22" s="93"/>
      <c r="C22" s="93"/>
      <c r="D22" s="106" t="s">
        <v>227</v>
      </c>
      <c r="E22" s="266">
        <v>300000</v>
      </c>
      <c r="F22" s="93"/>
      <c r="G22" s="269" t="s">
        <v>357</v>
      </c>
      <c r="H22" s="113"/>
      <c r="I22" s="113"/>
      <c r="J22" s="93"/>
      <c r="K22" s="2"/>
    </row>
    <row r="23" spans="1:11" ht="19" customHeight="1">
      <c r="A23" s="93"/>
      <c r="B23" s="93"/>
      <c r="C23" s="93"/>
      <c r="D23" s="106" t="s">
        <v>98</v>
      </c>
      <c r="E23" s="266">
        <v>150000</v>
      </c>
      <c r="F23" s="93"/>
      <c r="G23" s="114" t="s">
        <v>227</v>
      </c>
      <c r="H23" s="271">
        <f>E22</f>
        <v>300000</v>
      </c>
      <c r="I23" s="93"/>
      <c r="J23" s="2"/>
      <c r="K23" s="2"/>
    </row>
    <row r="24" spans="1:11" ht="19" customHeight="1">
      <c r="A24" s="93"/>
      <c r="B24" s="93"/>
      <c r="C24" s="93"/>
      <c r="D24" s="106" t="s">
        <v>4</v>
      </c>
      <c r="E24" s="266">
        <v>-10000</v>
      </c>
      <c r="F24" s="93"/>
      <c r="G24" s="106" t="s">
        <v>226</v>
      </c>
      <c r="H24" s="272">
        <f>B19</f>
        <v>-20000</v>
      </c>
      <c r="I24" s="93"/>
      <c r="J24" s="2"/>
      <c r="K24" s="2"/>
    </row>
    <row r="25" spans="1:11" ht="19" customHeight="1">
      <c r="A25" s="93"/>
      <c r="B25" s="93"/>
      <c r="C25" s="113"/>
      <c r="D25" s="109"/>
      <c r="E25" s="112"/>
      <c r="F25" s="93"/>
      <c r="G25" s="106" t="str" cm="1">
        <f t="array" ref="G25:H25">D24:E24</f>
        <v>Udbytte</v>
      </c>
      <c r="H25" s="272">
        <v>-10000</v>
      </c>
      <c r="I25" s="93"/>
      <c r="J25" s="2"/>
      <c r="K25" s="2"/>
    </row>
    <row r="26" spans="1:11" ht="19" customHeight="1">
      <c r="A26" s="93"/>
      <c r="B26" s="93"/>
      <c r="C26" s="93"/>
      <c r="D26" s="265" t="s">
        <v>317</v>
      </c>
      <c r="E26" s="268">
        <f>SUM(E15:E24)</f>
        <v>20000</v>
      </c>
      <c r="F26" s="93"/>
      <c r="G26" s="109"/>
      <c r="H26" s="273"/>
      <c r="I26" s="115"/>
      <c r="J26" s="2"/>
      <c r="K26" s="2"/>
    </row>
    <row r="27" spans="1:11" ht="19" customHeight="1">
      <c r="A27" s="93"/>
      <c r="B27" s="93"/>
      <c r="C27" s="93"/>
      <c r="D27" s="109" t="s">
        <v>318</v>
      </c>
      <c r="E27" s="111">
        <v>0</v>
      </c>
      <c r="F27" s="93"/>
      <c r="G27" s="267" t="s">
        <v>358</v>
      </c>
      <c r="H27" s="274">
        <f>SUM(H23:H25)</f>
        <v>270000</v>
      </c>
      <c r="I27" s="115"/>
      <c r="K27" s="2"/>
    </row>
    <row r="28" spans="1:11" ht="19" customHeight="1">
      <c r="A28" s="80"/>
      <c r="B28" s="80"/>
      <c r="C28" s="93"/>
      <c r="D28" s="267" t="s">
        <v>319</v>
      </c>
      <c r="E28" s="261">
        <f>E26+E27</f>
        <v>20000</v>
      </c>
      <c r="F28" s="93"/>
      <c r="G28" s="93"/>
      <c r="H28" s="115"/>
      <c r="I28" s="115"/>
      <c r="J28" s="115"/>
      <c r="K28" s="2"/>
    </row>
    <row r="29" spans="1:11" ht="19" customHeight="1">
      <c r="A29" s="80"/>
      <c r="B29" s="80"/>
      <c r="C29" s="80"/>
    </row>
    <row r="30" spans="1:11" ht="19" customHeight="1">
      <c r="A30" s="80"/>
      <c r="B30" s="80"/>
      <c r="C30" s="80"/>
    </row>
    <row r="31" spans="1:11" ht="19" customHeight="1">
      <c r="A31" s="80"/>
      <c r="B31" s="80"/>
      <c r="C31" s="80"/>
    </row>
    <row r="32" spans="1:11" ht="19" customHeight="1">
      <c r="A32" s="80"/>
      <c r="B32" s="80"/>
      <c r="C32" s="80"/>
    </row>
    <row r="33" spans="1:3" ht="19" customHeight="1">
      <c r="A33" s="80"/>
      <c r="B33" s="80"/>
      <c r="C33" s="80"/>
    </row>
    <row r="34" spans="1:3" ht="19" customHeight="1">
      <c r="A34" s="80"/>
      <c r="B34" s="80"/>
      <c r="C34" s="80"/>
    </row>
    <row r="35" spans="1:3" ht="19" customHeight="1">
      <c r="A35" s="80"/>
      <c r="B35" s="80"/>
      <c r="C35" s="80"/>
    </row>
    <row r="36" spans="1:3" ht="19" customHeight="1">
      <c r="C36" s="80"/>
    </row>
    <row r="37" spans="1:3" ht="19" customHeight="1">
      <c r="C37" s="80"/>
    </row>
    <row r="38" spans="1:3" ht="19" customHeight="1">
      <c r="C38" s="80"/>
    </row>
    <row r="39" spans="1:3" ht="19" customHeight="1">
      <c r="C39" s="80"/>
    </row>
  </sheetData>
  <hyperlinks>
    <hyperlink ref="B1" location="Forside!A1" display="Forside!A1" xr:uid="{00000000-0004-0000-0C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3"/>
  <sheetViews>
    <sheetView zoomScale="80" zoomScaleNormal="80" workbookViewId="0">
      <selection activeCell="D54" sqref="D54"/>
    </sheetView>
  </sheetViews>
  <sheetFormatPr baseColWidth="10" defaultColWidth="21.33203125" defaultRowHeight="19" customHeight="1"/>
  <cols>
    <col min="1" max="1" width="29.5" style="2" customWidth="1"/>
    <col min="2" max="7" width="21.33203125" style="2"/>
    <col min="8" max="11" width="21.33203125" style="86"/>
    <col min="12" max="16384" width="21.33203125" style="2"/>
  </cols>
  <sheetData>
    <row r="1" spans="1:11" ht="19" customHeight="1">
      <c r="A1" s="2" t="s">
        <v>364</v>
      </c>
      <c r="B1" s="190" t="s">
        <v>158</v>
      </c>
      <c r="H1" s="2"/>
      <c r="I1" s="2"/>
      <c r="J1" s="2"/>
      <c r="K1" s="2"/>
    </row>
    <row r="2" spans="1:11" ht="19" customHeight="1">
      <c r="H2" s="2"/>
      <c r="I2" s="2"/>
      <c r="J2" s="2"/>
      <c r="K2" s="2"/>
    </row>
    <row r="3" spans="1:11" ht="19" customHeight="1">
      <c r="A3" s="2" t="s">
        <v>365</v>
      </c>
      <c r="H3" s="2"/>
      <c r="I3" s="2"/>
      <c r="J3" s="2"/>
      <c r="K3" s="2"/>
    </row>
    <row r="4" spans="1:11" ht="19" customHeight="1">
      <c r="A4" s="80"/>
      <c r="B4" s="80"/>
      <c r="C4" s="80"/>
      <c r="D4" s="80"/>
      <c r="E4" s="80"/>
      <c r="F4" s="80"/>
      <c r="G4" s="80"/>
      <c r="H4" s="2"/>
      <c r="I4" s="2"/>
      <c r="J4" s="2"/>
      <c r="K4" s="2"/>
    </row>
    <row r="5" spans="1:11" ht="19" customHeight="1">
      <c r="A5" s="287" t="s">
        <v>366</v>
      </c>
      <c r="B5" s="288">
        <v>1000</v>
      </c>
      <c r="C5" s="286" t="s">
        <v>376</v>
      </c>
      <c r="D5" s="289">
        <v>1000</v>
      </c>
      <c r="E5" s="82"/>
      <c r="F5" s="82"/>
      <c r="G5" s="82"/>
      <c r="H5" s="80"/>
      <c r="I5" s="2"/>
      <c r="J5" s="2"/>
      <c r="K5" s="2"/>
    </row>
    <row r="6" spans="1:11" ht="19" customHeight="1">
      <c r="A6" s="284" t="s">
        <v>375</v>
      </c>
      <c r="B6" s="301"/>
      <c r="C6" s="290" t="s">
        <v>28</v>
      </c>
      <c r="D6" s="283"/>
      <c r="E6" s="82"/>
      <c r="F6" s="82"/>
      <c r="G6" s="82"/>
      <c r="H6" s="80"/>
      <c r="I6" s="2"/>
      <c r="J6" s="2"/>
      <c r="K6" s="2"/>
    </row>
    <row r="7" spans="1:11" ht="19" customHeight="1">
      <c r="A7" s="88" t="s">
        <v>270</v>
      </c>
      <c r="B7" s="285">
        <v>50000</v>
      </c>
      <c r="C7" s="282" t="s">
        <v>227</v>
      </c>
      <c r="D7" s="291">
        <v>50000</v>
      </c>
      <c r="E7" s="82"/>
      <c r="F7" s="82"/>
      <c r="G7" s="82"/>
      <c r="H7" s="80"/>
      <c r="I7" s="2"/>
      <c r="J7" s="2"/>
      <c r="K7" s="2"/>
    </row>
    <row r="8" spans="1:11" ht="19" customHeight="1">
      <c r="A8" s="88"/>
      <c r="B8" s="301"/>
      <c r="C8" s="282" t="s">
        <v>226</v>
      </c>
      <c r="D8" s="291">
        <v>13000</v>
      </c>
      <c r="E8" s="82"/>
      <c r="F8" s="82"/>
      <c r="G8" s="82"/>
      <c r="H8" s="80"/>
      <c r="I8" s="2"/>
      <c r="J8" s="2"/>
      <c r="K8" s="2"/>
    </row>
    <row r="9" spans="1:11" ht="19" customHeight="1">
      <c r="A9" s="284" t="s">
        <v>367</v>
      </c>
      <c r="B9" s="82"/>
      <c r="C9" s="282"/>
      <c r="D9" s="283"/>
      <c r="E9" s="82"/>
      <c r="F9" s="82"/>
      <c r="G9" s="82"/>
      <c r="H9" s="80"/>
      <c r="I9" s="2"/>
      <c r="J9" s="2"/>
      <c r="K9" s="2"/>
    </row>
    <row r="10" spans="1:11" ht="19" customHeight="1">
      <c r="A10" s="88" t="s">
        <v>275</v>
      </c>
      <c r="B10" s="285">
        <v>52000</v>
      </c>
      <c r="C10" s="290" t="s">
        <v>276</v>
      </c>
      <c r="D10" s="291"/>
      <c r="E10" s="82"/>
      <c r="F10" s="82"/>
      <c r="G10" s="82"/>
      <c r="H10" s="80"/>
      <c r="I10" s="2"/>
      <c r="J10" s="2"/>
      <c r="K10" s="2"/>
    </row>
    <row r="11" spans="1:11" ht="19" customHeight="1">
      <c r="A11" s="88" t="s">
        <v>368</v>
      </c>
      <c r="B11" s="285">
        <v>30000</v>
      </c>
      <c r="C11" s="282" t="s">
        <v>195</v>
      </c>
      <c r="D11" s="291">
        <v>25000</v>
      </c>
      <c r="E11" s="82"/>
      <c r="F11" s="82"/>
      <c r="G11" s="82"/>
      <c r="H11" s="80"/>
      <c r="I11" s="2"/>
      <c r="J11" s="2"/>
      <c r="K11" s="2"/>
    </row>
    <row r="12" spans="1:11" ht="19" customHeight="1">
      <c r="A12" s="88"/>
      <c r="B12" s="82"/>
      <c r="C12" s="282"/>
      <c r="D12" s="291"/>
      <c r="E12" s="82"/>
      <c r="F12" s="82"/>
      <c r="G12" s="82"/>
      <c r="H12" s="80"/>
      <c r="I12" s="2"/>
      <c r="J12" s="2"/>
      <c r="K12" s="2"/>
    </row>
    <row r="13" spans="1:11" ht="19" customHeight="1">
      <c r="A13" s="284" t="s">
        <v>111</v>
      </c>
      <c r="B13" s="285"/>
      <c r="C13" s="290" t="s">
        <v>277</v>
      </c>
      <c r="D13" s="291"/>
      <c r="E13" s="82"/>
      <c r="F13" s="82"/>
      <c r="G13" s="82"/>
      <c r="H13" s="80"/>
      <c r="I13" s="2"/>
      <c r="J13" s="2"/>
      <c r="K13" s="2"/>
    </row>
    <row r="14" spans="1:11" ht="19" customHeight="1">
      <c r="A14" s="88" t="s">
        <v>30</v>
      </c>
      <c r="B14" s="285">
        <v>42000</v>
      </c>
      <c r="C14" s="282" t="s">
        <v>167</v>
      </c>
      <c r="D14" s="291">
        <v>75000</v>
      </c>
      <c r="E14" s="82"/>
      <c r="F14" s="82"/>
      <c r="G14" s="82"/>
      <c r="H14" s="80"/>
      <c r="I14" s="2"/>
      <c r="J14" s="2"/>
      <c r="K14" s="2"/>
    </row>
    <row r="15" spans="1:11" ht="19" customHeight="1">
      <c r="A15" s="34" t="s">
        <v>268</v>
      </c>
      <c r="B15" s="285">
        <v>35000</v>
      </c>
      <c r="C15" s="282" t="s">
        <v>194</v>
      </c>
      <c r="D15" s="291">
        <v>42000</v>
      </c>
      <c r="E15" s="82"/>
      <c r="F15" s="82"/>
      <c r="G15" s="82"/>
      <c r="H15" s="80"/>
      <c r="I15" s="2"/>
      <c r="J15" s="2"/>
      <c r="K15" s="2"/>
    </row>
    <row r="16" spans="1:11" ht="19" customHeight="1">
      <c r="A16" s="34" t="s">
        <v>369</v>
      </c>
      <c r="B16" s="285">
        <v>10000</v>
      </c>
      <c r="C16" s="282" t="s">
        <v>91</v>
      </c>
      <c r="D16" s="291">
        <v>54000</v>
      </c>
      <c r="E16" s="82"/>
      <c r="F16" s="82"/>
      <c r="G16" s="82"/>
      <c r="H16" s="80"/>
      <c r="I16" s="2"/>
      <c r="J16" s="2"/>
      <c r="K16" s="2"/>
    </row>
    <row r="17" spans="1:11" ht="19" customHeight="1">
      <c r="A17" s="34" t="s">
        <v>274</v>
      </c>
      <c r="B17" s="285">
        <v>15000</v>
      </c>
      <c r="C17" s="282"/>
      <c r="D17" s="291"/>
      <c r="E17" s="82"/>
      <c r="F17" s="82"/>
      <c r="G17" s="82"/>
      <c r="H17" s="80"/>
      <c r="I17" s="2"/>
      <c r="J17" s="2"/>
      <c r="K17" s="2"/>
    </row>
    <row r="18" spans="1:11" ht="19" customHeight="1">
      <c r="A18" s="34" t="s">
        <v>359</v>
      </c>
      <c r="B18" s="285">
        <v>25000</v>
      </c>
      <c r="C18" s="282"/>
      <c r="D18" s="291"/>
      <c r="E18" s="82"/>
      <c r="F18" s="82"/>
      <c r="G18" s="82"/>
      <c r="H18" s="80"/>
      <c r="I18" s="2"/>
      <c r="J18" s="2"/>
      <c r="K18" s="2"/>
    </row>
    <row r="19" spans="1:11" ht="19" customHeight="1">
      <c r="A19" s="287" t="s">
        <v>112</v>
      </c>
      <c r="B19" s="294">
        <f>SUM(B7:B18)</f>
        <v>259000</v>
      </c>
      <c r="C19" s="292" t="s">
        <v>115</v>
      </c>
      <c r="D19" s="293">
        <f>SUM(D7:D16)</f>
        <v>259000</v>
      </c>
      <c r="E19" s="33"/>
      <c r="F19" s="33"/>
      <c r="G19" s="80"/>
      <c r="H19" s="2"/>
      <c r="I19" s="2"/>
      <c r="J19" s="2"/>
      <c r="K19" s="2"/>
    </row>
    <row r="20" spans="1:11" ht="19" customHeight="1">
      <c r="A20" s="295"/>
      <c r="B20" s="239"/>
      <c r="C20" s="234"/>
      <c r="D20" s="239"/>
      <c r="E20" s="33"/>
      <c r="F20" s="33"/>
      <c r="G20" s="80"/>
      <c r="H20" s="2"/>
      <c r="I20" s="2"/>
      <c r="J20" s="2"/>
      <c r="K20" s="2"/>
    </row>
    <row r="21" spans="1:11" ht="19" customHeight="1">
      <c r="A21" s="296" t="s">
        <v>370</v>
      </c>
      <c r="B21" s="80"/>
      <c r="C21" s="80"/>
      <c r="D21" s="80"/>
      <c r="E21" s="80"/>
      <c r="F21" s="80"/>
      <c r="G21" s="80"/>
      <c r="H21" s="2"/>
      <c r="I21" s="2"/>
      <c r="J21" s="2"/>
      <c r="K21" s="2"/>
    </row>
    <row r="22" spans="1:11" ht="19" customHeight="1">
      <c r="A22" s="297" t="s">
        <v>780</v>
      </c>
      <c r="B22" s="80"/>
      <c r="C22" s="80"/>
      <c r="D22" s="80"/>
      <c r="E22" s="80"/>
      <c r="F22" s="80"/>
      <c r="G22" s="80"/>
      <c r="H22" s="2"/>
      <c r="I22" s="2"/>
      <c r="J22" s="2"/>
      <c r="K22" s="2"/>
    </row>
    <row r="23" spans="1:11" ht="19" customHeight="1">
      <c r="A23" s="297" t="s">
        <v>781</v>
      </c>
      <c r="B23" s="80"/>
      <c r="C23" s="80"/>
      <c r="D23" s="80"/>
      <c r="E23" s="80"/>
      <c r="F23" s="80"/>
      <c r="G23" s="80"/>
      <c r="H23" s="2"/>
      <c r="I23" s="2"/>
      <c r="J23" s="2"/>
      <c r="K23" s="2"/>
    </row>
    <row r="24" spans="1:11" ht="19" customHeight="1">
      <c r="A24" s="298"/>
      <c r="B24" s="120"/>
      <c r="C24" s="80"/>
      <c r="D24" s="80"/>
      <c r="E24" s="80"/>
      <c r="F24" s="80"/>
      <c r="G24" s="80"/>
      <c r="H24" s="2"/>
      <c r="I24" s="2"/>
      <c r="J24" s="2"/>
      <c r="K24" s="2"/>
    </row>
    <row r="25" spans="1:11" ht="19" customHeight="1">
      <c r="A25" s="298"/>
      <c r="B25" s="120"/>
      <c r="C25" s="80"/>
      <c r="D25" s="80"/>
      <c r="E25" s="80"/>
      <c r="F25" s="80"/>
      <c r="G25" s="80"/>
      <c r="H25" s="2"/>
      <c r="I25" s="2"/>
      <c r="J25" s="2"/>
      <c r="K25" s="2"/>
    </row>
    <row r="26" spans="1:11" ht="19" customHeight="1">
      <c r="A26" s="299" t="s">
        <v>371</v>
      </c>
      <c r="B26" s="120"/>
      <c r="C26" s="80"/>
      <c r="D26" s="80"/>
      <c r="E26" s="80"/>
      <c r="F26" s="80"/>
      <c r="G26" s="80"/>
      <c r="H26" s="2"/>
      <c r="I26" s="2"/>
      <c r="J26" s="2"/>
      <c r="K26" s="2"/>
    </row>
    <row r="27" spans="1:11" ht="19" customHeight="1">
      <c r="A27" s="299"/>
      <c r="B27" s="120"/>
      <c r="C27" s="80"/>
      <c r="D27" s="80"/>
      <c r="E27" s="80"/>
      <c r="F27" s="80"/>
      <c r="G27" s="80"/>
      <c r="H27" s="2"/>
      <c r="I27" s="2"/>
      <c r="J27" s="2"/>
      <c r="K27" s="2"/>
    </row>
    <row r="28" spans="1:11" ht="19" customHeight="1">
      <c r="A28" s="80"/>
      <c r="B28" s="80"/>
      <c r="C28" s="80"/>
      <c r="D28" s="80"/>
      <c r="E28" s="80"/>
      <c r="F28" s="80"/>
      <c r="G28" s="80"/>
      <c r="H28" s="2"/>
      <c r="I28" s="2"/>
      <c r="J28" s="2"/>
      <c r="K28" s="2"/>
    </row>
    <row r="29" spans="1:11" ht="19" customHeight="1">
      <c r="A29" s="287" t="s">
        <v>366</v>
      </c>
      <c r="B29" s="288">
        <v>1000</v>
      </c>
      <c r="C29" s="286" t="s">
        <v>376</v>
      </c>
      <c r="D29" s="289">
        <v>1000</v>
      </c>
      <c r="E29" s="82"/>
      <c r="F29" s="300" t="s">
        <v>372</v>
      </c>
      <c r="G29" s="80"/>
      <c r="H29" s="2"/>
      <c r="I29" s="2"/>
      <c r="J29" s="2"/>
      <c r="K29" s="2"/>
    </row>
    <row r="30" spans="1:11" ht="19" customHeight="1">
      <c r="A30" s="284" t="s">
        <v>375</v>
      </c>
      <c r="B30" s="301"/>
      <c r="C30" s="290" t="s">
        <v>28</v>
      </c>
      <c r="D30" s="283"/>
      <c r="E30" s="33"/>
      <c r="F30" s="33" t="s">
        <v>438</v>
      </c>
      <c r="G30" s="80"/>
      <c r="H30" s="2"/>
      <c r="I30" s="2"/>
      <c r="J30" s="2"/>
      <c r="K30" s="2"/>
    </row>
    <row r="31" spans="1:11" ht="19" customHeight="1">
      <c r="A31" s="88" t="s">
        <v>270</v>
      </c>
      <c r="B31" s="285">
        <v>0</v>
      </c>
      <c r="C31" s="282" t="s">
        <v>227</v>
      </c>
      <c r="D31" s="291">
        <v>6000</v>
      </c>
      <c r="E31" s="33"/>
      <c r="F31" s="33" t="s">
        <v>373</v>
      </c>
      <c r="G31" s="80"/>
      <c r="H31" s="2"/>
      <c r="I31" s="2"/>
      <c r="J31" s="2"/>
      <c r="K31" s="2"/>
    </row>
    <row r="32" spans="1:11" ht="19" customHeight="1">
      <c r="A32" s="88"/>
      <c r="B32" s="301"/>
      <c r="C32" s="282" t="s">
        <v>226</v>
      </c>
      <c r="D32" s="291"/>
      <c r="E32" s="33"/>
      <c r="F32" s="2" t="s">
        <v>374</v>
      </c>
      <c r="G32" s="80"/>
      <c r="H32" s="2"/>
      <c r="I32" s="2"/>
      <c r="J32" s="2"/>
      <c r="K32" s="2"/>
    </row>
    <row r="33" spans="1:11" ht="19" customHeight="1">
      <c r="A33" s="284" t="s">
        <v>367</v>
      </c>
      <c r="B33" s="82"/>
      <c r="C33" s="282"/>
      <c r="D33" s="283"/>
      <c r="E33" s="33"/>
      <c r="F33" s="2" t="s">
        <v>377</v>
      </c>
      <c r="G33" s="80"/>
      <c r="H33" s="2"/>
      <c r="I33" s="2"/>
      <c r="J33" s="2"/>
      <c r="K33" s="2"/>
    </row>
    <row r="34" spans="1:11" ht="19" customHeight="1">
      <c r="A34" s="88" t="s">
        <v>275</v>
      </c>
      <c r="B34" s="285">
        <v>50000</v>
      </c>
      <c r="C34" s="290" t="s">
        <v>276</v>
      </c>
      <c r="D34" s="291"/>
      <c r="E34" s="33"/>
      <c r="F34" s="2" t="s">
        <v>379</v>
      </c>
      <c r="G34" s="80"/>
      <c r="H34" s="2"/>
      <c r="I34" s="2"/>
      <c r="J34" s="2"/>
      <c r="K34" s="2"/>
    </row>
    <row r="35" spans="1:11" ht="19" customHeight="1">
      <c r="A35" s="88" t="s">
        <v>368</v>
      </c>
      <c r="B35" s="285">
        <v>50000</v>
      </c>
      <c r="C35" s="282" t="s">
        <v>195</v>
      </c>
      <c r="D35" s="291">
        <v>25000</v>
      </c>
      <c r="E35" s="33"/>
      <c r="F35" s="33" t="s">
        <v>378</v>
      </c>
      <c r="G35" s="80"/>
      <c r="H35" s="2"/>
      <c r="I35" s="2"/>
      <c r="J35" s="2"/>
      <c r="K35" s="2"/>
    </row>
    <row r="36" spans="1:11" ht="19" customHeight="1">
      <c r="A36" s="88"/>
      <c r="B36" s="82"/>
      <c r="C36" s="282"/>
      <c r="D36" s="291"/>
      <c r="E36" s="33"/>
      <c r="F36" s="33" t="s">
        <v>380</v>
      </c>
      <c r="G36" s="80"/>
      <c r="H36" s="2"/>
      <c r="I36" s="2"/>
      <c r="J36" s="2"/>
      <c r="K36" s="2"/>
    </row>
    <row r="37" spans="1:11" ht="19" customHeight="1">
      <c r="A37" s="284" t="s">
        <v>111</v>
      </c>
      <c r="B37" s="285"/>
      <c r="C37" s="290" t="s">
        <v>277</v>
      </c>
      <c r="D37" s="291"/>
      <c r="E37" s="33"/>
      <c r="F37" s="33"/>
      <c r="G37" s="80"/>
      <c r="H37" s="2"/>
      <c r="I37" s="2"/>
      <c r="J37" s="2"/>
      <c r="K37" s="2"/>
    </row>
    <row r="38" spans="1:11" ht="19" customHeight="1">
      <c r="A38" s="88" t="s">
        <v>30</v>
      </c>
      <c r="B38" s="285">
        <v>33000</v>
      </c>
      <c r="C38" s="282" t="s">
        <v>167</v>
      </c>
      <c r="D38" s="291">
        <v>75000</v>
      </c>
      <c r="E38" s="33"/>
      <c r="F38" s="33"/>
      <c r="G38" s="80"/>
      <c r="H38" s="2"/>
      <c r="I38" s="2"/>
      <c r="J38" s="2"/>
      <c r="K38" s="2"/>
    </row>
    <row r="39" spans="1:11" ht="19" customHeight="1">
      <c r="A39" s="34" t="s">
        <v>268</v>
      </c>
      <c r="B39" s="285">
        <v>25000</v>
      </c>
      <c r="C39" s="282" t="s">
        <v>194</v>
      </c>
      <c r="D39" s="291">
        <v>42000</v>
      </c>
      <c r="E39" s="33"/>
      <c r="F39" s="33"/>
      <c r="G39" s="80"/>
      <c r="H39" s="2"/>
      <c r="I39" s="2"/>
      <c r="J39" s="2"/>
      <c r="K39" s="2"/>
    </row>
    <row r="40" spans="1:11" ht="19" customHeight="1">
      <c r="A40" s="34" t="s">
        <v>369</v>
      </c>
      <c r="B40" s="285">
        <v>0</v>
      </c>
      <c r="C40" s="282" t="s">
        <v>91</v>
      </c>
      <c r="D40" s="291">
        <v>54000</v>
      </c>
      <c r="E40" s="33"/>
      <c r="F40" s="33"/>
      <c r="G40" s="80"/>
      <c r="H40" s="2"/>
      <c r="I40" s="2"/>
      <c r="J40" s="2"/>
      <c r="K40" s="2"/>
    </row>
    <row r="41" spans="1:11" ht="19" customHeight="1">
      <c r="A41" s="34" t="s">
        <v>274</v>
      </c>
      <c r="B41" s="285">
        <v>19000</v>
      </c>
      <c r="C41" s="282"/>
      <c r="D41" s="291"/>
      <c r="E41" s="33"/>
      <c r="F41" s="33"/>
      <c r="G41" s="80"/>
      <c r="H41" s="2"/>
      <c r="I41" s="2"/>
      <c r="J41" s="2"/>
      <c r="K41" s="2"/>
    </row>
    <row r="42" spans="1:11" ht="19" customHeight="1">
      <c r="A42" s="34" t="s">
        <v>359</v>
      </c>
      <c r="B42" s="285">
        <v>25000</v>
      </c>
      <c r="C42" s="282"/>
      <c r="D42" s="291"/>
      <c r="E42" s="33"/>
      <c r="F42" s="33"/>
      <c r="G42" s="80"/>
      <c r="H42" s="2"/>
      <c r="I42" s="2"/>
      <c r="J42" s="2"/>
      <c r="K42" s="2"/>
    </row>
    <row r="43" spans="1:11" ht="19" customHeight="1">
      <c r="A43" s="287" t="s">
        <v>112</v>
      </c>
      <c r="B43" s="294">
        <f>SUM(B31:B42)</f>
        <v>202000</v>
      </c>
      <c r="C43" s="292" t="s">
        <v>115</v>
      </c>
      <c r="D43" s="293">
        <f>SUM(D31:D40)</f>
        <v>202000</v>
      </c>
      <c r="E43" s="33"/>
      <c r="F43" s="33"/>
      <c r="G43" s="80"/>
      <c r="H43" s="2"/>
      <c r="I43" s="2"/>
      <c r="J43" s="2"/>
      <c r="K43" s="2"/>
    </row>
    <row r="44" spans="1:11" ht="19" customHeight="1">
      <c r="A44" s="295" t="s">
        <v>764</v>
      </c>
      <c r="B44" s="239">
        <f>B43</f>
        <v>202000</v>
      </c>
      <c r="C44" s="234"/>
      <c r="D44" s="239"/>
      <c r="E44" s="33"/>
      <c r="F44" s="33"/>
      <c r="G44" s="80"/>
      <c r="H44" s="2"/>
      <c r="I44" s="2"/>
      <c r="J44" s="2"/>
      <c r="K44" s="2"/>
    </row>
    <row r="45" spans="1:11" ht="19" customHeight="1">
      <c r="A45" s="688"/>
      <c r="B45" s="688"/>
      <c r="C45" s="302"/>
      <c r="D45" s="303"/>
      <c r="E45" s="304"/>
      <c r="F45" s="304"/>
      <c r="G45" s="80"/>
      <c r="H45" s="2"/>
      <c r="I45" s="2"/>
      <c r="J45" s="2"/>
      <c r="K45" s="2"/>
    </row>
    <row r="46" spans="1:11" ht="19" customHeight="1">
      <c r="A46" s="305"/>
      <c r="B46" s="303"/>
      <c r="C46" s="302"/>
      <c r="D46" s="303"/>
      <c r="E46" s="304"/>
      <c r="F46" s="304"/>
      <c r="G46" s="80"/>
      <c r="H46" s="2"/>
      <c r="I46" s="2"/>
      <c r="J46" s="2"/>
      <c r="K46" s="2"/>
    </row>
    <row r="47" spans="1:11" ht="19" customHeight="1">
      <c r="A47" s="305"/>
      <c r="B47" s="303"/>
      <c r="C47" s="302"/>
      <c r="D47" s="303"/>
      <c r="E47" s="304"/>
      <c r="F47" s="304"/>
      <c r="G47" s="80"/>
      <c r="H47" s="2"/>
      <c r="I47" s="2"/>
      <c r="J47" s="2"/>
      <c r="K47" s="2"/>
    </row>
    <row r="48" spans="1:11" ht="19" customHeight="1">
      <c r="A48" s="304"/>
      <c r="B48" s="303"/>
      <c r="C48" s="302"/>
      <c r="D48" s="303"/>
      <c r="E48" s="304"/>
      <c r="F48" s="304"/>
      <c r="G48" s="80"/>
      <c r="H48" s="2"/>
      <c r="I48" s="2"/>
      <c r="J48" s="2"/>
      <c r="K48" s="2"/>
    </row>
    <row r="49" spans="1:11" ht="19" customHeight="1">
      <c r="A49" s="304" t="s">
        <v>782</v>
      </c>
      <c r="B49" s="303" t="s">
        <v>360</v>
      </c>
      <c r="C49" s="302" t="s">
        <v>98</v>
      </c>
      <c r="D49" s="303"/>
      <c r="E49" s="304"/>
      <c r="F49" s="304"/>
      <c r="G49" s="80"/>
      <c r="H49" s="2"/>
      <c r="I49" s="2"/>
      <c r="J49" s="2"/>
      <c r="K49" s="2"/>
    </row>
    <row r="50" spans="1:11" ht="19" customHeight="1">
      <c r="A50" s="306" t="s">
        <v>783</v>
      </c>
      <c r="B50" s="602">
        <f>B43</f>
        <v>202000</v>
      </c>
      <c r="C50" s="602">
        <f>SUM(D35:D42)</f>
        <v>196000</v>
      </c>
      <c r="D50" s="306"/>
      <c r="E50" s="306"/>
      <c r="F50" s="306"/>
    </row>
    <row r="51" spans="1:11" ht="19" customHeight="1">
      <c r="A51" s="601">
        <f>B43-SUM(D35:D40)</f>
        <v>6000</v>
      </c>
    </row>
    <row r="53" spans="1:11" ht="19" customHeight="1">
      <c r="A53" s="2" t="s">
        <v>784</v>
      </c>
    </row>
  </sheetData>
  <mergeCells count="1">
    <mergeCell ref="A45:B45"/>
  </mergeCells>
  <hyperlinks>
    <hyperlink ref="B1" location="Forside!A1" display="Forside!A1" xr:uid="{00000000-0004-0000-0D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8"/>
  <sheetViews>
    <sheetView zoomScale="80" zoomScaleNormal="80" workbookViewId="0">
      <selection activeCell="E11" sqref="E11"/>
    </sheetView>
  </sheetViews>
  <sheetFormatPr baseColWidth="10" defaultColWidth="21.33203125" defaultRowHeight="19" customHeight="1"/>
  <cols>
    <col min="1" max="1" width="13.83203125" style="2" customWidth="1"/>
    <col min="2" max="2" width="21.33203125" style="2"/>
    <col min="3" max="3" width="23" style="2" bestFit="1" customWidth="1"/>
    <col min="4" max="4" width="23.83203125" style="2" bestFit="1" customWidth="1"/>
    <col min="5" max="7" width="21.33203125" style="2"/>
    <col min="8" max="11" width="21.33203125" style="86"/>
    <col min="12" max="16384" width="21.33203125" style="2"/>
  </cols>
  <sheetData>
    <row r="1" spans="1:11" ht="19" customHeight="1">
      <c r="A1" s="2" t="s">
        <v>701</v>
      </c>
      <c r="B1" s="190" t="s">
        <v>158</v>
      </c>
      <c r="H1" s="2"/>
      <c r="I1" s="2"/>
      <c r="J1" s="2"/>
      <c r="K1" s="2"/>
    </row>
    <row r="2" spans="1:11" ht="19" customHeight="1">
      <c r="B2" s="95"/>
      <c r="H2" s="2"/>
      <c r="I2" s="2"/>
      <c r="J2" s="2"/>
      <c r="K2" s="2"/>
    </row>
    <row r="3" spans="1:11" ht="19" customHeight="1">
      <c r="A3" s="2" t="s">
        <v>387</v>
      </c>
      <c r="B3" s="95"/>
      <c r="H3" s="2"/>
      <c r="I3" s="2"/>
      <c r="J3" s="2"/>
      <c r="K3" s="2"/>
    </row>
    <row r="4" spans="1:11" ht="19" customHeight="1">
      <c r="H4" s="2"/>
      <c r="I4" s="2"/>
      <c r="J4" s="2"/>
      <c r="K4" s="2"/>
    </row>
    <row r="5" spans="1:11" ht="19" customHeight="1">
      <c r="A5" s="250" t="s">
        <v>385</v>
      </c>
      <c r="H5" s="2"/>
      <c r="I5" s="2"/>
      <c r="J5" s="2"/>
      <c r="K5" s="2"/>
    </row>
    <row r="6" spans="1:11" ht="19" customHeight="1">
      <c r="A6" s="80"/>
      <c r="B6" s="80"/>
      <c r="C6" s="80"/>
      <c r="D6" s="80"/>
      <c r="E6" s="80"/>
      <c r="F6" s="80"/>
      <c r="G6" s="80"/>
      <c r="H6" s="2"/>
      <c r="I6" s="2"/>
      <c r="J6" s="2"/>
      <c r="K6" s="2"/>
    </row>
    <row r="7" spans="1:11" ht="19" customHeight="1">
      <c r="A7" s="309" t="s">
        <v>384</v>
      </c>
      <c r="B7" s="308" t="s">
        <v>381</v>
      </c>
      <c r="C7" s="307" t="s">
        <v>382</v>
      </c>
      <c r="D7" s="307" t="s">
        <v>383</v>
      </c>
      <c r="E7" s="313" t="s">
        <v>386</v>
      </c>
      <c r="F7" s="314" t="s">
        <v>388</v>
      </c>
      <c r="G7" s="80"/>
      <c r="H7" s="2"/>
      <c r="I7" s="2"/>
      <c r="J7" s="2"/>
      <c r="K7" s="2"/>
    </row>
    <row r="8" spans="1:11" ht="19" customHeight="1">
      <c r="A8" s="81" t="s">
        <v>0</v>
      </c>
      <c r="B8" s="310">
        <v>2500</v>
      </c>
      <c r="C8" s="311">
        <v>-50</v>
      </c>
      <c r="D8" s="311">
        <v>-1000</v>
      </c>
      <c r="E8" s="312" t="s">
        <v>765</v>
      </c>
      <c r="F8" s="304" t="s">
        <v>766</v>
      </c>
      <c r="G8" s="80"/>
      <c r="H8" s="2"/>
      <c r="I8" s="2"/>
      <c r="J8" s="2"/>
      <c r="K8" s="2"/>
    </row>
    <row r="9" spans="1:11" ht="19" customHeight="1">
      <c r="A9" s="81" t="s">
        <v>1</v>
      </c>
      <c r="B9" s="310">
        <v>1800</v>
      </c>
      <c r="C9" s="310">
        <v>-1200</v>
      </c>
      <c r="D9" s="311">
        <v>300</v>
      </c>
      <c r="E9" s="312" t="s">
        <v>767</v>
      </c>
      <c r="F9" s="304" t="s">
        <v>768</v>
      </c>
      <c r="G9" s="80"/>
      <c r="H9" s="2"/>
      <c r="I9" s="2"/>
      <c r="J9" s="2"/>
      <c r="K9" s="2"/>
    </row>
    <row r="10" spans="1:11" ht="19" customHeight="1">
      <c r="A10" s="81" t="s">
        <v>2</v>
      </c>
      <c r="B10" s="310">
        <v>800</v>
      </c>
      <c r="C10" s="311">
        <v>500</v>
      </c>
      <c r="D10" s="310">
        <v>-1800</v>
      </c>
      <c r="E10" s="312" t="s">
        <v>769</v>
      </c>
      <c r="F10" s="304" t="s">
        <v>770</v>
      </c>
      <c r="G10" s="80"/>
      <c r="H10" s="2"/>
      <c r="I10" s="2"/>
      <c r="J10" s="2"/>
      <c r="K10" s="2"/>
    </row>
    <row r="11" spans="1:11" ht="19" customHeight="1">
      <c r="A11" s="81"/>
      <c r="B11" s="81"/>
      <c r="C11" s="81"/>
      <c r="D11" s="81"/>
      <c r="E11" s="81"/>
      <c r="F11" s="81"/>
      <c r="G11" s="80"/>
      <c r="H11" s="2"/>
      <c r="I11" s="2"/>
      <c r="J11" s="2"/>
      <c r="K11" s="2"/>
    </row>
    <row r="12" spans="1:11" ht="19" customHeight="1">
      <c r="B12" s="81"/>
      <c r="C12" s="81"/>
      <c r="D12" s="81"/>
      <c r="E12" s="81"/>
      <c r="F12" s="81"/>
      <c r="G12" s="80"/>
      <c r="H12" s="2"/>
      <c r="I12" s="2"/>
      <c r="J12" s="2"/>
      <c r="K12" s="2"/>
    </row>
    <row r="13" spans="1:11" ht="19" customHeight="1">
      <c r="A13" s="3"/>
      <c r="B13" s="81"/>
      <c r="C13" s="81"/>
      <c r="D13" s="81"/>
      <c r="E13" s="81"/>
      <c r="F13" s="81"/>
      <c r="G13" s="80"/>
      <c r="H13" s="2"/>
      <c r="I13" s="2"/>
      <c r="J13" s="2"/>
      <c r="K13" s="2"/>
    </row>
    <row r="14" spans="1:11" ht="19" customHeight="1">
      <c r="A14" s="81"/>
      <c r="B14" s="81"/>
      <c r="C14" s="81"/>
      <c r="D14" s="81"/>
      <c r="E14" s="81"/>
      <c r="F14" s="81"/>
      <c r="G14" s="80"/>
      <c r="H14" s="2"/>
      <c r="I14" s="2"/>
      <c r="J14" s="2"/>
      <c r="K14" s="2"/>
    </row>
    <row r="15" spans="1:11" ht="19" customHeight="1">
      <c r="A15" s="81"/>
      <c r="B15" s="81"/>
      <c r="C15" s="81"/>
      <c r="D15" s="81"/>
      <c r="E15" s="81"/>
      <c r="F15" s="81"/>
      <c r="G15" s="80"/>
      <c r="H15" s="2"/>
      <c r="I15" s="2"/>
      <c r="J15" s="2"/>
      <c r="K15" s="2"/>
    </row>
    <row r="16" spans="1:11" ht="19" customHeight="1">
      <c r="A16" s="80"/>
      <c r="B16" s="80"/>
      <c r="C16" s="80"/>
      <c r="D16" s="80"/>
      <c r="E16" s="80"/>
      <c r="F16" s="80"/>
      <c r="G16" s="80"/>
      <c r="H16" s="2"/>
      <c r="I16" s="2"/>
      <c r="J16" s="2"/>
      <c r="K16" s="2"/>
    </row>
    <row r="17" spans="1:11" ht="19" customHeight="1">
      <c r="A17" s="80"/>
      <c r="B17" s="80"/>
      <c r="C17" s="80"/>
      <c r="D17" s="80"/>
      <c r="E17" s="80"/>
      <c r="F17" s="80"/>
      <c r="G17" s="80"/>
      <c r="H17" s="2"/>
      <c r="I17" s="2"/>
      <c r="J17" s="2"/>
      <c r="K17" s="2"/>
    </row>
    <row r="18" spans="1:11" ht="19" customHeight="1">
      <c r="A18" s="80"/>
      <c r="B18" s="80"/>
      <c r="C18" s="80"/>
      <c r="D18" s="80"/>
      <c r="E18" s="80"/>
      <c r="F18" s="80"/>
      <c r="G18" s="80"/>
      <c r="H18" s="2"/>
      <c r="I18" s="2"/>
      <c r="J18" s="2"/>
      <c r="K18" s="2"/>
    </row>
  </sheetData>
  <hyperlinks>
    <hyperlink ref="B1" location="Forside!A1" display="Forside!A1" xr:uid="{00000000-0004-0000-0E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zoomScale="80" zoomScaleNormal="80" workbookViewId="0">
      <selection activeCell="A14" sqref="A14"/>
    </sheetView>
  </sheetViews>
  <sheetFormatPr baseColWidth="10" defaultColWidth="8.83203125" defaultRowHeight="16"/>
  <cols>
    <col min="1" max="1" width="23" style="316" customWidth="1"/>
    <col min="2" max="16384" width="8.83203125" style="316"/>
  </cols>
  <sheetData>
    <row r="1" spans="1:3">
      <c r="A1" s="316" t="s">
        <v>440</v>
      </c>
      <c r="B1" s="315" t="s">
        <v>158</v>
      </c>
    </row>
    <row r="2" spans="1:3">
      <c r="C2" s="315"/>
    </row>
    <row r="3" spans="1:3">
      <c r="A3" s="316" t="s">
        <v>389</v>
      </c>
      <c r="C3" s="315"/>
    </row>
    <row r="4" spans="1:3">
      <c r="A4" s="316" t="s">
        <v>390</v>
      </c>
      <c r="C4" s="315"/>
    </row>
    <row r="5" spans="1:3">
      <c r="A5" s="316" t="s">
        <v>392</v>
      </c>
    </row>
    <row r="7" spans="1:3">
      <c r="A7" s="317" t="s">
        <v>391</v>
      </c>
    </row>
    <row r="8" spans="1:3">
      <c r="A8" s="318" t="s">
        <v>771</v>
      </c>
    </row>
    <row r="9" spans="1:3">
      <c r="A9" s="316" t="s">
        <v>785</v>
      </c>
    </row>
    <row r="10" spans="1:3">
      <c r="A10" s="317" t="s">
        <v>439</v>
      </c>
    </row>
    <row r="11" spans="1:3">
      <c r="A11" s="318" t="s">
        <v>786</v>
      </c>
    </row>
    <row r="12" spans="1:3">
      <c r="A12" s="316" t="s">
        <v>787</v>
      </c>
    </row>
    <row r="13" spans="1:3">
      <c r="A13" s="318" t="s">
        <v>803</v>
      </c>
    </row>
    <row r="14" spans="1:3">
      <c r="A14" s="318" t="s">
        <v>804</v>
      </c>
    </row>
  </sheetData>
  <hyperlinks>
    <hyperlink ref="B1" location="Forside!A1" display="Forside" xr:uid="{00000000-0004-0000-0F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2"/>
  <sheetViews>
    <sheetView zoomScale="80" zoomScaleNormal="80" workbookViewId="0">
      <selection activeCell="H23" sqref="H23"/>
    </sheetView>
  </sheetViews>
  <sheetFormatPr baseColWidth="10" defaultColWidth="8.83203125" defaultRowHeight="16"/>
  <cols>
    <col min="1" max="1" width="21" style="316" customWidth="1"/>
    <col min="2" max="16384" width="8.83203125" style="316"/>
  </cols>
  <sheetData>
    <row r="1" spans="1:11">
      <c r="A1" s="316" t="s">
        <v>441</v>
      </c>
      <c r="B1" s="315" t="s">
        <v>158</v>
      </c>
    </row>
    <row r="2" spans="1:11">
      <c r="E2" s="315"/>
    </row>
    <row r="3" spans="1:11">
      <c r="A3" s="320" t="s">
        <v>393</v>
      </c>
    </row>
    <row r="4" spans="1:11">
      <c r="A4" s="316" t="s">
        <v>394</v>
      </c>
    </row>
    <row r="5" spans="1:11">
      <c r="A5" s="316" t="s">
        <v>395</v>
      </c>
    </row>
    <row r="7" spans="1:11">
      <c r="A7" s="317" t="s">
        <v>396</v>
      </c>
      <c r="K7" s="316" t="s">
        <v>772</v>
      </c>
    </row>
    <row r="8" spans="1:11">
      <c r="A8" s="317" t="s">
        <v>702</v>
      </c>
      <c r="H8" s="316" t="s">
        <v>773</v>
      </c>
    </row>
    <row r="9" spans="1:11">
      <c r="A9" s="317" t="s">
        <v>703</v>
      </c>
      <c r="J9" s="316" t="s">
        <v>774</v>
      </c>
    </row>
    <row r="11" spans="1:11">
      <c r="A11" s="317"/>
    </row>
    <row r="12" spans="1:11">
      <c r="A12" s="321"/>
    </row>
  </sheetData>
  <hyperlinks>
    <hyperlink ref="B1" location="Forside!A1" display="Forside" xr:uid="{00000000-0004-0000-10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4"/>
  <sheetViews>
    <sheetView zoomScale="80" zoomScaleNormal="80" workbookViewId="0">
      <selection activeCell="B1" sqref="B1"/>
    </sheetView>
  </sheetViews>
  <sheetFormatPr baseColWidth="10" defaultColWidth="20.33203125" defaultRowHeight="19" customHeight="1"/>
  <cols>
    <col min="1" max="1" width="21" style="7" customWidth="1"/>
    <col min="2" max="2" width="21" style="7" bestFit="1" customWidth="1"/>
    <col min="3" max="3" width="18.5" style="7" bestFit="1" customWidth="1"/>
    <col min="4" max="4" width="22" style="7" bestFit="1" customWidth="1"/>
    <col min="5" max="16384" width="20.33203125" style="7"/>
  </cols>
  <sheetData>
    <row r="1" spans="1:8" ht="19" customHeight="1">
      <c r="A1" s="46" t="s">
        <v>397</v>
      </c>
      <c r="B1" s="315" t="s">
        <v>158</v>
      </c>
    </row>
    <row r="2" spans="1:8" ht="19" customHeight="1">
      <c r="A2" s="46"/>
      <c r="C2" s="41"/>
    </row>
    <row r="3" spans="1:8" s="188" customFormat="1" ht="19" customHeight="1">
      <c r="A3" s="322" t="s">
        <v>401</v>
      </c>
      <c r="C3" s="41"/>
    </row>
    <row r="4" spans="1:8" s="188" customFormat="1" ht="19" customHeight="1">
      <c r="C4" s="41"/>
    </row>
    <row r="5" spans="1:8" ht="19" customHeight="1">
      <c r="C5" s="41"/>
    </row>
    <row r="6" spans="1:8" ht="19" customHeight="1">
      <c r="A6" s="322" t="s">
        <v>402</v>
      </c>
    </row>
    <row r="8" spans="1:8" s="188" customFormat="1" ht="19" customHeight="1">
      <c r="A8" s="128" t="s">
        <v>405</v>
      </c>
    </row>
    <row r="9" spans="1:8" ht="19" customHeight="1">
      <c r="A9" s="7" t="s">
        <v>442</v>
      </c>
      <c r="B9" s="252">
        <v>500000</v>
      </c>
      <c r="F9" s="21"/>
    </row>
    <row r="10" spans="1:8" s="188" customFormat="1" ht="19" customHeight="1">
      <c r="A10" s="188" t="s">
        <v>404</v>
      </c>
      <c r="B10" s="252">
        <v>0</v>
      </c>
      <c r="F10" s="126"/>
    </row>
    <row r="11" spans="1:8" ht="19" customHeight="1">
      <c r="A11" s="7" t="s">
        <v>53</v>
      </c>
      <c r="B11" s="7">
        <v>10</v>
      </c>
      <c r="C11" s="7" t="s">
        <v>54</v>
      </c>
      <c r="F11" s="21"/>
      <c r="G11" s="21"/>
      <c r="H11" s="21"/>
    </row>
    <row r="12" spans="1:8" s="188" customFormat="1" ht="19" customHeight="1">
      <c r="F12" s="126"/>
      <c r="G12" s="126"/>
      <c r="H12" s="126"/>
    </row>
    <row r="13" spans="1:8" ht="19" customHeight="1">
      <c r="A13" s="331" t="s">
        <v>55</v>
      </c>
      <c r="B13" s="333" t="s">
        <v>398</v>
      </c>
      <c r="C13" s="333" t="s">
        <v>399</v>
      </c>
      <c r="D13" s="349" t="s">
        <v>400</v>
      </c>
    </row>
    <row r="14" spans="1:8" ht="19" customHeight="1">
      <c r="A14" s="335">
        <v>1</v>
      </c>
      <c r="B14" s="121">
        <f>B9</f>
        <v>500000</v>
      </c>
      <c r="C14" s="121">
        <v>50000</v>
      </c>
      <c r="D14" s="329">
        <f>B14-C14</f>
        <v>450000</v>
      </c>
    </row>
    <row r="15" spans="1:8" ht="19" customHeight="1">
      <c r="A15" s="335">
        <v>2</v>
      </c>
      <c r="B15" s="121">
        <f>D14</f>
        <v>450000</v>
      </c>
      <c r="C15" s="121">
        <v>50000</v>
      </c>
      <c r="D15" s="329">
        <f t="shared" ref="D15:D23" si="0">B15-C15</f>
        <v>400000</v>
      </c>
    </row>
    <row r="16" spans="1:8" ht="19" customHeight="1">
      <c r="A16" s="335">
        <v>3</v>
      </c>
      <c r="B16" s="121">
        <f t="shared" ref="B16:B23" si="1">D15</f>
        <v>400000</v>
      </c>
      <c r="C16" s="121">
        <v>50000</v>
      </c>
      <c r="D16" s="329">
        <f t="shared" si="0"/>
        <v>350000</v>
      </c>
    </row>
    <row r="17" spans="1:4" ht="19" customHeight="1">
      <c r="A17" s="335">
        <v>4</v>
      </c>
      <c r="B17" s="121">
        <f t="shared" si="1"/>
        <v>350000</v>
      </c>
      <c r="C17" s="121">
        <v>50000</v>
      </c>
      <c r="D17" s="329">
        <f t="shared" si="0"/>
        <v>300000</v>
      </c>
    </row>
    <row r="18" spans="1:4" ht="19" customHeight="1">
      <c r="A18" s="335">
        <v>5</v>
      </c>
      <c r="B18" s="121">
        <f t="shared" si="1"/>
        <v>300000</v>
      </c>
      <c r="C18" s="121">
        <v>50000</v>
      </c>
      <c r="D18" s="329">
        <f t="shared" si="0"/>
        <v>250000</v>
      </c>
    </row>
    <row r="19" spans="1:4" ht="19" customHeight="1">
      <c r="A19" s="335">
        <v>6</v>
      </c>
      <c r="B19" s="121">
        <f t="shared" si="1"/>
        <v>250000</v>
      </c>
      <c r="C19" s="121">
        <v>50000</v>
      </c>
      <c r="D19" s="329">
        <f t="shared" si="0"/>
        <v>200000</v>
      </c>
    </row>
    <row r="20" spans="1:4" ht="19" customHeight="1">
      <c r="A20" s="335">
        <v>7</v>
      </c>
      <c r="B20" s="121">
        <f t="shared" si="1"/>
        <v>200000</v>
      </c>
      <c r="C20" s="121">
        <v>50000</v>
      </c>
      <c r="D20" s="329">
        <f t="shared" si="0"/>
        <v>150000</v>
      </c>
    </row>
    <row r="21" spans="1:4" ht="19" customHeight="1">
      <c r="A21" s="335">
        <v>8</v>
      </c>
      <c r="B21" s="121">
        <f t="shared" si="1"/>
        <v>150000</v>
      </c>
      <c r="C21" s="121">
        <v>50000</v>
      </c>
      <c r="D21" s="329">
        <f t="shared" si="0"/>
        <v>100000</v>
      </c>
    </row>
    <row r="22" spans="1:4" ht="19" customHeight="1">
      <c r="A22" s="335">
        <v>9</v>
      </c>
      <c r="B22" s="121">
        <f t="shared" si="1"/>
        <v>100000</v>
      </c>
      <c r="C22" s="121">
        <v>50000</v>
      </c>
      <c r="D22" s="329">
        <f t="shared" si="0"/>
        <v>50000</v>
      </c>
    </row>
    <row r="23" spans="1:4" ht="19" customHeight="1">
      <c r="A23" s="336">
        <v>10</v>
      </c>
      <c r="B23" s="121">
        <f t="shared" si="1"/>
        <v>50000</v>
      </c>
      <c r="C23" s="121">
        <v>50000</v>
      </c>
      <c r="D23" s="329">
        <f t="shared" si="0"/>
        <v>0</v>
      </c>
    </row>
    <row r="25" spans="1:4" ht="19" customHeight="1">
      <c r="A25" s="128" t="s">
        <v>406</v>
      </c>
    </row>
    <row r="26" spans="1:4" ht="19" customHeight="1">
      <c r="A26" s="188" t="s">
        <v>442</v>
      </c>
      <c r="B26" s="252">
        <v>500000</v>
      </c>
    </row>
    <row r="27" spans="1:4" s="188" customFormat="1" ht="19" customHeight="1">
      <c r="A27" s="188" t="s">
        <v>404</v>
      </c>
      <c r="B27" s="188">
        <v>0</v>
      </c>
    </row>
    <row r="28" spans="1:4" ht="19" customHeight="1">
      <c r="A28" s="7" t="s">
        <v>56</v>
      </c>
      <c r="B28" s="323">
        <v>0.25</v>
      </c>
    </row>
    <row r="29" spans="1:4" ht="19" customHeight="1">
      <c r="A29" s="7" t="s">
        <v>53</v>
      </c>
      <c r="B29" s="7">
        <v>10</v>
      </c>
      <c r="C29" s="7" t="s">
        <v>57</v>
      </c>
    </row>
    <row r="31" spans="1:4" ht="19" customHeight="1">
      <c r="A31" s="12" t="s">
        <v>55</v>
      </c>
      <c r="B31" s="13" t="s">
        <v>398</v>
      </c>
      <c r="C31" s="13" t="s">
        <v>399</v>
      </c>
      <c r="D31" s="14" t="s">
        <v>400</v>
      </c>
    </row>
    <row r="32" spans="1:4" ht="19" customHeight="1">
      <c r="A32" s="15">
        <v>1</v>
      </c>
      <c r="B32" s="121">
        <f>B9</f>
        <v>500000</v>
      </c>
      <c r="C32" s="121">
        <f>B32*0.25</f>
        <v>125000</v>
      </c>
      <c r="D32" s="329">
        <f>B32-C32</f>
        <v>375000</v>
      </c>
    </row>
    <row r="33" spans="1:9" ht="19" customHeight="1">
      <c r="A33" s="15">
        <v>2</v>
      </c>
      <c r="B33" s="121">
        <f>D32</f>
        <v>375000</v>
      </c>
      <c r="C33" s="121">
        <f t="shared" ref="C33:C40" si="2">B33*0.25</f>
        <v>93750</v>
      </c>
      <c r="D33" s="329">
        <f t="shared" ref="D33:D40" si="3">B33-C33</f>
        <v>281250</v>
      </c>
    </row>
    <row r="34" spans="1:9" ht="19" customHeight="1">
      <c r="A34" s="15">
        <v>3</v>
      </c>
      <c r="B34" s="121">
        <f t="shared" ref="B34:B41" si="4">D33</f>
        <v>281250</v>
      </c>
      <c r="C34" s="121">
        <f t="shared" si="2"/>
        <v>70312.5</v>
      </c>
      <c r="D34" s="329">
        <f t="shared" si="3"/>
        <v>210937.5</v>
      </c>
    </row>
    <row r="35" spans="1:9" ht="19" customHeight="1">
      <c r="A35" s="15">
        <v>4</v>
      </c>
      <c r="B35" s="121">
        <f t="shared" si="4"/>
        <v>210937.5</v>
      </c>
      <c r="C35" s="121">
        <f t="shared" si="2"/>
        <v>52734.375</v>
      </c>
      <c r="D35" s="329">
        <f t="shared" si="3"/>
        <v>158203.125</v>
      </c>
    </row>
    <row r="36" spans="1:9" ht="19" customHeight="1">
      <c r="A36" s="15">
        <v>5</v>
      </c>
      <c r="B36" s="121">
        <f t="shared" si="4"/>
        <v>158203.125</v>
      </c>
      <c r="C36" s="121">
        <f t="shared" si="2"/>
        <v>39550.78125</v>
      </c>
      <c r="D36" s="329">
        <f t="shared" si="3"/>
        <v>118652.34375</v>
      </c>
      <c r="F36" s="12" t="s">
        <v>58</v>
      </c>
      <c r="G36" s="13"/>
      <c r="H36" s="13"/>
      <c r="I36" s="14"/>
    </row>
    <row r="37" spans="1:9" ht="19" customHeight="1">
      <c r="A37" s="15">
        <v>6</v>
      </c>
      <c r="B37" s="121">
        <f t="shared" si="4"/>
        <v>118652.34375</v>
      </c>
      <c r="C37" s="121">
        <f t="shared" si="2"/>
        <v>29663.0859375</v>
      </c>
      <c r="D37" s="329">
        <f t="shared" si="3"/>
        <v>88989.2578125</v>
      </c>
      <c r="F37" s="15" t="s">
        <v>403</v>
      </c>
      <c r="I37" s="16"/>
    </row>
    <row r="38" spans="1:9" ht="19" customHeight="1">
      <c r="A38" s="15">
        <v>7</v>
      </c>
      <c r="B38" s="121">
        <f t="shared" si="4"/>
        <v>88989.2578125</v>
      </c>
      <c r="C38" s="121">
        <f t="shared" si="2"/>
        <v>22247.314453125</v>
      </c>
      <c r="D38" s="329">
        <f t="shared" si="3"/>
        <v>66741.943359375</v>
      </c>
      <c r="F38" s="17" t="s">
        <v>59</v>
      </c>
      <c r="G38" s="18"/>
      <c r="H38" s="18"/>
      <c r="I38" s="19"/>
    </row>
    <row r="39" spans="1:9" ht="19" customHeight="1">
      <c r="A39" s="15">
        <v>8</v>
      </c>
      <c r="B39" s="121">
        <f t="shared" si="4"/>
        <v>66741.943359375</v>
      </c>
      <c r="C39" s="121">
        <f t="shared" si="2"/>
        <v>16685.48583984375</v>
      </c>
      <c r="D39" s="329">
        <f t="shared" si="3"/>
        <v>50056.45751953125</v>
      </c>
    </row>
    <row r="40" spans="1:9" ht="19" customHeight="1">
      <c r="A40" s="15">
        <v>9</v>
      </c>
      <c r="B40" s="121">
        <f t="shared" si="4"/>
        <v>50056.45751953125</v>
      </c>
      <c r="C40" s="121">
        <f t="shared" si="2"/>
        <v>12514.114379882812</v>
      </c>
      <c r="D40" s="329">
        <f t="shared" si="3"/>
        <v>37542.343139648438</v>
      </c>
    </row>
    <row r="41" spans="1:9" ht="19" customHeight="1">
      <c r="A41" s="17">
        <v>10</v>
      </c>
      <c r="B41" s="121">
        <f t="shared" si="4"/>
        <v>37542.343139648438</v>
      </c>
      <c r="C41" s="121">
        <f>D40</f>
        <v>37542.343139648438</v>
      </c>
      <c r="D41" s="329">
        <f>B41-C41</f>
        <v>0</v>
      </c>
    </row>
    <row r="43" spans="1:9" ht="19" customHeight="1">
      <c r="D43" s="7" t="s">
        <v>788</v>
      </c>
      <c r="E43" s="252"/>
    </row>
    <row r="44" spans="1:9" ht="19" customHeight="1">
      <c r="D44" s="252">
        <f>D41</f>
        <v>0</v>
      </c>
    </row>
  </sheetData>
  <hyperlinks>
    <hyperlink ref="B1" location="Forside!A1" display="Forside" xr:uid="{00000000-0004-0000-11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9"/>
  <sheetViews>
    <sheetView topLeftCell="B1" zoomScale="80" zoomScaleNormal="80" workbookViewId="0">
      <selection activeCell="I10" sqref="I10"/>
    </sheetView>
  </sheetViews>
  <sheetFormatPr baseColWidth="10" defaultColWidth="18.33203125" defaultRowHeight="19" customHeight="1"/>
  <cols>
    <col min="1" max="1" width="18.33203125" style="7"/>
    <col min="2" max="2" width="20.5" style="7" bestFit="1" customWidth="1"/>
    <col min="3" max="6" width="15.83203125" style="7" customWidth="1"/>
    <col min="7" max="16384" width="18.33203125" style="7"/>
  </cols>
  <sheetData>
    <row r="1" spans="1:15" ht="19" customHeight="1">
      <c r="A1" s="46" t="s">
        <v>410</v>
      </c>
      <c r="B1" s="315" t="s">
        <v>158</v>
      </c>
    </row>
    <row r="2" spans="1:15" ht="19" customHeight="1">
      <c r="A2" s="21"/>
    </row>
    <row r="3" spans="1:15" ht="19" customHeight="1">
      <c r="A3" s="188" t="s">
        <v>409</v>
      </c>
      <c r="H3" s="331"/>
      <c r="I3" s="332">
        <v>0.2</v>
      </c>
      <c r="J3" s="332">
        <v>0.3</v>
      </c>
      <c r="K3" s="333" t="s">
        <v>66</v>
      </c>
      <c r="L3" s="334" t="s">
        <v>67</v>
      </c>
      <c r="M3" s="327" t="s">
        <v>168</v>
      </c>
    </row>
    <row r="4" spans="1:15" ht="19" customHeight="1">
      <c r="H4" s="335">
        <v>1</v>
      </c>
      <c r="I4" s="603">
        <f>J15</f>
        <v>43000</v>
      </c>
      <c r="J4" s="603">
        <f>J27</f>
        <v>64500</v>
      </c>
      <c r="K4" s="121">
        <f>J4+I4</f>
        <v>107500</v>
      </c>
      <c r="L4" s="329">
        <f>2*N15</f>
        <v>107500</v>
      </c>
      <c r="M4" s="330">
        <f>L4-K4</f>
        <v>0</v>
      </c>
    </row>
    <row r="5" spans="1:15" ht="19" customHeight="1">
      <c r="A5" s="322" t="s">
        <v>407</v>
      </c>
      <c r="F5" s="21"/>
      <c r="H5" s="335">
        <v>2</v>
      </c>
      <c r="I5" s="603">
        <f t="shared" ref="I5:I11" si="0">J16</f>
        <v>34400</v>
      </c>
      <c r="J5" s="603">
        <f>J28</f>
        <v>45150</v>
      </c>
      <c r="K5" s="121">
        <f t="shared" ref="K5:K13" si="1">J5+I5</f>
        <v>79550</v>
      </c>
      <c r="L5" s="329">
        <f t="shared" ref="L5:L12" si="2">2*N16</f>
        <v>80625</v>
      </c>
      <c r="M5" s="330">
        <f t="shared" ref="M5:M13" si="3">L5-K5</f>
        <v>1075</v>
      </c>
    </row>
    <row r="6" spans="1:15" s="188" customFormat="1" ht="19" customHeight="1">
      <c r="A6" s="188" t="s">
        <v>795</v>
      </c>
      <c r="F6" s="126"/>
      <c r="H6" s="335">
        <v>3</v>
      </c>
      <c r="I6" s="603">
        <f t="shared" si="0"/>
        <v>27520</v>
      </c>
      <c r="J6" s="603">
        <f t="shared" ref="J6:J13" si="4">J29</f>
        <v>31605</v>
      </c>
      <c r="K6" s="121">
        <f t="shared" si="1"/>
        <v>59125</v>
      </c>
      <c r="L6" s="329">
        <f t="shared" si="2"/>
        <v>60468.75</v>
      </c>
      <c r="M6" s="330">
        <f t="shared" si="3"/>
        <v>1343.75</v>
      </c>
    </row>
    <row r="7" spans="1:15" s="188" customFormat="1" ht="19" customHeight="1">
      <c r="F7" s="126"/>
      <c r="H7" s="335">
        <v>4</v>
      </c>
      <c r="I7" s="603">
        <f t="shared" si="0"/>
        <v>22016</v>
      </c>
      <c r="J7" s="603">
        <f t="shared" si="4"/>
        <v>22123.5</v>
      </c>
      <c r="K7" s="121">
        <f t="shared" si="1"/>
        <v>44139.5</v>
      </c>
      <c r="L7" s="329">
        <f t="shared" si="2"/>
        <v>45351.5625</v>
      </c>
      <c r="M7" s="330">
        <f t="shared" si="3"/>
        <v>1212.0625</v>
      </c>
    </row>
    <row r="8" spans="1:15" ht="19" customHeight="1">
      <c r="A8" s="322" t="s">
        <v>710</v>
      </c>
      <c r="B8" s="21"/>
      <c r="C8" s="21"/>
      <c r="F8" s="21"/>
      <c r="G8" s="21"/>
      <c r="H8" s="335">
        <v>5</v>
      </c>
      <c r="I8" s="603">
        <f t="shared" si="0"/>
        <v>17612.8</v>
      </c>
      <c r="J8" s="603">
        <f t="shared" si="4"/>
        <v>15486.449999999999</v>
      </c>
      <c r="K8" s="121">
        <f t="shared" si="1"/>
        <v>33099.25</v>
      </c>
      <c r="L8" s="329">
        <f t="shared" si="2"/>
        <v>34013.671875</v>
      </c>
      <c r="M8" s="330">
        <f t="shared" si="3"/>
        <v>914.421875</v>
      </c>
    </row>
    <row r="9" spans="1:15" s="188" customFormat="1" ht="19" customHeight="1">
      <c r="A9" s="322" t="s">
        <v>711</v>
      </c>
      <c r="B9" s="126"/>
      <c r="C9" s="126"/>
      <c r="F9" s="126"/>
      <c r="G9" s="126"/>
      <c r="H9" s="335">
        <v>6</v>
      </c>
      <c r="I9" s="603">
        <f>J20</f>
        <v>14090.24</v>
      </c>
      <c r="J9" s="603">
        <f t="shared" si="4"/>
        <v>10840.515000000001</v>
      </c>
      <c r="K9" s="121">
        <f t="shared" si="1"/>
        <v>24930.755000000001</v>
      </c>
      <c r="L9" s="329">
        <f t="shared" si="2"/>
        <v>25510.25390625</v>
      </c>
      <c r="M9" s="330">
        <f t="shared" si="3"/>
        <v>579.49890624999898</v>
      </c>
    </row>
    <row r="10" spans="1:15" s="188" customFormat="1" ht="19" customHeight="1">
      <c r="A10" s="188" t="s">
        <v>796</v>
      </c>
      <c r="B10" s="126"/>
      <c r="C10" s="126"/>
      <c r="F10" s="126"/>
      <c r="G10" s="126"/>
      <c r="H10" s="335">
        <v>7</v>
      </c>
      <c r="I10" s="603">
        <f t="shared" si="0"/>
        <v>11272.192000000001</v>
      </c>
      <c r="J10" s="603">
        <f t="shared" si="4"/>
        <v>7588.3605000000007</v>
      </c>
      <c r="K10" s="121">
        <f t="shared" si="1"/>
        <v>18860.552500000002</v>
      </c>
      <c r="L10" s="329">
        <f t="shared" si="2"/>
        <v>19132.6904296875</v>
      </c>
      <c r="M10" s="330">
        <f t="shared" si="3"/>
        <v>272.1379296874984</v>
      </c>
    </row>
    <row r="11" spans="1:15" ht="19" customHeight="1">
      <c r="H11" s="335">
        <v>8</v>
      </c>
      <c r="I11" s="603">
        <f t="shared" si="0"/>
        <v>9017.7536</v>
      </c>
      <c r="J11" s="603">
        <f t="shared" si="4"/>
        <v>5311.8523500000001</v>
      </c>
      <c r="K11" s="121">
        <f t="shared" si="1"/>
        <v>14329.605950000001</v>
      </c>
      <c r="L11" s="329">
        <f t="shared" si="2"/>
        <v>14349.517822265625</v>
      </c>
      <c r="M11" s="330">
        <f t="shared" si="3"/>
        <v>19.91187226562397</v>
      </c>
    </row>
    <row r="12" spans="1:15" ht="19" customHeight="1">
      <c r="A12" s="128" t="s">
        <v>405</v>
      </c>
      <c r="H12" s="335">
        <v>9</v>
      </c>
      <c r="I12" s="121"/>
      <c r="J12" s="603">
        <f t="shared" si="4"/>
        <v>3718.2966449999999</v>
      </c>
      <c r="K12" s="121">
        <f t="shared" si="1"/>
        <v>3718.2966449999999</v>
      </c>
      <c r="L12" s="329">
        <f t="shared" si="2"/>
        <v>10762.138366699219</v>
      </c>
      <c r="M12" s="330">
        <f t="shared" si="3"/>
        <v>7043.8417216992184</v>
      </c>
    </row>
    <row r="13" spans="1:15" ht="19" customHeight="1">
      <c r="A13" s="77" t="s">
        <v>60</v>
      </c>
      <c r="B13" s="77" t="s">
        <v>408</v>
      </c>
      <c r="C13" s="77"/>
      <c r="D13" s="77"/>
      <c r="E13" s="77"/>
      <c r="F13" s="77"/>
      <c r="H13" s="336">
        <v>10</v>
      </c>
      <c r="I13" s="253"/>
      <c r="J13" s="603">
        <f t="shared" si="4"/>
        <v>2602.8076514999998</v>
      </c>
      <c r="K13" s="121">
        <f t="shared" si="1"/>
        <v>2602.8076514999998</v>
      </c>
      <c r="L13" s="329"/>
      <c r="M13" s="330">
        <f t="shared" si="3"/>
        <v>-2602.8076514999998</v>
      </c>
    </row>
    <row r="14" spans="1:15" ht="19" customHeight="1">
      <c r="A14" s="324"/>
      <c r="B14" s="325" t="s">
        <v>62</v>
      </c>
      <c r="C14" s="325" t="s">
        <v>63</v>
      </c>
      <c r="D14" s="325" t="s">
        <v>64</v>
      </c>
      <c r="E14" s="326" t="s">
        <v>65</v>
      </c>
      <c r="F14" s="327" t="s">
        <v>168</v>
      </c>
      <c r="G14" s="7">
        <f>215000/8</f>
        <v>26875</v>
      </c>
      <c r="M14" s="252">
        <f>SUM(M4:M13)</f>
        <v>9857.8171534023404</v>
      </c>
    </row>
    <row r="15" spans="1:15" ht="19" customHeight="1">
      <c r="A15" s="328">
        <v>1</v>
      </c>
      <c r="B15" s="121">
        <f>G14</f>
        <v>26875</v>
      </c>
      <c r="C15" s="121">
        <f>G15</f>
        <v>21500</v>
      </c>
      <c r="D15" s="121">
        <f>B15+C15</f>
        <v>48375</v>
      </c>
      <c r="E15" s="329">
        <f>G16*2</f>
        <v>47777.777777777781</v>
      </c>
      <c r="F15" s="330">
        <f>D15-E15</f>
        <v>597.22222222221899</v>
      </c>
      <c r="G15" s="7">
        <f>215000/10</f>
        <v>21500</v>
      </c>
      <c r="H15" s="335">
        <v>1</v>
      </c>
      <c r="I15" s="7">
        <v>215000</v>
      </c>
      <c r="J15" s="7">
        <f>I15*0.2</f>
        <v>43000</v>
      </c>
      <c r="K15" s="7">
        <f>I15-J15</f>
        <v>172000</v>
      </c>
      <c r="L15" s="335">
        <v>1</v>
      </c>
      <c r="M15" s="7">
        <f>I15</f>
        <v>215000</v>
      </c>
      <c r="N15" s="7">
        <f>M15*0.25</f>
        <v>53750</v>
      </c>
      <c r="O15" s="7">
        <f>M15-N15</f>
        <v>161250</v>
      </c>
    </row>
    <row r="16" spans="1:15" ht="19" customHeight="1">
      <c r="A16" s="328">
        <v>2</v>
      </c>
      <c r="B16" s="121">
        <f>B15</f>
        <v>26875</v>
      </c>
      <c r="C16" s="121">
        <f>G15</f>
        <v>21500</v>
      </c>
      <c r="D16" s="121">
        <f t="shared" ref="D16:D24" si="5">B16+C16</f>
        <v>48375</v>
      </c>
      <c r="E16" s="329">
        <f>E15</f>
        <v>47777.777777777781</v>
      </c>
      <c r="F16" s="330">
        <f t="shared" ref="F16:F24" si="6">D16-E16</f>
        <v>597.22222222221899</v>
      </c>
      <c r="G16" s="7">
        <f>215000/9</f>
        <v>23888.888888888891</v>
      </c>
      <c r="H16" s="335">
        <v>2</v>
      </c>
      <c r="I16" s="7">
        <f>K15</f>
        <v>172000</v>
      </c>
      <c r="J16" s="188">
        <f>I16*0.2</f>
        <v>34400</v>
      </c>
      <c r="K16" s="188">
        <f t="shared" ref="K16:K24" si="7">I16-J16</f>
        <v>137600</v>
      </c>
      <c r="L16" s="335">
        <v>2</v>
      </c>
      <c r="M16" s="7">
        <f>O15</f>
        <v>161250</v>
      </c>
      <c r="N16" s="188">
        <f>M16*0.25</f>
        <v>40312.5</v>
      </c>
      <c r="O16" s="188">
        <f>M16-N16</f>
        <v>120937.5</v>
      </c>
    </row>
    <row r="17" spans="1:15" ht="19" customHeight="1">
      <c r="A17" s="328">
        <v>3</v>
      </c>
      <c r="B17" s="121">
        <f t="shared" ref="B17:B22" si="8">B16</f>
        <v>26875</v>
      </c>
      <c r="C17" s="121">
        <f>G15</f>
        <v>21500</v>
      </c>
      <c r="D17" s="121">
        <f t="shared" si="5"/>
        <v>48375</v>
      </c>
      <c r="E17" s="329">
        <f t="shared" ref="E17:E23" si="9">E16</f>
        <v>47777.777777777781</v>
      </c>
      <c r="F17" s="330">
        <f t="shared" si="6"/>
        <v>597.22222222221899</v>
      </c>
      <c r="H17" s="335">
        <v>3</v>
      </c>
      <c r="I17" s="188">
        <f t="shared" ref="I17:I24" si="10">K16</f>
        <v>137600</v>
      </c>
      <c r="J17" s="188">
        <f t="shared" ref="J17:J24" si="11">I17*0.2</f>
        <v>27520</v>
      </c>
      <c r="K17" s="188">
        <f t="shared" si="7"/>
        <v>110080</v>
      </c>
      <c r="L17" s="335">
        <v>3</v>
      </c>
      <c r="M17" s="188">
        <f t="shared" ref="M17:M23" si="12">O16</f>
        <v>120937.5</v>
      </c>
      <c r="N17" s="188">
        <f t="shared" ref="N17:N23" si="13">M17*0.25</f>
        <v>30234.375</v>
      </c>
      <c r="O17" s="188">
        <f t="shared" ref="O17:O23" si="14">M17-N17</f>
        <v>90703.125</v>
      </c>
    </row>
    <row r="18" spans="1:15" ht="19" customHeight="1">
      <c r="A18" s="328">
        <v>4</v>
      </c>
      <c r="B18" s="121">
        <f t="shared" si="8"/>
        <v>26875</v>
      </c>
      <c r="C18" s="121">
        <f>G15</f>
        <v>21500</v>
      </c>
      <c r="D18" s="121">
        <f t="shared" si="5"/>
        <v>48375</v>
      </c>
      <c r="E18" s="329">
        <f t="shared" si="9"/>
        <v>47777.777777777781</v>
      </c>
      <c r="F18" s="330">
        <f t="shared" si="6"/>
        <v>597.22222222221899</v>
      </c>
      <c r="H18" s="335">
        <v>4</v>
      </c>
      <c r="I18" s="188">
        <f t="shared" si="10"/>
        <v>110080</v>
      </c>
      <c r="J18" s="188">
        <f t="shared" si="11"/>
        <v>22016</v>
      </c>
      <c r="K18" s="188">
        <f t="shared" si="7"/>
        <v>88064</v>
      </c>
      <c r="L18" s="335">
        <v>4</v>
      </c>
      <c r="M18" s="188">
        <f t="shared" si="12"/>
        <v>90703.125</v>
      </c>
      <c r="N18" s="188">
        <f t="shared" si="13"/>
        <v>22675.78125</v>
      </c>
      <c r="O18" s="188">
        <f t="shared" si="14"/>
        <v>68027.34375</v>
      </c>
    </row>
    <row r="19" spans="1:15" ht="19" customHeight="1">
      <c r="A19" s="328">
        <v>5</v>
      </c>
      <c r="B19" s="121">
        <f t="shared" si="8"/>
        <v>26875</v>
      </c>
      <c r="C19" s="121">
        <f>G15</f>
        <v>21500</v>
      </c>
      <c r="D19" s="121">
        <f t="shared" si="5"/>
        <v>48375</v>
      </c>
      <c r="E19" s="329">
        <f t="shared" si="9"/>
        <v>47777.777777777781</v>
      </c>
      <c r="F19" s="330">
        <f t="shared" si="6"/>
        <v>597.22222222221899</v>
      </c>
      <c r="H19" s="335">
        <v>5</v>
      </c>
      <c r="I19" s="188">
        <f t="shared" si="10"/>
        <v>88064</v>
      </c>
      <c r="J19" s="188">
        <f t="shared" si="11"/>
        <v>17612.8</v>
      </c>
      <c r="K19" s="188">
        <f t="shared" si="7"/>
        <v>70451.199999999997</v>
      </c>
      <c r="L19" s="335">
        <v>5</v>
      </c>
      <c r="M19" s="188">
        <f t="shared" si="12"/>
        <v>68027.34375</v>
      </c>
      <c r="N19" s="188">
        <f t="shared" si="13"/>
        <v>17006.8359375</v>
      </c>
      <c r="O19" s="188">
        <f t="shared" si="14"/>
        <v>51020.5078125</v>
      </c>
    </row>
    <row r="20" spans="1:15" ht="19" customHeight="1">
      <c r="A20" s="328">
        <v>6</v>
      </c>
      <c r="B20" s="121">
        <f t="shared" si="8"/>
        <v>26875</v>
      </c>
      <c r="C20" s="121">
        <f>C16</f>
        <v>21500</v>
      </c>
      <c r="D20" s="121">
        <f t="shared" si="5"/>
        <v>48375</v>
      </c>
      <c r="E20" s="329">
        <f t="shared" si="9"/>
        <v>47777.777777777781</v>
      </c>
      <c r="F20" s="330">
        <f t="shared" si="6"/>
        <v>597.22222222221899</v>
      </c>
      <c r="H20" s="335">
        <v>6</v>
      </c>
      <c r="I20" s="188">
        <f t="shared" si="10"/>
        <v>70451.199999999997</v>
      </c>
      <c r="J20" s="188">
        <f t="shared" si="11"/>
        <v>14090.24</v>
      </c>
      <c r="K20" s="188">
        <f t="shared" si="7"/>
        <v>56360.959999999999</v>
      </c>
      <c r="L20" s="335">
        <v>6</v>
      </c>
      <c r="M20" s="188">
        <f t="shared" si="12"/>
        <v>51020.5078125</v>
      </c>
      <c r="N20" s="188">
        <f t="shared" si="13"/>
        <v>12755.126953125</v>
      </c>
      <c r="O20" s="188">
        <f t="shared" si="14"/>
        <v>38265.380859375</v>
      </c>
    </row>
    <row r="21" spans="1:15" ht="19" customHeight="1">
      <c r="A21" s="328">
        <v>7</v>
      </c>
      <c r="B21" s="121">
        <f t="shared" si="8"/>
        <v>26875</v>
      </c>
      <c r="C21" s="121">
        <f t="shared" ref="C21:C24" si="15">C17</f>
        <v>21500</v>
      </c>
      <c r="D21" s="121">
        <f t="shared" si="5"/>
        <v>48375</v>
      </c>
      <c r="E21" s="329">
        <f t="shared" si="9"/>
        <v>47777.777777777781</v>
      </c>
      <c r="F21" s="330">
        <f t="shared" si="6"/>
        <v>597.22222222221899</v>
      </c>
      <c r="H21" s="335">
        <v>7</v>
      </c>
      <c r="I21" s="188">
        <f t="shared" si="10"/>
        <v>56360.959999999999</v>
      </c>
      <c r="J21" s="188">
        <f t="shared" si="11"/>
        <v>11272.192000000001</v>
      </c>
      <c r="K21" s="188">
        <f t="shared" si="7"/>
        <v>45088.767999999996</v>
      </c>
      <c r="L21" s="335">
        <v>7</v>
      </c>
      <c r="M21" s="188">
        <f t="shared" si="12"/>
        <v>38265.380859375</v>
      </c>
      <c r="N21" s="188">
        <f t="shared" si="13"/>
        <v>9566.34521484375</v>
      </c>
      <c r="O21" s="188">
        <f t="shared" si="14"/>
        <v>28699.03564453125</v>
      </c>
    </row>
    <row r="22" spans="1:15" ht="19" customHeight="1">
      <c r="A22" s="328">
        <v>8</v>
      </c>
      <c r="B22" s="121">
        <f t="shared" si="8"/>
        <v>26875</v>
      </c>
      <c r="C22" s="121">
        <f t="shared" si="15"/>
        <v>21500</v>
      </c>
      <c r="D22" s="121">
        <f t="shared" si="5"/>
        <v>48375</v>
      </c>
      <c r="E22" s="329">
        <f t="shared" si="9"/>
        <v>47777.777777777781</v>
      </c>
      <c r="F22" s="330">
        <f t="shared" si="6"/>
        <v>597.22222222221899</v>
      </c>
      <c r="H22" s="335">
        <v>8</v>
      </c>
      <c r="I22" s="188">
        <f t="shared" si="10"/>
        <v>45088.767999999996</v>
      </c>
      <c r="J22" s="188">
        <f t="shared" si="11"/>
        <v>9017.7536</v>
      </c>
      <c r="K22" s="188">
        <f t="shared" si="7"/>
        <v>36071.0144</v>
      </c>
      <c r="L22" s="335">
        <v>8</v>
      </c>
      <c r="M22" s="188">
        <f t="shared" si="12"/>
        <v>28699.03564453125</v>
      </c>
      <c r="N22" s="188">
        <f t="shared" si="13"/>
        <v>7174.7589111328125</v>
      </c>
      <c r="O22" s="188">
        <f t="shared" si="14"/>
        <v>21524.276733398438</v>
      </c>
    </row>
    <row r="23" spans="1:15" ht="19" customHeight="1">
      <c r="A23" s="328">
        <v>9</v>
      </c>
      <c r="B23" s="121"/>
      <c r="C23" s="121">
        <f t="shared" si="15"/>
        <v>21500</v>
      </c>
      <c r="D23" s="121">
        <f t="shared" si="5"/>
        <v>21500</v>
      </c>
      <c r="E23" s="329">
        <f t="shared" si="9"/>
        <v>47777.777777777781</v>
      </c>
      <c r="F23" s="330">
        <f>D23-E23</f>
        <v>-26277.777777777781</v>
      </c>
      <c r="H23" s="335">
        <v>9</v>
      </c>
      <c r="I23" s="188">
        <f t="shared" si="10"/>
        <v>36071.0144</v>
      </c>
      <c r="J23" s="188">
        <f t="shared" si="11"/>
        <v>7214.2028800000007</v>
      </c>
      <c r="K23" s="188">
        <f t="shared" si="7"/>
        <v>28856.811519999999</v>
      </c>
      <c r="L23" s="335">
        <v>9</v>
      </c>
      <c r="M23" s="188">
        <f t="shared" si="12"/>
        <v>21524.276733398438</v>
      </c>
      <c r="N23" s="188">
        <f t="shared" si="13"/>
        <v>5381.0691833496094</v>
      </c>
      <c r="O23" s="188">
        <f t="shared" si="14"/>
        <v>16143.207550048828</v>
      </c>
    </row>
    <row r="24" spans="1:15" ht="19" customHeight="1">
      <c r="A24" s="255">
        <v>10</v>
      </c>
      <c r="B24" s="121"/>
      <c r="C24" s="121">
        <f t="shared" si="15"/>
        <v>21500</v>
      </c>
      <c r="D24" s="121">
        <f t="shared" si="5"/>
        <v>21500</v>
      </c>
      <c r="E24" s="329"/>
      <c r="F24" s="330">
        <f t="shared" si="6"/>
        <v>21500</v>
      </c>
      <c r="H24" s="336">
        <v>10</v>
      </c>
      <c r="I24" s="188">
        <f t="shared" si="10"/>
        <v>28856.811519999999</v>
      </c>
      <c r="J24" s="188">
        <f t="shared" si="11"/>
        <v>5771.3623040000002</v>
      </c>
      <c r="K24" s="188">
        <f t="shared" si="7"/>
        <v>23085.449216000001</v>
      </c>
    </row>
    <row r="25" spans="1:15" ht="19" customHeight="1">
      <c r="C25" s="21"/>
      <c r="E25" s="7" t="s">
        <v>789</v>
      </c>
      <c r="F25" s="121">
        <f>SUM(F15:F24)</f>
        <v>-2.9103830456733704E-11</v>
      </c>
      <c r="I25" s="188"/>
      <c r="J25" s="188"/>
      <c r="K25" s="188"/>
    </row>
    <row r="26" spans="1:15" ht="19" customHeight="1">
      <c r="A26" s="128" t="s">
        <v>406</v>
      </c>
      <c r="C26" s="21"/>
      <c r="I26" s="188"/>
      <c r="J26" s="188"/>
      <c r="K26" s="188"/>
    </row>
    <row r="27" spans="1:15" ht="19" customHeight="1">
      <c r="A27" s="77" t="s">
        <v>60</v>
      </c>
      <c r="B27" s="77" t="s">
        <v>408</v>
      </c>
      <c r="C27" s="77"/>
      <c r="D27" s="77"/>
      <c r="E27" s="77"/>
      <c r="F27" s="77"/>
      <c r="H27" s="335">
        <v>1</v>
      </c>
      <c r="I27" s="188">
        <v>215000</v>
      </c>
      <c r="J27" s="188">
        <f>I27*0.3</f>
        <v>64500</v>
      </c>
      <c r="K27" s="7">
        <f>I27-J27</f>
        <v>150500</v>
      </c>
    </row>
    <row r="28" spans="1:15" ht="19" customHeight="1">
      <c r="H28" s="335">
        <v>2</v>
      </c>
      <c r="I28" s="188">
        <f>K27</f>
        <v>150500</v>
      </c>
      <c r="J28" s="188">
        <f>I28*0.3</f>
        <v>45150</v>
      </c>
      <c r="K28" s="188">
        <f>I28-J28</f>
        <v>105350</v>
      </c>
    </row>
    <row r="29" spans="1:15" ht="19" customHeight="1">
      <c r="H29" s="335">
        <v>3</v>
      </c>
      <c r="I29" s="188">
        <f t="shared" ref="I29:I36" si="16">K28</f>
        <v>105350</v>
      </c>
      <c r="J29" s="188">
        <f t="shared" ref="J29:J36" si="17">I29*0.3</f>
        <v>31605</v>
      </c>
      <c r="K29" s="188">
        <f t="shared" ref="K29:K36" si="18">I29-J29</f>
        <v>73745</v>
      </c>
    </row>
    <row r="30" spans="1:15" ht="19" customHeight="1">
      <c r="H30" s="335">
        <v>4</v>
      </c>
      <c r="I30" s="188">
        <f t="shared" si="16"/>
        <v>73745</v>
      </c>
      <c r="J30" s="188">
        <f>I30*0.3</f>
        <v>22123.5</v>
      </c>
      <c r="K30" s="188">
        <f t="shared" si="18"/>
        <v>51621.5</v>
      </c>
    </row>
    <row r="31" spans="1:15" ht="19" customHeight="1">
      <c r="H31" s="335">
        <v>5</v>
      </c>
      <c r="I31" s="188">
        <f t="shared" si="16"/>
        <v>51621.5</v>
      </c>
      <c r="J31" s="188">
        <f t="shared" si="17"/>
        <v>15486.449999999999</v>
      </c>
      <c r="K31" s="188">
        <f t="shared" si="18"/>
        <v>36135.050000000003</v>
      </c>
    </row>
    <row r="32" spans="1:15" ht="19" customHeight="1">
      <c r="H32" s="335">
        <v>6</v>
      </c>
      <c r="I32" s="188">
        <f t="shared" si="16"/>
        <v>36135.050000000003</v>
      </c>
      <c r="J32" s="188">
        <f t="shared" si="17"/>
        <v>10840.515000000001</v>
      </c>
      <c r="K32" s="188">
        <f t="shared" si="18"/>
        <v>25294.535000000003</v>
      </c>
    </row>
    <row r="33" spans="1:11" ht="19" customHeight="1">
      <c r="H33" s="335">
        <v>7</v>
      </c>
      <c r="I33" s="188">
        <f t="shared" si="16"/>
        <v>25294.535000000003</v>
      </c>
      <c r="J33" s="188">
        <f t="shared" si="17"/>
        <v>7588.3605000000007</v>
      </c>
      <c r="K33" s="188">
        <f t="shared" si="18"/>
        <v>17706.174500000001</v>
      </c>
    </row>
    <row r="34" spans="1:11" ht="19" customHeight="1">
      <c r="H34" s="335">
        <v>8</v>
      </c>
      <c r="I34" s="188">
        <f t="shared" si="16"/>
        <v>17706.174500000001</v>
      </c>
      <c r="J34" s="188">
        <f t="shared" si="17"/>
        <v>5311.8523500000001</v>
      </c>
      <c r="K34" s="188">
        <f t="shared" si="18"/>
        <v>12394.32215</v>
      </c>
    </row>
    <row r="35" spans="1:11" ht="19" customHeight="1">
      <c r="H35" s="335">
        <v>9</v>
      </c>
      <c r="I35" s="188">
        <f t="shared" si="16"/>
        <v>12394.32215</v>
      </c>
      <c r="J35" s="188">
        <f t="shared" si="17"/>
        <v>3718.2966449999999</v>
      </c>
      <c r="K35" s="188">
        <f t="shared" si="18"/>
        <v>8676.0255049999996</v>
      </c>
    </row>
    <row r="36" spans="1:11" ht="19" customHeight="1">
      <c r="H36" s="336">
        <v>10</v>
      </c>
      <c r="I36" s="188">
        <f t="shared" si="16"/>
        <v>8676.0255049999996</v>
      </c>
      <c r="J36" s="188">
        <f t="shared" si="17"/>
        <v>2602.8076514999998</v>
      </c>
      <c r="K36" s="188">
        <f t="shared" si="18"/>
        <v>6073.2178535000003</v>
      </c>
    </row>
    <row r="39" spans="1:11" ht="19" customHeight="1">
      <c r="A39" s="77"/>
      <c r="B39" s="77"/>
      <c r="C39" s="77"/>
      <c r="D39" s="77"/>
      <c r="E39" s="77"/>
      <c r="F39" s="121"/>
    </row>
  </sheetData>
  <hyperlinks>
    <hyperlink ref="B1" location="Forside!A1" display="Forside" xr:uid="{00000000-0004-0000-1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2"/>
  <sheetViews>
    <sheetView zoomScale="80" zoomScaleNormal="80" workbookViewId="0">
      <selection activeCell="A16" sqref="A16"/>
    </sheetView>
  </sheetViews>
  <sheetFormatPr baseColWidth="10" defaultColWidth="8.83203125" defaultRowHeight="16"/>
  <cols>
    <col min="1" max="1" width="32.33203125" style="316" customWidth="1"/>
    <col min="2" max="6" width="15.83203125" style="316" customWidth="1"/>
    <col min="7" max="16384" width="8.83203125" style="316"/>
  </cols>
  <sheetData>
    <row r="1" spans="1:8">
      <c r="A1" s="316" t="s">
        <v>416</v>
      </c>
      <c r="B1" s="315" t="s">
        <v>158</v>
      </c>
    </row>
    <row r="2" spans="1:8">
      <c r="B2" s="315"/>
    </row>
    <row r="3" spans="1:8">
      <c r="A3" s="337" t="s">
        <v>716</v>
      </c>
      <c r="B3" s="337"/>
      <c r="C3" s="337"/>
      <c r="D3" s="337"/>
      <c r="E3" s="337"/>
      <c r="F3" s="337"/>
      <c r="G3" s="337"/>
      <c r="H3" s="337"/>
    </row>
    <row r="4" spans="1:8">
      <c r="A4" s="338"/>
      <c r="B4" s="338"/>
      <c r="C4" s="338"/>
      <c r="D4" s="338"/>
      <c r="E4" s="338"/>
      <c r="F4" s="338"/>
      <c r="G4" s="338"/>
      <c r="H4" s="338"/>
    </row>
    <row r="5" spans="1:8">
      <c r="A5" s="297" t="s">
        <v>442</v>
      </c>
      <c r="B5" s="341">
        <v>500000</v>
      </c>
      <c r="C5" s="297"/>
      <c r="D5" s="339"/>
      <c r="E5" s="297"/>
      <c r="F5" s="297"/>
      <c r="G5" s="338"/>
      <c r="H5" s="338"/>
    </row>
    <row r="6" spans="1:8">
      <c r="A6" s="297" t="s">
        <v>404</v>
      </c>
      <c r="B6" s="297">
        <v>0</v>
      </c>
      <c r="C6" s="297"/>
      <c r="D6" s="297"/>
      <c r="E6" s="297"/>
      <c r="F6" s="297"/>
      <c r="G6" s="338"/>
      <c r="H6" s="338"/>
    </row>
    <row r="7" spans="1:8">
      <c r="A7" s="297" t="s">
        <v>417</v>
      </c>
      <c r="B7" s="297">
        <v>5</v>
      </c>
      <c r="C7" s="297" t="s">
        <v>411</v>
      </c>
      <c r="D7" s="338"/>
      <c r="E7" s="338"/>
      <c r="F7" s="338"/>
      <c r="G7" s="338"/>
      <c r="H7" s="338"/>
    </row>
    <row r="8" spans="1:8">
      <c r="A8" s="338"/>
      <c r="B8" s="338"/>
      <c r="C8" s="338"/>
      <c r="D8" s="338"/>
      <c r="E8" s="338"/>
      <c r="F8" s="338"/>
      <c r="G8" s="338"/>
      <c r="H8" s="338"/>
    </row>
    <row r="9" spans="1:8">
      <c r="A9" s="343" t="s">
        <v>418</v>
      </c>
      <c r="B9" s="338"/>
      <c r="C9" s="338"/>
      <c r="D9" s="338"/>
      <c r="E9" s="338"/>
      <c r="F9" s="338"/>
      <c r="G9" s="338"/>
      <c r="H9" s="338"/>
    </row>
    <row r="10" spans="1:8">
      <c r="A10" s="343"/>
      <c r="B10" s="338"/>
      <c r="C10" s="338"/>
      <c r="D10" s="338"/>
      <c r="E10" s="338"/>
      <c r="F10" s="338"/>
      <c r="G10" s="338"/>
      <c r="H10" s="338"/>
    </row>
    <row r="11" spans="1:8">
      <c r="A11" s="338"/>
      <c r="B11" s="342">
        <v>2014</v>
      </c>
      <c r="C11" s="342">
        <v>2015</v>
      </c>
      <c r="D11" s="342">
        <v>2016</v>
      </c>
      <c r="E11" s="342">
        <v>2017</v>
      </c>
      <c r="F11" s="342">
        <v>2018</v>
      </c>
      <c r="G11" s="338"/>
      <c r="H11" s="338"/>
    </row>
    <row r="12" spans="1:8">
      <c r="A12" s="340" t="s">
        <v>436</v>
      </c>
      <c r="B12" s="344">
        <f>B5</f>
        <v>500000</v>
      </c>
      <c r="C12" s="344">
        <f>B12</f>
        <v>500000</v>
      </c>
      <c r="D12" s="344">
        <f t="shared" ref="D12:F12" si="0">C12</f>
        <v>500000</v>
      </c>
      <c r="E12" s="344">
        <f t="shared" si="0"/>
        <v>500000</v>
      </c>
      <c r="F12" s="230">
        <f t="shared" si="0"/>
        <v>500000</v>
      </c>
      <c r="G12" s="338"/>
      <c r="H12" s="338"/>
    </row>
    <row r="13" spans="1:8">
      <c r="A13" s="340" t="s">
        <v>413</v>
      </c>
      <c r="B13" s="345">
        <v>100000</v>
      </c>
      <c r="C13" s="345">
        <v>100000</v>
      </c>
      <c r="D13" s="345">
        <v>100000</v>
      </c>
      <c r="E13" s="345">
        <v>100000</v>
      </c>
      <c r="F13" s="345">
        <v>100000</v>
      </c>
      <c r="G13" s="338"/>
      <c r="H13" s="338"/>
    </row>
    <row r="14" spans="1:8">
      <c r="A14" s="340" t="s">
        <v>414</v>
      </c>
      <c r="B14" s="345">
        <v>100000</v>
      </c>
      <c r="C14" s="345">
        <v>200000</v>
      </c>
      <c r="D14" s="345">
        <v>300000</v>
      </c>
      <c r="E14" s="345">
        <v>400000</v>
      </c>
      <c r="F14" s="345">
        <v>500000</v>
      </c>
      <c r="G14" s="338"/>
      <c r="H14" s="338"/>
    </row>
    <row r="15" spans="1:8">
      <c r="A15" s="340" t="s">
        <v>415</v>
      </c>
      <c r="B15" s="345">
        <v>400000</v>
      </c>
      <c r="C15" s="345">
        <v>300000</v>
      </c>
      <c r="D15" s="345">
        <v>200000</v>
      </c>
      <c r="E15" s="345">
        <v>100000</v>
      </c>
      <c r="F15" s="345">
        <v>0</v>
      </c>
      <c r="G15" s="338"/>
      <c r="H15" s="338"/>
    </row>
    <row r="17" spans="1:1">
      <c r="A17" s="317" t="s">
        <v>419</v>
      </c>
    </row>
    <row r="18" spans="1:1">
      <c r="A18" s="346" t="s">
        <v>797</v>
      </c>
    </row>
    <row r="19" spans="1:1">
      <c r="A19" s="346" t="s">
        <v>798</v>
      </c>
    </row>
    <row r="21" spans="1:1">
      <c r="A21" s="317" t="s">
        <v>790</v>
      </c>
    </row>
    <row r="22" spans="1:1">
      <c r="A22" s="318" t="s">
        <v>799</v>
      </c>
    </row>
  </sheetData>
  <hyperlinks>
    <hyperlink ref="B1" location="Forside!A1" display="Forside" xr:uid="{00000000-0004-0000-13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6"/>
  <sheetViews>
    <sheetView zoomScale="80" zoomScaleNormal="80" workbookViewId="0">
      <selection activeCell="A27" sqref="A27"/>
    </sheetView>
  </sheetViews>
  <sheetFormatPr baseColWidth="10" defaultColWidth="8.83203125" defaultRowHeight="16"/>
  <cols>
    <col min="1" max="1" width="39.33203125" style="316" customWidth="1"/>
    <col min="2" max="4" width="10" style="316" bestFit="1" customWidth="1"/>
    <col min="5" max="5" width="9.5" style="316" bestFit="1" customWidth="1"/>
    <col min="6" max="16384" width="8.83203125" style="316"/>
  </cols>
  <sheetData>
    <row r="1" spans="1:5">
      <c r="A1" s="316" t="s">
        <v>420</v>
      </c>
      <c r="B1" s="315" t="s">
        <v>158</v>
      </c>
    </row>
    <row r="2" spans="1:5">
      <c r="B2" s="315"/>
    </row>
    <row r="3" spans="1:5">
      <c r="A3" s="316" t="s">
        <v>421</v>
      </c>
    </row>
    <row r="5" spans="1:5">
      <c r="A5" s="356" t="s">
        <v>412</v>
      </c>
      <c r="B5" s="357">
        <v>2012</v>
      </c>
      <c r="C5" s="357">
        <v>2013</v>
      </c>
      <c r="D5" s="357">
        <v>2014</v>
      </c>
      <c r="E5" s="357">
        <v>2015</v>
      </c>
    </row>
    <row r="6" spans="1:5">
      <c r="A6" s="316" t="s">
        <v>425</v>
      </c>
      <c r="B6" s="358">
        <v>21000</v>
      </c>
      <c r="C6" s="358">
        <v>24000</v>
      </c>
      <c r="D6" s="358">
        <v>23000</v>
      </c>
      <c r="E6" s="358">
        <v>29000</v>
      </c>
    </row>
    <row r="8" spans="1:5">
      <c r="A8" s="316" t="s">
        <v>422</v>
      </c>
    </row>
    <row r="9" spans="1:5">
      <c r="A9" s="316" t="s">
        <v>704</v>
      </c>
    </row>
    <row r="10" spans="1:5">
      <c r="A10" s="316" t="s">
        <v>423</v>
      </c>
    </row>
    <row r="12" spans="1:5">
      <c r="A12" s="317" t="s">
        <v>705</v>
      </c>
    </row>
    <row r="14" spans="1:5">
      <c r="A14" s="356"/>
      <c r="B14" s="357">
        <f>B5</f>
        <v>2012</v>
      </c>
      <c r="C14" s="357">
        <f t="shared" ref="C14:E14" si="0">C5</f>
        <v>2013</v>
      </c>
      <c r="D14" s="357">
        <f t="shared" si="0"/>
        <v>2014</v>
      </c>
      <c r="E14" s="357">
        <f t="shared" si="0"/>
        <v>2015</v>
      </c>
    </row>
    <row r="15" spans="1:5">
      <c r="A15" s="316" t="s">
        <v>425</v>
      </c>
      <c r="B15" s="359">
        <f>B6</f>
        <v>21000</v>
      </c>
      <c r="C15" s="359">
        <f>C6</f>
        <v>24000</v>
      </c>
      <c r="D15" s="359">
        <f>D6</f>
        <v>23000</v>
      </c>
      <c r="E15" s="359">
        <f>E6</f>
        <v>29000</v>
      </c>
    </row>
    <row r="16" spans="1:5">
      <c r="A16" s="316" t="s">
        <v>426</v>
      </c>
      <c r="B16" s="316">
        <v>0</v>
      </c>
      <c r="C16" s="316">
        <v>-5000</v>
      </c>
      <c r="D16" s="316">
        <v>0</v>
      </c>
      <c r="E16" s="316">
        <v>0</v>
      </c>
    </row>
    <row r="17" spans="1:5">
      <c r="A17" s="356" t="s">
        <v>427</v>
      </c>
      <c r="B17" s="356">
        <v>0</v>
      </c>
      <c r="C17" s="356">
        <v>0</v>
      </c>
      <c r="D17" s="356">
        <v>0</v>
      </c>
      <c r="E17" s="356">
        <v>9000</v>
      </c>
    </row>
    <row r="18" spans="1:5">
      <c r="A18" s="316" t="s">
        <v>428</v>
      </c>
      <c r="B18" s="360">
        <f>SUM(B15:B17)</f>
        <v>21000</v>
      </c>
      <c r="C18" s="360">
        <f>C15+C16</f>
        <v>19000</v>
      </c>
      <c r="D18" s="360">
        <f>D15-D16</f>
        <v>23000</v>
      </c>
      <c r="E18" s="360">
        <f>E15-E16-E17</f>
        <v>20000</v>
      </c>
    </row>
    <row r="20" spans="1:5">
      <c r="A20" s="317" t="s">
        <v>424</v>
      </c>
    </row>
    <row r="21" spans="1:5">
      <c r="A21" s="318" t="s">
        <v>791</v>
      </c>
    </row>
    <row r="23" spans="1:5">
      <c r="A23" s="316" t="s">
        <v>738</v>
      </c>
    </row>
    <row r="24" spans="1:5">
      <c r="A24" s="318" t="s">
        <v>800</v>
      </c>
    </row>
    <row r="25" spans="1:5">
      <c r="A25" s="318" t="s">
        <v>801</v>
      </c>
    </row>
    <row r="26" spans="1:5">
      <c r="A26" s="318" t="s">
        <v>802</v>
      </c>
    </row>
  </sheetData>
  <hyperlinks>
    <hyperlink ref="B1" location="Forside!A1" display="Forside" xr:uid="{00000000-0004-0000-14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"/>
  <sheetViews>
    <sheetView zoomScale="80" zoomScaleNormal="80" workbookViewId="0">
      <selection activeCell="E9" sqref="E9"/>
    </sheetView>
  </sheetViews>
  <sheetFormatPr baseColWidth="10" defaultColWidth="8.83203125" defaultRowHeight="16"/>
  <cols>
    <col min="1" max="1" width="30.33203125" style="316" customWidth="1"/>
    <col min="2" max="4" width="15.83203125" style="316" customWidth="1"/>
    <col min="5" max="5" width="17.5" style="316" bestFit="1" customWidth="1"/>
    <col min="6" max="16384" width="8.83203125" style="316"/>
  </cols>
  <sheetData>
    <row r="1" spans="1:5">
      <c r="A1" s="316" t="s">
        <v>429</v>
      </c>
      <c r="B1" s="315" t="s">
        <v>158</v>
      </c>
    </row>
    <row r="2" spans="1:5">
      <c r="B2" s="315"/>
    </row>
    <row r="3" spans="1:5">
      <c r="A3" s="317" t="s">
        <v>430</v>
      </c>
      <c r="B3" s="315"/>
    </row>
    <row r="4" spans="1:5">
      <c r="A4" s="317" t="s">
        <v>431</v>
      </c>
    </row>
    <row r="6" spans="1:5">
      <c r="B6" s="350" t="s">
        <v>436</v>
      </c>
      <c r="C6" s="351" t="s">
        <v>432</v>
      </c>
      <c r="D6" s="352" t="s">
        <v>433</v>
      </c>
      <c r="E6" s="353" t="s">
        <v>434</v>
      </c>
    </row>
    <row r="7" spans="1:5">
      <c r="A7" s="354" t="s">
        <v>437</v>
      </c>
      <c r="B7" s="355"/>
      <c r="C7" s="355" t="s">
        <v>752</v>
      </c>
      <c r="D7" s="355"/>
      <c r="E7" s="355"/>
    </row>
    <row r="8" spans="1:5">
      <c r="A8" s="354" t="s">
        <v>723</v>
      </c>
      <c r="B8" s="355"/>
      <c r="C8" s="355" t="s">
        <v>752</v>
      </c>
      <c r="D8" s="355"/>
      <c r="E8" s="355"/>
    </row>
    <row r="9" spans="1:5">
      <c r="A9" s="354" t="s">
        <v>30</v>
      </c>
      <c r="B9" s="355" t="s">
        <v>752</v>
      </c>
      <c r="C9" s="355"/>
      <c r="D9" s="355"/>
      <c r="E9" s="355" t="s">
        <v>806</v>
      </c>
    </row>
    <row r="10" spans="1:5">
      <c r="A10" s="354" t="s">
        <v>369</v>
      </c>
      <c r="B10" s="355"/>
      <c r="C10" s="355" t="s">
        <v>752</v>
      </c>
      <c r="D10" s="355"/>
      <c r="E10" s="355"/>
    </row>
    <row r="11" spans="1:5">
      <c r="A11" s="354" t="s">
        <v>724</v>
      </c>
      <c r="B11" s="355" t="s">
        <v>752</v>
      </c>
      <c r="C11" s="355"/>
      <c r="D11" s="355" t="s">
        <v>752</v>
      </c>
      <c r="E11" s="355"/>
    </row>
    <row r="12" spans="1:5">
      <c r="A12" s="354" t="s">
        <v>196</v>
      </c>
      <c r="B12" s="355"/>
      <c r="C12" s="355" t="s">
        <v>752</v>
      </c>
      <c r="D12" s="355"/>
      <c r="E12" s="355"/>
    </row>
    <row r="13" spans="1:5">
      <c r="A13" s="354" t="s">
        <v>444</v>
      </c>
      <c r="B13" s="355" t="s">
        <v>805</v>
      </c>
      <c r="C13" s="355"/>
      <c r="D13" s="355"/>
      <c r="E13" s="355"/>
    </row>
    <row r="14" spans="1:5">
      <c r="A14" s="354" t="s">
        <v>81</v>
      </c>
      <c r="B14" s="355" t="s">
        <v>805</v>
      </c>
      <c r="C14" s="355"/>
      <c r="D14" s="355"/>
      <c r="E14" s="355"/>
    </row>
    <row r="15" spans="1:5">
      <c r="A15" s="354" t="s">
        <v>445</v>
      </c>
      <c r="B15" s="355" t="s">
        <v>752</v>
      </c>
      <c r="C15" s="355"/>
      <c r="D15" s="355"/>
      <c r="E15" s="355"/>
    </row>
    <row r="16" spans="1:5">
      <c r="A16" s="354" t="s">
        <v>375</v>
      </c>
      <c r="B16" s="355" t="s">
        <v>752</v>
      </c>
      <c r="C16" s="355"/>
      <c r="D16" s="355"/>
      <c r="E16" s="355"/>
    </row>
    <row r="17" spans="1:5">
      <c r="A17" s="354" t="s">
        <v>277</v>
      </c>
      <c r="B17" s="355"/>
      <c r="C17" s="355" t="s">
        <v>752</v>
      </c>
      <c r="D17" s="355"/>
      <c r="E17" s="355"/>
    </row>
    <row r="18" spans="1:5">
      <c r="A18" s="354" t="s">
        <v>276</v>
      </c>
      <c r="B18" s="355"/>
      <c r="C18" s="355"/>
      <c r="D18" s="355" t="s">
        <v>752</v>
      </c>
      <c r="E18" s="355"/>
    </row>
  </sheetData>
  <hyperlinks>
    <hyperlink ref="B1" location="Forside!A1" display="Forside" xr:uid="{00000000-0004-0000-15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topLeftCell="A10" zoomScale="80" zoomScaleNormal="80" workbookViewId="0">
      <selection activeCell="A41" sqref="A41"/>
    </sheetView>
  </sheetViews>
  <sheetFormatPr baseColWidth="10" defaultColWidth="8.83203125" defaultRowHeight="16"/>
  <cols>
    <col min="1" max="1" width="19.5" style="316" customWidth="1"/>
    <col min="2" max="2" width="20" style="316" customWidth="1"/>
    <col min="3" max="3" width="19.33203125" style="316" customWidth="1"/>
    <col min="4" max="4" width="18.5" style="316" customWidth="1"/>
    <col min="5" max="5" width="42.33203125" style="316" customWidth="1"/>
    <col min="6" max="6" width="42.5" style="316" customWidth="1"/>
    <col min="7" max="16384" width="8.83203125" style="316"/>
  </cols>
  <sheetData>
    <row r="1" spans="1:7">
      <c r="A1" s="316" t="s">
        <v>446</v>
      </c>
      <c r="B1" s="315" t="s">
        <v>158</v>
      </c>
    </row>
    <row r="2" spans="1:7">
      <c r="C2" s="315"/>
    </row>
    <row r="3" spans="1:7">
      <c r="A3" s="316" t="s">
        <v>725</v>
      </c>
      <c r="C3" s="315"/>
    </row>
    <row r="4" spans="1:7">
      <c r="A4" s="316" t="s">
        <v>447</v>
      </c>
    </row>
    <row r="5" spans="1:7">
      <c r="A5" s="316" t="s">
        <v>448</v>
      </c>
    </row>
    <row r="6" spans="1:7">
      <c r="A6" s="316" t="s">
        <v>449</v>
      </c>
    </row>
    <row r="9" spans="1:7">
      <c r="A9" s="357" t="s">
        <v>453</v>
      </c>
      <c r="B9" s="357" t="s">
        <v>436</v>
      </c>
      <c r="C9" s="357" t="s">
        <v>434</v>
      </c>
      <c r="D9" s="357" t="s">
        <v>450</v>
      </c>
      <c r="E9" s="357" t="s">
        <v>451</v>
      </c>
      <c r="F9" s="357" t="s">
        <v>452</v>
      </c>
    </row>
    <row r="10" spans="1:7">
      <c r="A10" s="316" t="s">
        <v>0</v>
      </c>
      <c r="B10" s="358">
        <v>4000</v>
      </c>
      <c r="C10" s="358">
        <v>1000</v>
      </c>
      <c r="D10" s="358">
        <v>1500</v>
      </c>
      <c r="E10" s="358">
        <v>2500</v>
      </c>
      <c r="F10" s="358">
        <v>5000</v>
      </c>
    </row>
    <row r="11" spans="1:7">
      <c r="A11" s="316" t="s">
        <v>1</v>
      </c>
      <c r="B11" s="358">
        <v>1500</v>
      </c>
      <c r="C11" s="358">
        <v>2000</v>
      </c>
      <c r="D11" s="358">
        <v>500</v>
      </c>
      <c r="E11" s="358">
        <v>2500</v>
      </c>
      <c r="F11" s="358">
        <v>3500</v>
      </c>
      <c r="G11" s="319"/>
    </row>
    <row r="12" spans="1:7">
      <c r="A12" s="316" t="s">
        <v>2</v>
      </c>
      <c r="B12" s="358">
        <v>2000</v>
      </c>
      <c r="C12" s="358">
        <v>3500</v>
      </c>
      <c r="D12" s="358">
        <v>3000</v>
      </c>
      <c r="E12" s="358">
        <v>2500</v>
      </c>
      <c r="F12" s="358">
        <v>5000</v>
      </c>
    </row>
    <row r="14" spans="1:7">
      <c r="A14" s="317" t="s">
        <v>464</v>
      </c>
    </row>
    <row r="16" spans="1:7" ht="34">
      <c r="B16" s="361" t="s">
        <v>454</v>
      </c>
      <c r="C16" s="361" t="s">
        <v>461</v>
      </c>
      <c r="D16" s="362" t="s">
        <v>462</v>
      </c>
      <c r="E16" s="362" t="s">
        <v>463</v>
      </c>
    </row>
    <row r="17" spans="1:6">
      <c r="A17" s="319" t="s">
        <v>455</v>
      </c>
      <c r="D17" s="363"/>
    </row>
    <row r="18" spans="1:6">
      <c r="A18" s="316" t="s">
        <v>456</v>
      </c>
      <c r="B18" s="359">
        <v>1500</v>
      </c>
      <c r="D18" s="364"/>
      <c r="E18" s="359">
        <f>B18+D18</f>
        <v>1500</v>
      </c>
    </row>
    <row r="19" spans="1:6">
      <c r="A19" s="316" t="s">
        <v>457</v>
      </c>
      <c r="B19" s="359">
        <v>1500</v>
      </c>
      <c r="C19" s="359">
        <v>-1000</v>
      </c>
      <c r="D19" s="366">
        <f>F10</f>
        <v>5000</v>
      </c>
      <c r="E19" s="359">
        <f>SUM(B19:D19)</f>
        <v>5500</v>
      </c>
      <c r="F19" s="365" t="s">
        <v>807</v>
      </c>
    </row>
    <row r="20" spans="1:6">
      <c r="A20" s="316" t="s">
        <v>458</v>
      </c>
      <c r="B20" s="316">
        <v>0</v>
      </c>
      <c r="C20" s="316">
        <v>0</v>
      </c>
      <c r="D20" s="366">
        <f>E10</f>
        <v>2500</v>
      </c>
      <c r="E20" s="359">
        <f t="shared" ref="E20:E30" si="0">SUM(B20:D20)</f>
        <v>2500</v>
      </c>
      <c r="F20" s="365" t="s">
        <v>808</v>
      </c>
    </row>
    <row r="21" spans="1:6">
      <c r="D21" s="364"/>
      <c r="E21" s="359"/>
    </row>
    <row r="22" spans="1:6">
      <c r="A22" s="319" t="s">
        <v>459</v>
      </c>
      <c r="D22" s="364"/>
      <c r="E22" s="359">
        <f t="shared" si="0"/>
        <v>0</v>
      </c>
    </row>
    <row r="23" spans="1:6">
      <c r="A23" s="316" t="s">
        <v>456</v>
      </c>
      <c r="B23" s="359">
        <f>D11</f>
        <v>500</v>
      </c>
      <c r="D23" s="364"/>
      <c r="E23" s="359">
        <f t="shared" si="0"/>
        <v>500</v>
      </c>
    </row>
    <row r="24" spans="1:6">
      <c r="A24" s="316" t="s">
        <v>457</v>
      </c>
      <c r="B24" s="359">
        <f>D11</f>
        <v>500</v>
      </c>
      <c r="C24" s="359">
        <f>-C11</f>
        <v>-2000</v>
      </c>
      <c r="D24" s="366">
        <f>F11</f>
        <v>3500</v>
      </c>
      <c r="E24" s="359">
        <f t="shared" si="0"/>
        <v>2000</v>
      </c>
    </row>
    <row r="25" spans="1:6">
      <c r="A25" s="316" t="s">
        <v>458</v>
      </c>
      <c r="B25" s="316">
        <f>0</f>
        <v>0</v>
      </c>
      <c r="C25" s="316">
        <v>0</v>
      </c>
      <c r="D25" s="366">
        <f>E11</f>
        <v>2500</v>
      </c>
      <c r="E25" s="359">
        <f t="shared" si="0"/>
        <v>2500</v>
      </c>
      <c r="F25" s="365" t="s">
        <v>809</v>
      </c>
    </row>
    <row r="26" spans="1:6">
      <c r="D26" s="364"/>
      <c r="E26" s="359"/>
    </row>
    <row r="27" spans="1:6">
      <c r="A27" s="319" t="s">
        <v>460</v>
      </c>
      <c r="D27" s="364"/>
      <c r="E27" s="359">
        <f t="shared" si="0"/>
        <v>0</v>
      </c>
    </row>
    <row r="28" spans="1:6">
      <c r="A28" s="316" t="s">
        <v>456</v>
      </c>
      <c r="B28" s="359">
        <f>D12</f>
        <v>3000</v>
      </c>
      <c r="D28" s="364"/>
      <c r="E28" s="359">
        <f t="shared" si="0"/>
        <v>3000</v>
      </c>
    </row>
    <row r="29" spans="1:6">
      <c r="A29" s="316" t="s">
        <v>457</v>
      </c>
      <c r="B29" s="359">
        <f>D12</f>
        <v>3000</v>
      </c>
      <c r="C29" s="359">
        <f>-C12</f>
        <v>-3500</v>
      </c>
      <c r="D29" s="366">
        <f>F12</f>
        <v>5000</v>
      </c>
      <c r="E29" s="359">
        <f t="shared" si="0"/>
        <v>4500</v>
      </c>
      <c r="F29" s="365" t="s">
        <v>810</v>
      </c>
    </row>
    <row r="30" spans="1:6">
      <c r="A30" s="316" t="s">
        <v>458</v>
      </c>
      <c r="B30" s="316">
        <f>0</f>
        <v>0</v>
      </c>
      <c r="C30" s="316">
        <v>0</v>
      </c>
      <c r="D30" s="366">
        <f>E12</f>
        <v>2500</v>
      </c>
      <c r="E30" s="359">
        <f t="shared" si="0"/>
        <v>2500</v>
      </c>
    </row>
    <row r="32" spans="1:6">
      <c r="A32" s="317" t="s">
        <v>465</v>
      </c>
    </row>
    <row r="33" spans="1:4">
      <c r="A33" s="318" t="s">
        <v>811</v>
      </c>
    </row>
    <row r="35" spans="1:4">
      <c r="A35" s="317" t="s">
        <v>739</v>
      </c>
    </row>
    <row r="37" spans="1:4" s="365" customFormat="1">
      <c r="A37" s="367" t="s">
        <v>0</v>
      </c>
      <c r="B37" s="368">
        <f>B10</f>
        <v>4000</v>
      </c>
      <c r="C37" s="318"/>
      <c r="D37" s="318"/>
    </row>
    <row r="38" spans="1:4" s="365" customFormat="1">
      <c r="A38" s="367" t="s">
        <v>1</v>
      </c>
      <c r="B38" s="368">
        <f>B11</f>
        <v>1500</v>
      </c>
      <c r="D38" s="318"/>
    </row>
    <row r="39" spans="1:4" s="365" customFormat="1">
      <c r="A39" s="367" t="s">
        <v>2</v>
      </c>
      <c r="B39" s="368">
        <f>C12</f>
        <v>3500</v>
      </c>
      <c r="D39" s="318"/>
    </row>
    <row r="40" spans="1:4" s="365" customFormat="1">
      <c r="A40" s="367" t="s">
        <v>792</v>
      </c>
      <c r="B40" s="368">
        <f>SUM(B37:B39)</f>
        <v>9000</v>
      </c>
      <c r="C40" s="318"/>
      <c r="D40" s="318"/>
    </row>
    <row r="41" spans="1:4" s="365" customFormat="1">
      <c r="A41" s="318"/>
      <c r="B41" s="318"/>
      <c r="C41" s="318"/>
      <c r="D41" s="318"/>
    </row>
    <row r="42" spans="1:4" s="365" customFormat="1">
      <c r="A42" s="318" t="s">
        <v>812</v>
      </c>
      <c r="B42" s="318"/>
      <c r="C42" s="318"/>
      <c r="D42" s="318"/>
    </row>
    <row r="43" spans="1:4">
      <c r="A43" s="316" t="s">
        <v>813</v>
      </c>
    </row>
  </sheetData>
  <hyperlinks>
    <hyperlink ref="B1" location="Forside!A1" display="Forside" xr:uid="{00000000-0004-0000-16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1"/>
  <sheetViews>
    <sheetView zoomScale="80" zoomScaleNormal="80" workbookViewId="0">
      <selection activeCell="A19" sqref="A19"/>
    </sheetView>
  </sheetViews>
  <sheetFormatPr baseColWidth="10" defaultColWidth="8.83203125" defaultRowHeight="16"/>
  <cols>
    <col min="1" max="1" width="29.33203125" style="316" customWidth="1"/>
    <col min="2" max="16384" width="8.83203125" style="316"/>
  </cols>
  <sheetData>
    <row r="1" spans="1:2">
      <c r="A1" s="316" t="s">
        <v>466</v>
      </c>
      <c r="B1" s="315" t="s">
        <v>158</v>
      </c>
    </row>
    <row r="2" spans="1:2">
      <c r="B2" s="315"/>
    </row>
    <row r="3" spans="1:2">
      <c r="A3" s="316" t="s">
        <v>467</v>
      </c>
      <c r="B3" s="315"/>
    </row>
    <row r="4" spans="1:2">
      <c r="A4" s="316" t="s">
        <v>468</v>
      </c>
    </row>
    <row r="5" spans="1:2">
      <c r="A5" s="316" t="s">
        <v>469</v>
      </c>
    </row>
    <row r="8" spans="1:2">
      <c r="A8" s="369" t="s">
        <v>470</v>
      </c>
    </row>
    <row r="9" spans="1:2">
      <c r="A9" s="318" t="s">
        <v>815</v>
      </c>
    </row>
    <row r="10" spans="1:2">
      <c r="A10" s="318" t="s">
        <v>816</v>
      </c>
    </row>
    <row r="11" spans="1:2">
      <c r="A11" s="318" t="s">
        <v>817</v>
      </c>
    </row>
    <row r="12" spans="1:2">
      <c r="A12" s="318" t="s">
        <v>818</v>
      </c>
    </row>
    <row r="13" spans="1:2">
      <c r="A13" s="318"/>
    </row>
    <row r="15" spans="1:2">
      <c r="A15" s="317" t="s">
        <v>471</v>
      </c>
    </row>
    <row r="16" spans="1:2">
      <c r="A16" s="318" t="s">
        <v>819</v>
      </c>
    </row>
    <row r="17" spans="1:1">
      <c r="A17" s="318" t="s">
        <v>820</v>
      </c>
    </row>
    <row r="18" spans="1:1">
      <c r="A18" s="318" t="s">
        <v>821</v>
      </c>
    </row>
    <row r="19" spans="1:1">
      <c r="A19" s="318" t="s">
        <v>822</v>
      </c>
    </row>
    <row r="20" spans="1:1">
      <c r="A20" s="318"/>
    </row>
    <row r="22" spans="1:1">
      <c r="A22" s="317" t="s">
        <v>472</v>
      </c>
    </row>
    <row r="23" spans="1:1">
      <c r="A23" s="318" t="s">
        <v>793</v>
      </c>
    </row>
    <row r="24" spans="1:1">
      <c r="A24" s="318"/>
    </row>
    <row r="25" spans="1:1">
      <c r="A25" s="318"/>
    </row>
    <row r="26" spans="1:1">
      <c r="A26" s="365"/>
    </row>
    <row r="27" spans="1:1">
      <c r="A27" s="317" t="s">
        <v>473</v>
      </c>
    </row>
    <row r="28" spans="1:1">
      <c r="A28" s="318" t="s">
        <v>794</v>
      </c>
    </row>
    <row r="29" spans="1:1">
      <c r="A29" s="318"/>
    </row>
    <row r="30" spans="1:1">
      <c r="A30" s="318"/>
    </row>
    <row r="31" spans="1:1">
      <c r="A31" s="318"/>
    </row>
  </sheetData>
  <hyperlinks>
    <hyperlink ref="B1" location="Forside!A1" display="Forside" xr:uid="{00000000-0004-0000-17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8"/>
  <sheetViews>
    <sheetView topLeftCell="A5" zoomScale="80" zoomScaleNormal="80" workbookViewId="0">
      <selection activeCell="E28" sqref="E28"/>
    </sheetView>
  </sheetViews>
  <sheetFormatPr baseColWidth="10" defaultColWidth="8.83203125" defaultRowHeight="16"/>
  <cols>
    <col min="1" max="1" width="26" style="316" customWidth="1"/>
    <col min="2" max="2" width="11" style="316" bestFit="1" customWidth="1"/>
    <col min="3" max="3" width="12.5" style="316" bestFit="1" customWidth="1"/>
    <col min="4" max="5" width="11" style="316" bestFit="1" customWidth="1"/>
    <col min="6" max="6" width="11.1640625" style="316" customWidth="1"/>
    <col min="7" max="7" width="13" style="316" bestFit="1" customWidth="1"/>
    <col min="8" max="8" width="14" style="316" bestFit="1" customWidth="1"/>
    <col min="9" max="9" width="10.5" style="316" bestFit="1" customWidth="1"/>
    <col min="10" max="10" width="10.83203125" style="316" bestFit="1" customWidth="1"/>
    <col min="11" max="16384" width="8.83203125" style="316"/>
  </cols>
  <sheetData>
    <row r="1" spans="1:12">
      <c r="A1" s="316" t="s">
        <v>496</v>
      </c>
      <c r="B1" s="315" t="s">
        <v>158</v>
      </c>
    </row>
    <row r="3" spans="1:12">
      <c r="A3" s="2" t="s">
        <v>474</v>
      </c>
      <c r="B3" s="370"/>
      <c r="C3" s="371"/>
      <c r="D3" s="370"/>
      <c r="E3" s="370"/>
      <c r="F3" s="370"/>
      <c r="G3" s="370"/>
      <c r="H3" s="370"/>
      <c r="I3" s="370"/>
      <c r="J3" s="370"/>
      <c r="K3" s="370"/>
      <c r="L3" s="370"/>
    </row>
    <row r="4" spans="1:12">
      <c r="A4" s="2" t="s">
        <v>475</v>
      </c>
      <c r="B4" s="370"/>
      <c r="C4" s="372"/>
      <c r="D4" s="370"/>
      <c r="E4" s="370"/>
      <c r="F4" s="370"/>
      <c r="G4" s="370"/>
      <c r="H4" s="370"/>
      <c r="I4" s="370">
        <f>H4/12</f>
        <v>0</v>
      </c>
      <c r="J4" s="370"/>
      <c r="K4" s="370"/>
      <c r="L4" s="370"/>
    </row>
    <row r="5" spans="1:12">
      <c r="A5" s="370"/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2">
      <c r="A6" s="370" t="s">
        <v>476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</row>
    <row r="7" spans="1:12">
      <c r="A7" s="370"/>
      <c r="B7" s="370"/>
      <c r="C7" s="370"/>
      <c r="D7" s="370"/>
      <c r="E7" s="370"/>
      <c r="F7" s="370"/>
      <c r="G7" s="370"/>
      <c r="H7" s="370"/>
      <c r="I7" s="370"/>
      <c r="J7" s="370"/>
      <c r="K7" s="370"/>
      <c r="L7" s="370"/>
    </row>
    <row r="8" spans="1:12">
      <c r="A8" s="373" t="s">
        <v>412</v>
      </c>
      <c r="B8" s="374">
        <v>1</v>
      </c>
      <c r="C8" s="374">
        <v>2</v>
      </c>
      <c r="D8" s="374">
        <v>3</v>
      </c>
      <c r="E8" s="374">
        <v>4</v>
      </c>
      <c r="F8" s="373" t="s">
        <v>155</v>
      </c>
      <c r="G8" s="370"/>
      <c r="H8" s="370"/>
      <c r="I8" s="370"/>
      <c r="J8" s="370"/>
      <c r="K8" s="370"/>
      <c r="L8" s="370"/>
    </row>
    <row r="9" spans="1:12">
      <c r="A9" s="375" t="s">
        <v>477</v>
      </c>
      <c r="B9" s="376">
        <v>2</v>
      </c>
      <c r="C9" s="376">
        <v>6</v>
      </c>
      <c r="D9" s="376">
        <v>3</v>
      </c>
      <c r="E9" s="376">
        <v>1</v>
      </c>
      <c r="F9" s="377">
        <f>SUM(B9:E9)</f>
        <v>12</v>
      </c>
      <c r="G9" s="370"/>
      <c r="H9" s="604">
        <f>F10/12</f>
        <v>95000</v>
      </c>
      <c r="I9" s="370"/>
      <c r="J9" s="370"/>
      <c r="K9" s="370"/>
      <c r="L9" s="370"/>
    </row>
    <row r="10" spans="1:12">
      <c r="A10" s="378" t="s">
        <v>478</v>
      </c>
      <c r="B10" s="379">
        <v>380000</v>
      </c>
      <c r="C10" s="379">
        <v>380000</v>
      </c>
      <c r="D10" s="379">
        <v>285000</v>
      </c>
      <c r="E10" s="379">
        <v>95000</v>
      </c>
      <c r="F10" s="379">
        <f>SUM(B10:E10)</f>
        <v>1140000</v>
      </c>
      <c r="G10" s="370"/>
      <c r="H10" s="370">
        <f>2400000/4</f>
        <v>600000</v>
      </c>
      <c r="I10" s="370"/>
      <c r="J10" s="370"/>
      <c r="K10" s="370"/>
      <c r="L10" s="370"/>
    </row>
    <row r="11" spans="1:12">
      <c r="A11" s="378" t="s">
        <v>479</v>
      </c>
      <c r="B11" s="379">
        <v>600000</v>
      </c>
      <c r="C11" s="379">
        <v>900000</v>
      </c>
      <c r="D11" s="379">
        <v>300000</v>
      </c>
      <c r="E11" s="379">
        <v>600000</v>
      </c>
      <c r="F11" s="379">
        <f>SUM(B11:E11)</f>
        <v>2400000</v>
      </c>
      <c r="G11" s="370">
        <f>F11/F10</f>
        <v>2.1052631578947367</v>
      </c>
      <c r="H11" s="604"/>
      <c r="I11" s="370"/>
      <c r="J11" s="370"/>
      <c r="K11" s="370"/>
      <c r="L11" s="370"/>
    </row>
    <row r="12" spans="1:12">
      <c r="A12" s="378" t="s">
        <v>3</v>
      </c>
      <c r="B12" s="604">
        <f>B11-B10</f>
        <v>220000</v>
      </c>
      <c r="C12" s="604">
        <f>C11-C10</f>
        <v>520000</v>
      </c>
      <c r="D12" s="604">
        <f>D11-D10</f>
        <v>15000</v>
      </c>
      <c r="E12" s="604">
        <f>E11-E10</f>
        <v>505000</v>
      </c>
      <c r="F12" s="604">
        <f>F11-F10</f>
        <v>1260000</v>
      </c>
      <c r="G12" s="370"/>
      <c r="H12" s="370"/>
      <c r="I12" s="370"/>
      <c r="J12" s="370"/>
      <c r="K12" s="370"/>
      <c r="L12" s="370"/>
    </row>
    <row r="13" spans="1:12">
      <c r="A13" s="389" t="s">
        <v>493</v>
      </c>
      <c r="B13" s="370"/>
      <c r="C13" s="370"/>
      <c r="D13" s="370"/>
      <c r="E13" s="370"/>
      <c r="F13" s="370"/>
      <c r="G13" s="370"/>
      <c r="H13" s="370"/>
      <c r="I13" s="370"/>
      <c r="J13" s="370"/>
      <c r="K13" s="370"/>
      <c r="L13" s="370"/>
    </row>
    <row r="14" spans="1:12">
      <c r="A14" s="370"/>
      <c r="B14" s="370"/>
      <c r="C14" s="370"/>
      <c r="D14" s="370"/>
      <c r="E14" s="370"/>
      <c r="F14" s="370"/>
      <c r="G14" s="370"/>
      <c r="H14" s="370"/>
      <c r="I14" s="370"/>
      <c r="J14" s="370"/>
      <c r="K14" s="370"/>
      <c r="L14" s="370"/>
    </row>
    <row r="15" spans="1:12">
      <c r="A15" s="370" t="s">
        <v>480</v>
      </c>
      <c r="B15" s="370"/>
      <c r="C15" s="370"/>
      <c r="D15" s="370"/>
      <c r="E15" s="370"/>
      <c r="F15" s="370"/>
      <c r="G15" s="370"/>
      <c r="H15" s="370"/>
      <c r="I15" s="370"/>
      <c r="J15" s="370"/>
      <c r="K15" s="370"/>
      <c r="L15" s="370"/>
    </row>
    <row r="16" spans="1:12">
      <c r="A16" s="370" t="s">
        <v>481</v>
      </c>
      <c r="B16" s="370"/>
      <c r="C16" s="370"/>
      <c r="D16" s="370"/>
      <c r="E16" s="370"/>
      <c r="F16" s="370"/>
      <c r="G16" s="370"/>
      <c r="H16" s="370"/>
      <c r="I16" s="370"/>
      <c r="J16" s="370"/>
      <c r="K16" s="370"/>
      <c r="L16" s="370"/>
    </row>
    <row r="17" spans="1:12">
      <c r="A17" s="370" t="s">
        <v>482</v>
      </c>
      <c r="B17" s="370"/>
      <c r="C17" s="370"/>
      <c r="D17" s="370"/>
      <c r="E17" s="370"/>
      <c r="F17" s="370"/>
      <c r="G17" s="370"/>
      <c r="H17" s="370"/>
      <c r="I17" s="370"/>
      <c r="J17" s="370"/>
      <c r="K17" s="370"/>
      <c r="L17" s="370"/>
    </row>
    <row r="18" spans="1:12">
      <c r="A18" s="370"/>
      <c r="B18" s="370"/>
      <c r="C18" s="370"/>
      <c r="D18" s="370"/>
      <c r="E18" s="370"/>
      <c r="F18" s="370"/>
      <c r="G18" s="370"/>
      <c r="H18" s="370"/>
      <c r="I18" s="370"/>
      <c r="J18" s="370"/>
      <c r="K18" s="370"/>
      <c r="L18" s="370"/>
    </row>
    <row r="19" spans="1:12">
      <c r="A19" s="389" t="s">
        <v>494</v>
      </c>
      <c r="B19" s="370"/>
      <c r="C19" s="370"/>
      <c r="D19" s="370"/>
      <c r="E19" s="370"/>
      <c r="F19" s="370"/>
      <c r="G19" s="370"/>
      <c r="H19" s="370"/>
      <c r="I19" s="370"/>
      <c r="J19" s="370"/>
      <c r="K19" s="370"/>
      <c r="L19" s="370"/>
    </row>
    <row r="20" spans="1:12">
      <c r="A20" s="370"/>
      <c r="B20" s="370"/>
      <c r="C20" s="370"/>
      <c r="D20" s="370"/>
      <c r="E20" s="370"/>
      <c r="F20" s="370"/>
      <c r="G20" s="370"/>
      <c r="H20" s="370"/>
      <c r="I20" s="370"/>
      <c r="J20" s="370"/>
      <c r="K20" s="370"/>
      <c r="L20" s="370"/>
    </row>
    <row r="21" spans="1:12">
      <c r="A21" s="389" t="s">
        <v>495</v>
      </c>
      <c r="B21" s="370"/>
      <c r="C21" s="370"/>
      <c r="D21" s="370"/>
      <c r="E21" s="370"/>
      <c r="F21" s="370"/>
      <c r="G21" s="370"/>
      <c r="H21" s="370"/>
      <c r="I21" s="370"/>
      <c r="J21" s="370"/>
      <c r="K21" s="370"/>
      <c r="L21" s="370"/>
    </row>
    <row r="22" spans="1:12">
      <c r="A22" s="390"/>
      <c r="B22" s="370"/>
      <c r="C22" s="370"/>
      <c r="D22" s="370"/>
      <c r="E22" s="370"/>
      <c r="F22" s="370"/>
      <c r="G22" s="370"/>
      <c r="H22" s="370"/>
      <c r="I22" s="370"/>
      <c r="J22" s="370"/>
      <c r="K22" s="370"/>
      <c r="L22" s="370"/>
    </row>
    <row r="23" spans="1:12">
      <c r="A23" s="370"/>
      <c r="B23" s="370"/>
      <c r="C23" s="370"/>
      <c r="D23" s="370"/>
      <c r="E23" s="370"/>
      <c r="F23" s="370"/>
      <c r="G23" s="370"/>
      <c r="H23" s="370"/>
      <c r="I23" s="370"/>
      <c r="J23" s="370"/>
      <c r="K23" s="370"/>
      <c r="L23" s="370"/>
    </row>
    <row r="24" spans="1:12" ht="17" thickBot="1">
      <c r="A24" s="689" t="s">
        <v>483</v>
      </c>
      <c r="B24" s="689"/>
      <c r="C24" s="689"/>
      <c r="D24" s="689"/>
      <c r="E24" s="689"/>
      <c r="F24" s="370"/>
      <c r="G24" s="689" t="s">
        <v>484</v>
      </c>
      <c r="H24" s="689"/>
      <c r="I24" s="689"/>
      <c r="J24" s="689"/>
      <c r="K24" s="689"/>
      <c r="L24" s="370"/>
    </row>
    <row r="25" spans="1:12">
      <c r="A25" s="391" t="s">
        <v>162</v>
      </c>
      <c r="B25" s="392" t="s">
        <v>485</v>
      </c>
      <c r="C25" s="392" t="s">
        <v>486</v>
      </c>
      <c r="D25" s="392" t="s">
        <v>487</v>
      </c>
      <c r="E25" s="393" t="s">
        <v>488</v>
      </c>
      <c r="F25" s="370"/>
      <c r="G25" s="381"/>
      <c r="H25" s="380" t="s">
        <v>162</v>
      </c>
      <c r="I25" s="380" t="s">
        <v>489</v>
      </c>
      <c r="J25" s="380" t="s">
        <v>3</v>
      </c>
      <c r="K25" s="382"/>
      <c r="L25" s="370"/>
    </row>
    <row r="26" spans="1:12">
      <c r="A26" s="394" t="s">
        <v>490</v>
      </c>
      <c r="B26" s="395">
        <v>400000</v>
      </c>
      <c r="C26" s="395">
        <v>1200000</v>
      </c>
      <c r="D26" s="395">
        <v>600000</v>
      </c>
      <c r="E26" s="396">
        <v>200000</v>
      </c>
      <c r="F26" s="604">
        <f>SUM(B26:E26)</f>
        <v>2400000</v>
      </c>
      <c r="G26" s="383" t="s">
        <v>490</v>
      </c>
      <c r="H26" s="384">
        <f>SUM(B26:E26)</f>
        <v>2400000</v>
      </c>
      <c r="I26" s="384" cm="1">
        <f t="array" ref="I26:I28">F31:F33</f>
        <v>1140000</v>
      </c>
      <c r="J26" s="384" cm="1">
        <f t="array" ref="J26:J28">F36:F38</f>
        <v>1260000</v>
      </c>
      <c r="K26" s="385"/>
      <c r="L26" s="370"/>
    </row>
    <row r="27" spans="1:12">
      <c r="A27" s="394" t="s">
        <v>491</v>
      </c>
      <c r="B27" s="395">
        <f>$G$11*B10</f>
        <v>800000</v>
      </c>
      <c r="C27" s="395">
        <f t="shared" ref="C27:E27" si="0">$G$11*C10</f>
        <v>800000</v>
      </c>
      <c r="D27" s="395">
        <f t="shared" si="0"/>
        <v>600000</v>
      </c>
      <c r="E27" s="395">
        <f t="shared" si="0"/>
        <v>200000</v>
      </c>
      <c r="F27" s="604">
        <f t="shared" ref="F27:F28" si="1">SUM(B27:E27)</f>
        <v>2400000</v>
      </c>
      <c r="G27" s="383" t="s">
        <v>491</v>
      </c>
      <c r="H27" s="384" cm="1">
        <f t="array" ref="H27:H28">F27:F28</f>
        <v>2400000</v>
      </c>
      <c r="I27" s="384">
        <v>1140000</v>
      </c>
      <c r="J27" s="384">
        <v>1260000</v>
      </c>
      <c r="K27" s="385"/>
      <c r="L27" s="370"/>
    </row>
    <row r="28" spans="1:12" ht="17" thickBot="1">
      <c r="A28" s="394" t="s">
        <v>492</v>
      </c>
      <c r="B28" s="395">
        <f>B11</f>
        <v>600000</v>
      </c>
      <c r="C28" s="395">
        <f t="shared" ref="C28:E28" si="2">C11</f>
        <v>900000</v>
      </c>
      <c r="D28" s="395">
        <f t="shared" si="2"/>
        <v>300000</v>
      </c>
      <c r="E28" s="396">
        <f t="shared" si="2"/>
        <v>600000</v>
      </c>
      <c r="F28" s="604">
        <f t="shared" si="1"/>
        <v>2400000</v>
      </c>
      <c r="G28" s="386" t="s">
        <v>492</v>
      </c>
      <c r="H28" s="387">
        <v>2400000</v>
      </c>
      <c r="I28" s="387">
        <v>1140000</v>
      </c>
      <c r="J28" s="387">
        <v>1260000</v>
      </c>
      <c r="K28" s="388"/>
      <c r="L28" s="370"/>
    </row>
    <row r="29" spans="1:12">
      <c r="A29" s="394" t="s">
        <v>156</v>
      </c>
      <c r="B29" s="397"/>
      <c r="C29" s="397"/>
      <c r="D29" s="397"/>
      <c r="E29" s="398"/>
      <c r="F29" s="370"/>
      <c r="G29" s="370"/>
      <c r="H29" s="370"/>
      <c r="I29" s="370"/>
      <c r="J29" s="370"/>
      <c r="K29" s="370"/>
      <c r="L29" s="370"/>
    </row>
    <row r="30" spans="1:12">
      <c r="A30" s="399" t="s">
        <v>153</v>
      </c>
      <c r="B30" s="400" t="s">
        <v>485</v>
      </c>
      <c r="C30" s="400" t="s">
        <v>486</v>
      </c>
      <c r="D30" s="400" t="s">
        <v>487</v>
      </c>
      <c r="E30" s="401" t="s">
        <v>488</v>
      </c>
      <c r="F30" s="370"/>
      <c r="G30" s="370"/>
      <c r="H30" s="370"/>
      <c r="I30" s="370"/>
      <c r="J30" s="370"/>
      <c r="K30" s="370"/>
      <c r="L30" s="370"/>
    </row>
    <row r="31" spans="1:12">
      <c r="A31" s="394" t="s">
        <v>490</v>
      </c>
      <c r="B31" s="395">
        <f>B9*$H$9</f>
        <v>190000</v>
      </c>
      <c r="C31" s="395">
        <f t="shared" ref="C31:E31" si="3">C9*$H$9</f>
        <v>570000</v>
      </c>
      <c r="D31" s="395">
        <f t="shared" si="3"/>
        <v>285000</v>
      </c>
      <c r="E31" s="395">
        <f t="shared" si="3"/>
        <v>95000</v>
      </c>
      <c r="F31" s="604">
        <f>SUM(B31:E31)</f>
        <v>1140000</v>
      </c>
      <c r="G31" s="370"/>
      <c r="H31" s="370"/>
      <c r="I31" s="370"/>
      <c r="J31" s="370"/>
      <c r="K31" s="370"/>
      <c r="L31" s="370"/>
    </row>
    <row r="32" spans="1:12">
      <c r="A32" s="394" t="s">
        <v>491</v>
      </c>
      <c r="B32" s="395" cm="1">
        <f t="array" ref="B32:E32">B10:E10</f>
        <v>380000</v>
      </c>
      <c r="C32" s="395">
        <v>380000</v>
      </c>
      <c r="D32" s="395">
        <v>285000</v>
      </c>
      <c r="E32" s="396">
        <v>95000</v>
      </c>
      <c r="F32" s="604">
        <f t="shared" ref="F32:F33" si="4">SUM(B32:E32)</f>
        <v>1140000</v>
      </c>
      <c r="G32" s="370"/>
      <c r="H32" s="370"/>
      <c r="I32" s="370"/>
      <c r="J32" s="370"/>
      <c r="K32" s="370"/>
      <c r="L32" s="370"/>
    </row>
    <row r="33" spans="1:12">
      <c r="A33" s="394" t="s">
        <v>492</v>
      </c>
      <c r="B33" s="395" cm="1">
        <f t="array" ref="B33:E33">_xlfn.ANCHORARRAY(B32)</f>
        <v>380000</v>
      </c>
      <c r="C33" s="395">
        <v>380000</v>
      </c>
      <c r="D33" s="395">
        <v>285000</v>
      </c>
      <c r="E33" s="396">
        <v>95000</v>
      </c>
      <c r="F33" s="604">
        <f t="shared" si="4"/>
        <v>1140000</v>
      </c>
      <c r="G33" s="370"/>
      <c r="H33" s="370"/>
      <c r="I33" s="370"/>
      <c r="J33" s="370"/>
      <c r="K33" s="370"/>
      <c r="L33" s="370"/>
    </row>
    <row r="34" spans="1:12">
      <c r="A34" s="394"/>
      <c r="B34" s="397"/>
      <c r="C34" s="397"/>
      <c r="D34" s="397"/>
      <c r="E34" s="398"/>
      <c r="F34" s="370"/>
      <c r="G34" s="370"/>
      <c r="H34" s="370"/>
      <c r="I34" s="370"/>
      <c r="J34" s="370"/>
      <c r="K34" s="370"/>
      <c r="L34" s="370"/>
    </row>
    <row r="35" spans="1:12">
      <c r="A35" s="399" t="s">
        <v>3</v>
      </c>
      <c r="B35" s="400" t="s">
        <v>485</v>
      </c>
      <c r="C35" s="400" t="s">
        <v>486</v>
      </c>
      <c r="D35" s="400" t="s">
        <v>487</v>
      </c>
      <c r="E35" s="401" t="s">
        <v>488</v>
      </c>
      <c r="F35" s="370"/>
      <c r="G35" s="370"/>
      <c r="H35" s="370"/>
      <c r="I35" s="370"/>
      <c r="J35" s="370"/>
      <c r="K35" s="370"/>
      <c r="L35" s="370"/>
    </row>
    <row r="36" spans="1:12">
      <c r="A36" s="394" t="s">
        <v>490</v>
      </c>
      <c r="B36" s="395">
        <f>B26-B31</f>
        <v>210000</v>
      </c>
      <c r="C36" s="395">
        <f t="shared" ref="C36:E36" si="5">C26-C31</f>
        <v>630000</v>
      </c>
      <c r="D36" s="395">
        <f t="shared" si="5"/>
        <v>315000</v>
      </c>
      <c r="E36" s="396">
        <f t="shared" si="5"/>
        <v>105000</v>
      </c>
      <c r="F36" s="604">
        <f>SUM(B36:E36)</f>
        <v>1260000</v>
      </c>
      <c r="G36" s="370"/>
      <c r="H36" s="370"/>
      <c r="I36" s="370"/>
      <c r="J36" s="370"/>
      <c r="K36" s="370"/>
      <c r="L36" s="370"/>
    </row>
    <row r="37" spans="1:12">
      <c r="A37" s="394" t="s">
        <v>491</v>
      </c>
      <c r="B37" s="395">
        <f t="shared" ref="B37:E38" si="6">B27-B32</f>
        <v>420000</v>
      </c>
      <c r="C37" s="395">
        <f t="shared" si="6"/>
        <v>420000</v>
      </c>
      <c r="D37" s="395">
        <f t="shared" si="6"/>
        <v>315000</v>
      </c>
      <c r="E37" s="396">
        <f t="shared" si="6"/>
        <v>105000</v>
      </c>
      <c r="F37" s="604">
        <f t="shared" ref="F37:F38" si="7">SUM(B37:E37)</f>
        <v>1260000</v>
      </c>
      <c r="G37" s="370"/>
      <c r="H37" s="370"/>
      <c r="I37" s="370"/>
      <c r="J37" s="370"/>
      <c r="K37" s="370"/>
      <c r="L37" s="370"/>
    </row>
    <row r="38" spans="1:12">
      <c r="A38" s="402" t="s">
        <v>492</v>
      </c>
      <c r="B38" s="403">
        <f t="shared" si="6"/>
        <v>220000</v>
      </c>
      <c r="C38" s="403">
        <f t="shared" si="6"/>
        <v>520000</v>
      </c>
      <c r="D38" s="403">
        <f t="shared" si="6"/>
        <v>15000</v>
      </c>
      <c r="E38" s="404">
        <f t="shared" si="6"/>
        <v>505000</v>
      </c>
      <c r="F38" s="604">
        <f t="shared" si="7"/>
        <v>1260000</v>
      </c>
      <c r="G38" s="370"/>
      <c r="H38" s="370"/>
      <c r="I38" s="370"/>
      <c r="J38" s="370"/>
      <c r="K38" s="370"/>
      <c r="L38" s="370"/>
    </row>
  </sheetData>
  <mergeCells count="2">
    <mergeCell ref="A24:E24"/>
    <mergeCell ref="G24:K24"/>
  </mergeCells>
  <hyperlinks>
    <hyperlink ref="D18" location="Forside!A1" display="Forside" xr:uid="{00000000-0004-0000-1800-000000000000}"/>
    <hyperlink ref="B1" location="Forside!A1" display="Forside" xr:uid="{00000000-0004-0000-1800-000001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33"/>
  <sheetViews>
    <sheetView zoomScale="80" zoomScaleNormal="80" workbookViewId="0">
      <selection activeCell="E24" sqref="E24"/>
    </sheetView>
  </sheetViews>
  <sheetFormatPr baseColWidth="10" defaultColWidth="8.83203125" defaultRowHeight="16"/>
  <cols>
    <col min="1" max="1" width="28" style="316" customWidth="1"/>
    <col min="2" max="4" width="8.83203125" style="316"/>
    <col min="5" max="5" width="10" style="316" bestFit="1" customWidth="1"/>
    <col min="6" max="16384" width="8.83203125" style="316"/>
  </cols>
  <sheetData>
    <row r="1" spans="1:24">
      <c r="A1" s="316" t="s">
        <v>706</v>
      </c>
      <c r="B1" s="315" t="s">
        <v>158</v>
      </c>
    </row>
    <row r="2" spans="1:24">
      <c r="B2" s="315"/>
    </row>
    <row r="3" spans="1:24">
      <c r="A3" s="316" t="s">
        <v>497</v>
      </c>
      <c r="B3" s="315"/>
    </row>
    <row r="4" spans="1:24">
      <c r="A4" s="316" t="s">
        <v>498</v>
      </c>
    </row>
    <row r="6" spans="1:24">
      <c r="A6" s="357"/>
      <c r="B6" s="405" t="s">
        <v>485</v>
      </c>
      <c r="C6" s="405" t="s">
        <v>486</v>
      </c>
      <c r="D6" s="406" t="s">
        <v>487</v>
      </c>
      <c r="E6" s="407" t="s">
        <v>155</v>
      </c>
    </row>
    <row r="7" spans="1:24">
      <c r="A7" s="319" t="s">
        <v>499</v>
      </c>
      <c r="B7" s="409">
        <v>200</v>
      </c>
      <c r="C7" s="409">
        <v>200</v>
      </c>
      <c r="D7" s="415">
        <v>100</v>
      </c>
      <c r="E7" s="409">
        <f>SUM(B7:D7)</f>
        <v>500</v>
      </c>
    </row>
    <row r="8" spans="1:24">
      <c r="A8" s="319" t="s">
        <v>500</v>
      </c>
      <c r="B8" s="409">
        <v>8000</v>
      </c>
      <c r="C8" s="409">
        <v>8000</v>
      </c>
      <c r="D8" s="409">
        <v>4000</v>
      </c>
      <c r="E8" s="412">
        <f t="shared" ref="E8:E10" si="0">SUM(B8:D8)</f>
        <v>20000</v>
      </c>
    </row>
    <row r="9" spans="1:24">
      <c r="A9" s="319" t="s">
        <v>501</v>
      </c>
      <c r="B9" s="409">
        <v>150</v>
      </c>
      <c r="C9" s="409">
        <v>200</v>
      </c>
      <c r="D9" s="409">
        <v>150</v>
      </c>
      <c r="E9" s="412">
        <f t="shared" si="0"/>
        <v>500</v>
      </c>
    </row>
    <row r="10" spans="1:24">
      <c r="A10" s="319" t="s">
        <v>502</v>
      </c>
      <c r="B10" s="409">
        <v>10000</v>
      </c>
      <c r="C10" s="409">
        <v>15000</v>
      </c>
      <c r="D10" s="409">
        <v>20000</v>
      </c>
      <c r="E10" s="412">
        <f t="shared" si="0"/>
        <v>45000</v>
      </c>
      <c r="F10" s="499"/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499"/>
    </row>
    <row r="12" spans="1:24">
      <c r="A12" s="317" t="s">
        <v>503</v>
      </c>
    </row>
    <row r="13" spans="1:24">
      <c r="B13" s="405" t="s">
        <v>485</v>
      </c>
      <c r="C13" s="405" t="s">
        <v>486</v>
      </c>
      <c r="D13" s="405" t="s">
        <v>487</v>
      </c>
      <c r="E13" s="407" t="s">
        <v>155</v>
      </c>
    </row>
    <row r="14" spans="1:24">
      <c r="A14" s="316" t="s">
        <v>162</v>
      </c>
      <c r="B14" s="409">
        <f>B7*100</f>
        <v>20000</v>
      </c>
      <c r="C14" s="409">
        <f t="shared" ref="C14:D14" si="1">C7*100</f>
        <v>20000</v>
      </c>
      <c r="D14" s="409">
        <f t="shared" si="1"/>
        <v>10000</v>
      </c>
      <c r="E14" s="502">
        <f>SUM(B14:D14)</f>
        <v>50000</v>
      </c>
    </row>
    <row r="15" spans="1:24">
      <c r="A15" s="319"/>
    </row>
    <row r="16" spans="1:24">
      <c r="A16" s="317" t="s">
        <v>504</v>
      </c>
    </row>
    <row r="17" spans="1:5">
      <c r="A17" s="317"/>
      <c r="B17" s="405" t="s">
        <v>485</v>
      </c>
      <c r="C17" s="405" t="s">
        <v>486</v>
      </c>
      <c r="D17" s="405" t="s">
        <v>487</v>
      </c>
      <c r="E17" s="407" t="s">
        <v>155</v>
      </c>
    </row>
    <row r="18" spans="1:5">
      <c r="A18" s="316" t="s">
        <v>162</v>
      </c>
      <c r="B18" s="408">
        <f>B9*100</f>
        <v>15000</v>
      </c>
      <c r="C18" s="408">
        <f>C9*100</f>
        <v>20000</v>
      </c>
      <c r="D18" s="408">
        <f>D9*100</f>
        <v>15000</v>
      </c>
      <c r="E18" s="502">
        <f>SUM(B18:D18)</f>
        <v>50000</v>
      </c>
    </row>
    <row r="20" spans="1:5">
      <c r="A20" s="317" t="s">
        <v>509</v>
      </c>
    </row>
    <row r="22" spans="1:5">
      <c r="A22" s="357" t="s">
        <v>507</v>
      </c>
      <c r="B22" s="405" t="s">
        <v>485</v>
      </c>
      <c r="C22" s="405" t="s">
        <v>486</v>
      </c>
      <c r="D22" s="405" t="s">
        <v>487</v>
      </c>
      <c r="E22" s="411" t="s">
        <v>32</v>
      </c>
    </row>
    <row r="23" spans="1:5">
      <c r="A23" s="316" t="s">
        <v>162</v>
      </c>
      <c r="B23" s="409">
        <f>B14</f>
        <v>20000</v>
      </c>
      <c r="C23" s="409">
        <f t="shared" ref="C23:D23" si="2">C14</f>
        <v>20000</v>
      </c>
      <c r="D23" s="409">
        <f t="shared" si="2"/>
        <v>10000</v>
      </c>
      <c r="E23" s="412">
        <f>SUM(B23:D23)</f>
        <v>50000</v>
      </c>
    </row>
    <row r="24" spans="1:5">
      <c r="A24" s="356" t="s">
        <v>153</v>
      </c>
      <c r="B24" s="410">
        <f>B8</f>
        <v>8000</v>
      </c>
      <c r="C24" s="410">
        <f t="shared" ref="C24:D24" si="3">C8</f>
        <v>8000</v>
      </c>
      <c r="D24" s="410">
        <f t="shared" si="3"/>
        <v>4000</v>
      </c>
      <c r="E24" s="412">
        <f t="shared" ref="E24:E25" si="4">SUM(B24:D24)</f>
        <v>20000</v>
      </c>
    </row>
    <row r="25" spans="1:5">
      <c r="A25" s="319" t="s">
        <v>505</v>
      </c>
      <c r="B25" s="414">
        <f>B23-B24</f>
        <v>12000</v>
      </c>
      <c r="C25" s="414">
        <f t="shared" ref="C25:D25" si="5">C23-C24</f>
        <v>12000</v>
      </c>
      <c r="D25" s="414">
        <f t="shared" si="5"/>
        <v>6000</v>
      </c>
      <c r="E25" s="605">
        <f t="shared" si="4"/>
        <v>30000</v>
      </c>
    </row>
    <row r="27" spans="1:5">
      <c r="A27" s="357" t="s">
        <v>508</v>
      </c>
      <c r="B27" s="405" t="s">
        <v>485</v>
      </c>
      <c r="C27" s="405" t="s">
        <v>486</v>
      </c>
      <c r="D27" s="405" t="s">
        <v>487</v>
      </c>
      <c r="E27" s="411" t="s">
        <v>32</v>
      </c>
    </row>
    <row r="28" spans="1:5">
      <c r="A28" s="316" t="s">
        <v>162</v>
      </c>
      <c r="B28" s="409" cm="1">
        <f t="array" ref="B28:E28">B18:E18</f>
        <v>15000</v>
      </c>
      <c r="C28" s="409">
        <v>20000</v>
      </c>
      <c r="D28" s="409">
        <v>15000</v>
      </c>
      <c r="E28" s="412">
        <v>50000</v>
      </c>
    </row>
    <row r="29" spans="1:5">
      <c r="A29" s="356" t="s">
        <v>153</v>
      </c>
      <c r="B29" s="410" cm="1">
        <f t="array" ref="B29:E29">B8:E8</f>
        <v>8000</v>
      </c>
      <c r="C29" s="410">
        <v>8000</v>
      </c>
      <c r="D29" s="410">
        <v>4000</v>
      </c>
      <c r="E29" s="413">
        <v>20000</v>
      </c>
    </row>
    <row r="30" spans="1:5">
      <c r="A30" s="319" t="s">
        <v>505</v>
      </c>
      <c r="B30" s="414">
        <f>B28-B29</f>
        <v>7000</v>
      </c>
      <c r="C30" s="414">
        <f t="shared" ref="C30:E30" si="6">C28-C29</f>
        <v>12000</v>
      </c>
      <c r="D30" s="414">
        <f t="shared" si="6"/>
        <v>11000</v>
      </c>
      <c r="E30" s="414">
        <f t="shared" si="6"/>
        <v>30000</v>
      </c>
    </row>
    <row r="32" spans="1:5">
      <c r="A32" s="317" t="s">
        <v>506</v>
      </c>
    </row>
    <row r="33" spans="1:1">
      <c r="A33" s="316" t="s">
        <v>814</v>
      </c>
    </row>
  </sheetData>
  <hyperlinks>
    <hyperlink ref="B1" location="Forside!A1" display="Forside" xr:uid="{00000000-0004-0000-19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zoomScale="80" zoomScaleNormal="80" workbookViewId="0">
      <selection activeCell="I24" sqref="I24"/>
    </sheetView>
  </sheetViews>
  <sheetFormatPr baseColWidth="10" defaultColWidth="15.83203125" defaultRowHeight="19" customHeight="1"/>
  <cols>
    <col min="1" max="7" width="15.83203125" style="252"/>
    <col min="8" max="8" width="8.33203125" style="252" customWidth="1"/>
    <col min="9" max="16384" width="15.83203125" style="252"/>
  </cols>
  <sheetData>
    <row r="1" spans="1:10" ht="19" customHeight="1">
      <c r="A1" s="252" t="s">
        <v>510</v>
      </c>
      <c r="B1" s="190" t="s">
        <v>158</v>
      </c>
    </row>
    <row r="3" spans="1:10" ht="19" customHeight="1">
      <c r="A3" s="2" t="s">
        <v>525</v>
      </c>
    </row>
    <row r="4" spans="1:10" ht="19" customHeight="1">
      <c r="A4" s="2"/>
    </row>
    <row r="5" spans="1:10" ht="19" customHeight="1">
      <c r="A5" s="2" t="s">
        <v>523</v>
      </c>
    </row>
    <row r="6" spans="1:10" ht="19" customHeight="1">
      <c r="A6" s="416"/>
    </row>
    <row r="7" spans="1:10" ht="19" customHeight="1">
      <c r="B7" s="419" t="s">
        <v>320</v>
      </c>
      <c r="F7" s="690" t="s">
        <v>517</v>
      </c>
      <c r="G7" s="690"/>
      <c r="I7" s="690" t="s">
        <v>518</v>
      </c>
      <c r="J7" s="690"/>
    </row>
    <row r="8" spans="1:10" ht="19" customHeight="1">
      <c r="B8" s="418" t="s">
        <v>516</v>
      </c>
      <c r="F8" s="252">
        <v>800000</v>
      </c>
      <c r="G8" s="251"/>
      <c r="J8" s="251">
        <v>800000</v>
      </c>
    </row>
    <row r="9" spans="1:10" ht="19" customHeight="1">
      <c r="G9" s="251"/>
      <c r="J9" s="251"/>
    </row>
    <row r="10" spans="1:10" ht="19" customHeight="1">
      <c r="A10" s="417"/>
    </row>
    <row r="11" spans="1:10" ht="19" customHeight="1">
      <c r="B11" s="419" t="s">
        <v>321</v>
      </c>
      <c r="F11" s="690" t="s">
        <v>519</v>
      </c>
      <c r="G11" s="690"/>
      <c r="I11" s="690" t="s">
        <v>520</v>
      </c>
      <c r="J11" s="690"/>
    </row>
    <row r="12" spans="1:10" ht="19" customHeight="1">
      <c r="B12" s="252" t="s">
        <v>823</v>
      </c>
      <c r="F12" s="252">
        <v>1000000</v>
      </c>
      <c r="G12" s="251"/>
      <c r="J12" s="251">
        <v>1000000</v>
      </c>
    </row>
    <row r="13" spans="1:10" ht="19" customHeight="1">
      <c r="A13" s="417"/>
      <c r="G13" s="251"/>
      <c r="J13" s="251"/>
    </row>
    <row r="14" spans="1:10" ht="19" customHeight="1">
      <c r="A14" s="417"/>
    </row>
    <row r="15" spans="1:10" ht="19" customHeight="1">
      <c r="A15" s="417"/>
      <c r="B15" s="419" t="s">
        <v>323</v>
      </c>
      <c r="F15" s="690" t="s">
        <v>521</v>
      </c>
      <c r="G15" s="690"/>
      <c r="I15" s="690" t="s">
        <v>517</v>
      </c>
      <c r="J15" s="690"/>
    </row>
    <row r="16" spans="1:10" ht="19" customHeight="1">
      <c r="A16" s="417"/>
      <c r="B16" s="252" t="s">
        <v>514</v>
      </c>
      <c r="F16" s="252">
        <v>400000</v>
      </c>
      <c r="G16" s="251"/>
      <c r="J16" s="251">
        <v>400000</v>
      </c>
    </row>
    <row r="17" spans="1:10" ht="19" customHeight="1">
      <c r="A17" s="417"/>
      <c r="G17" s="251"/>
      <c r="J17" s="251"/>
    </row>
    <row r="18" spans="1:10" ht="19" customHeight="1">
      <c r="A18" s="417"/>
    </row>
    <row r="19" spans="1:10" ht="19" customHeight="1">
      <c r="A19" s="417"/>
      <c r="B19" s="419" t="s">
        <v>512</v>
      </c>
      <c r="F19" s="690" t="s">
        <v>519</v>
      </c>
      <c r="G19" s="690"/>
      <c r="I19" s="690" t="s">
        <v>522</v>
      </c>
      <c r="J19" s="690"/>
    </row>
    <row r="20" spans="1:10" ht="19" customHeight="1">
      <c r="A20" s="417"/>
      <c r="B20" s="252" t="s">
        <v>515</v>
      </c>
      <c r="G20" s="251">
        <v>1000000</v>
      </c>
      <c r="I20" s="252">
        <v>1000000</v>
      </c>
      <c r="J20" s="251"/>
    </row>
    <row r="21" spans="1:10" ht="19" customHeight="1">
      <c r="A21" s="417"/>
      <c r="G21" s="251"/>
      <c r="J21" s="251"/>
    </row>
    <row r="22" spans="1:10" ht="19" customHeight="1">
      <c r="A22" s="417"/>
    </row>
    <row r="23" spans="1:10" ht="19" customHeight="1">
      <c r="B23" s="419" t="s">
        <v>513</v>
      </c>
      <c r="F23" s="690" t="s">
        <v>194</v>
      </c>
      <c r="G23" s="690"/>
      <c r="I23" s="690" t="s">
        <v>522</v>
      </c>
      <c r="J23" s="690"/>
    </row>
    <row r="24" spans="1:10" ht="19" customHeight="1">
      <c r="B24" s="252" t="s">
        <v>712</v>
      </c>
      <c r="F24" s="252">
        <v>800000</v>
      </c>
      <c r="G24" s="251"/>
      <c r="J24" s="251"/>
    </row>
    <row r="25" spans="1:10" ht="19" customHeight="1">
      <c r="A25" s="417"/>
      <c r="G25" s="251"/>
      <c r="J25" s="251">
        <v>800000</v>
      </c>
    </row>
  </sheetData>
  <mergeCells count="10">
    <mergeCell ref="F19:G19"/>
    <mergeCell ref="I19:J19"/>
    <mergeCell ref="F23:G23"/>
    <mergeCell ref="I23:J23"/>
    <mergeCell ref="F7:G7"/>
    <mergeCell ref="I7:J7"/>
    <mergeCell ref="I11:J11"/>
    <mergeCell ref="F11:G11"/>
    <mergeCell ref="F15:G15"/>
    <mergeCell ref="I15:J15"/>
  </mergeCells>
  <hyperlinks>
    <hyperlink ref="B1" location="Forside!A1" display="Forside!A1" xr:uid="{00000000-0004-0000-1A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9"/>
  <sheetViews>
    <sheetView zoomScale="80" zoomScaleNormal="80" workbookViewId="0">
      <selection activeCell="F25" sqref="F25"/>
    </sheetView>
  </sheetViews>
  <sheetFormatPr baseColWidth="10" defaultColWidth="15.83203125" defaultRowHeight="19" customHeight="1"/>
  <cols>
    <col min="1" max="7" width="15.83203125" style="252"/>
    <col min="8" max="8" width="8.33203125" style="252" customWidth="1"/>
    <col min="9" max="16384" width="15.83203125" style="252"/>
  </cols>
  <sheetData>
    <row r="1" spans="1:10" ht="19" customHeight="1">
      <c r="A1" s="252" t="s">
        <v>524</v>
      </c>
      <c r="B1" s="190" t="s">
        <v>158</v>
      </c>
    </row>
    <row r="3" spans="1:10" ht="19" customHeight="1">
      <c r="A3" s="2" t="s">
        <v>511</v>
      </c>
    </row>
    <row r="4" spans="1:10" ht="19" customHeight="1">
      <c r="A4" s="2"/>
    </row>
    <row r="5" spans="1:10" ht="19" customHeight="1">
      <c r="A5" s="2" t="s">
        <v>523</v>
      </c>
    </row>
    <row r="6" spans="1:10" ht="19" customHeight="1">
      <c r="A6" s="416"/>
    </row>
    <row r="7" spans="1:10" ht="19" customHeight="1">
      <c r="B7" s="419" t="s">
        <v>320</v>
      </c>
      <c r="F7" s="690" t="s">
        <v>227</v>
      </c>
      <c r="G7" s="690"/>
      <c r="I7" s="690" t="s">
        <v>435</v>
      </c>
      <c r="J7" s="690"/>
    </row>
    <row r="8" spans="1:10" ht="19" customHeight="1">
      <c r="B8" s="418" t="s">
        <v>532</v>
      </c>
      <c r="G8" s="251">
        <v>30000</v>
      </c>
      <c r="I8" s="252">
        <v>30000</v>
      </c>
      <c r="J8" s="251"/>
    </row>
    <row r="9" spans="1:10" ht="19" customHeight="1">
      <c r="G9" s="251"/>
      <c r="J9" s="251"/>
    </row>
    <row r="10" spans="1:10" ht="19" customHeight="1">
      <c r="A10" s="417"/>
    </row>
    <row r="11" spans="1:10" ht="19" customHeight="1">
      <c r="B11" s="419" t="s">
        <v>321</v>
      </c>
      <c r="F11" s="690" t="s">
        <v>533</v>
      </c>
      <c r="G11" s="690"/>
      <c r="I11" s="690" t="s">
        <v>435</v>
      </c>
      <c r="J11" s="690"/>
    </row>
    <row r="12" spans="1:10" ht="19" customHeight="1">
      <c r="B12" s="252" t="s">
        <v>526</v>
      </c>
      <c r="F12" s="252">
        <v>20000</v>
      </c>
      <c r="G12" s="251"/>
      <c r="J12" s="251">
        <v>20000</v>
      </c>
    </row>
    <row r="13" spans="1:10" ht="19" customHeight="1">
      <c r="A13" s="417"/>
      <c r="G13" s="251"/>
      <c r="J13" s="251"/>
    </row>
    <row r="14" spans="1:10" ht="19" customHeight="1">
      <c r="A14" s="417"/>
    </row>
    <row r="15" spans="1:10" ht="19" customHeight="1">
      <c r="A15" s="417"/>
      <c r="B15" s="419" t="s">
        <v>323</v>
      </c>
      <c r="F15" s="690" t="s">
        <v>167</v>
      </c>
      <c r="G15" s="690"/>
      <c r="I15" s="690" t="s">
        <v>435</v>
      </c>
      <c r="J15" s="690"/>
    </row>
    <row r="16" spans="1:10" ht="19" customHeight="1">
      <c r="A16" s="417"/>
      <c r="B16" s="252" t="s">
        <v>527</v>
      </c>
      <c r="G16" s="251">
        <v>9000</v>
      </c>
      <c r="I16" s="252">
        <v>9000</v>
      </c>
      <c r="J16" s="251"/>
    </row>
    <row r="17" spans="1:10" ht="19" customHeight="1">
      <c r="A17" s="417"/>
      <c r="G17" s="251"/>
      <c r="J17" s="251"/>
    </row>
    <row r="18" spans="1:10" ht="19" customHeight="1">
      <c r="A18" s="417"/>
    </row>
    <row r="19" spans="1:10" ht="19" customHeight="1">
      <c r="A19" s="417"/>
      <c r="B19" s="419" t="s">
        <v>512</v>
      </c>
      <c r="F19" s="690" t="s">
        <v>268</v>
      </c>
      <c r="G19" s="690"/>
      <c r="I19" s="690" t="s">
        <v>152</v>
      </c>
      <c r="J19" s="690"/>
    </row>
    <row r="20" spans="1:10" ht="19" customHeight="1">
      <c r="A20" s="417"/>
      <c r="B20" s="252" t="s">
        <v>528</v>
      </c>
      <c r="F20" s="252">
        <v>8000</v>
      </c>
      <c r="G20" s="251"/>
      <c r="J20" s="251">
        <v>8000</v>
      </c>
    </row>
    <row r="21" spans="1:10" ht="19" customHeight="1">
      <c r="A21" s="417"/>
      <c r="G21" s="251"/>
      <c r="J21" s="251"/>
    </row>
    <row r="22" spans="1:10" ht="19" customHeight="1">
      <c r="A22" s="417"/>
    </row>
    <row r="23" spans="1:10" ht="19" customHeight="1">
      <c r="B23" s="419" t="s">
        <v>513</v>
      </c>
      <c r="F23" s="690" t="s">
        <v>353</v>
      </c>
      <c r="G23" s="690"/>
      <c r="I23" s="690" t="s">
        <v>435</v>
      </c>
      <c r="J23" s="690"/>
    </row>
    <row r="24" spans="1:10" ht="19" customHeight="1">
      <c r="B24" s="252" t="s">
        <v>529</v>
      </c>
      <c r="F24" s="252">
        <v>5500</v>
      </c>
      <c r="G24" s="251"/>
      <c r="J24" s="251">
        <v>5500</v>
      </c>
    </row>
    <row r="25" spans="1:10" ht="19" customHeight="1">
      <c r="A25" s="417"/>
      <c r="G25" s="251"/>
      <c r="J25" s="251"/>
    </row>
    <row r="26" spans="1:10" ht="19" customHeight="1">
      <c r="A26" s="417"/>
    </row>
    <row r="27" spans="1:10" ht="19" customHeight="1">
      <c r="B27" s="419" t="s">
        <v>530</v>
      </c>
      <c r="F27" s="690" t="s">
        <v>4</v>
      </c>
      <c r="G27" s="690"/>
      <c r="I27" s="690" t="s">
        <v>435</v>
      </c>
      <c r="J27" s="690"/>
    </row>
    <row r="28" spans="1:10" ht="19" customHeight="1">
      <c r="B28" s="252" t="s">
        <v>531</v>
      </c>
      <c r="F28" s="252">
        <v>500</v>
      </c>
      <c r="G28" s="251"/>
      <c r="J28" s="251">
        <v>500</v>
      </c>
    </row>
    <row r="29" spans="1:10" ht="19" customHeight="1">
      <c r="G29" s="251"/>
      <c r="J29" s="251"/>
    </row>
  </sheetData>
  <mergeCells count="12">
    <mergeCell ref="F19:G19"/>
    <mergeCell ref="I19:J19"/>
    <mergeCell ref="F23:G23"/>
    <mergeCell ref="I23:J23"/>
    <mergeCell ref="F27:G27"/>
    <mergeCell ref="I27:J27"/>
    <mergeCell ref="F7:G7"/>
    <mergeCell ref="I7:J7"/>
    <mergeCell ref="F11:G11"/>
    <mergeCell ref="I11:J11"/>
    <mergeCell ref="F15:G15"/>
    <mergeCell ref="I15:J15"/>
  </mergeCells>
  <hyperlinks>
    <hyperlink ref="B1" location="Forside!A1" display="Forside!A1" xr:uid="{00000000-0004-0000-1B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2"/>
  <sheetViews>
    <sheetView zoomScale="80" zoomScaleNormal="80" workbookViewId="0">
      <selection activeCell="J17" sqref="J17"/>
    </sheetView>
  </sheetViews>
  <sheetFormatPr baseColWidth="10" defaultColWidth="15.83203125" defaultRowHeight="19" customHeight="1"/>
  <cols>
    <col min="1" max="8" width="15.83203125" style="252"/>
    <col min="9" max="9" width="8.33203125" style="252" customWidth="1"/>
    <col min="10" max="16384" width="15.83203125" style="252"/>
  </cols>
  <sheetData>
    <row r="1" spans="1:11" ht="19" customHeight="1">
      <c r="A1" s="252" t="s">
        <v>534</v>
      </c>
      <c r="B1" s="190" t="s">
        <v>158</v>
      </c>
    </row>
    <row r="3" spans="1:11" ht="19" customHeight="1">
      <c r="A3" s="2" t="s">
        <v>511</v>
      </c>
    </row>
    <row r="4" spans="1:11" ht="19" customHeight="1">
      <c r="A4" s="2"/>
    </row>
    <row r="5" spans="1:11" ht="19" customHeight="1">
      <c r="A5" s="2" t="s">
        <v>523</v>
      </c>
    </row>
    <row r="6" spans="1:11" ht="19" customHeight="1">
      <c r="A6" s="2"/>
    </row>
    <row r="7" spans="1:11" ht="19" customHeight="1">
      <c r="A7" s="2"/>
      <c r="G7" s="691" t="s">
        <v>542</v>
      </c>
      <c r="H7" s="691"/>
      <c r="I7" s="691"/>
      <c r="J7" s="691"/>
      <c r="K7" s="691"/>
    </row>
    <row r="8" spans="1:11" ht="19" customHeight="1">
      <c r="A8" s="416"/>
    </row>
    <row r="9" spans="1:11" ht="19" customHeight="1">
      <c r="B9" s="419" t="s">
        <v>320</v>
      </c>
      <c r="G9" s="690" t="s">
        <v>227</v>
      </c>
      <c r="H9" s="690"/>
      <c r="J9" s="690" t="s">
        <v>435</v>
      </c>
      <c r="K9" s="690"/>
    </row>
    <row r="10" spans="1:11" ht="19" customHeight="1">
      <c r="B10" s="418" t="s">
        <v>541</v>
      </c>
      <c r="H10" s="251">
        <v>12000</v>
      </c>
      <c r="J10" s="252">
        <v>12000</v>
      </c>
      <c r="K10" s="251"/>
    </row>
    <row r="11" spans="1:11" ht="19" customHeight="1">
      <c r="H11" s="251"/>
      <c r="J11" s="252">
        <v>5000</v>
      </c>
      <c r="K11" s="251"/>
    </row>
    <row r="12" spans="1:11" ht="19" customHeight="1">
      <c r="A12" s="417"/>
      <c r="B12" s="419" t="s">
        <v>321</v>
      </c>
      <c r="K12" s="251">
        <v>10000</v>
      </c>
    </row>
    <row r="13" spans="1:11" ht="19" customHeight="1">
      <c r="B13" s="252" t="s">
        <v>535</v>
      </c>
      <c r="G13" s="690" t="s">
        <v>167</v>
      </c>
      <c r="H13" s="690"/>
      <c r="J13" s="420">
        <v>6000</v>
      </c>
      <c r="K13" s="421"/>
    </row>
    <row r="14" spans="1:11" ht="19" customHeight="1">
      <c r="H14" s="251">
        <v>5000</v>
      </c>
      <c r="J14" s="252">
        <v>4500</v>
      </c>
      <c r="K14" s="251"/>
    </row>
    <row r="15" spans="1:11" ht="19" customHeight="1">
      <c r="A15" s="417"/>
      <c r="B15" s="419" t="s">
        <v>323</v>
      </c>
      <c r="H15" s="251"/>
      <c r="K15" s="251">
        <v>4000</v>
      </c>
    </row>
    <row r="16" spans="1:11" ht="19" customHeight="1">
      <c r="A16" s="417"/>
      <c r="B16" s="252" t="s">
        <v>713</v>
      </c>
      <c r="J16" s="29">
        <v>4500</v>
      </c>
    </row>
    <row r="17" spans="1:12" ht="19" customHeight="1">
      <c r="A17" s="417"/>
      <c r="J17" s="252">
        <f>SUM(J10:J16)</f>
        <v>32000</v>
      </c>
      <c r="K17" s="252">
        <f>SUM(K10:K16)</f>
        <v>14000</v>
      </c>
      <c r="L17" s="252">
        <f>J17-K17</f>
        <v>18000</v>
      </c>
    </row>
    <row r="18" spans="1:12" ht="19" customHeight="1">
      <c r="A18" s="417"/>
      <c r="B18" s="419" t="s">
        <v>512</v>
      </c>
      <c r="G18" s="690" t="s">
        <v>533</v>
      </c>
      <c r="H18" s="690"/>
      <c r="J18" s="690" t="s">
        <v>152</v>
      </c>
      <c r="K18" s="690"/>
    </row>
    <row r="19" spans="1:12" ht="19" customHeight="1">
      <c r="A19" s="417"/>
      <c r="B19" s="252" t="s">
        <v>536</v>
      </c>
      <c r="G19" s="252">
        <v>10000</v>
      </c>
      <c r="H19" s="251"/>
      <c r="K19" s="251">
        <v>10000</v>
      </c>
    </row>
    <row r="20" spans="1:12" ht="19" customHeight="1">
      <c r="A20" s="417"/>
      <c r="H20" s="251">
        <v>5000</v>
      </c>
      <c r="K20" s="251"/>
    </row>
    <row r="21" spans="1:12" ht="19" customHeight="1">
      <c r="A21" s="417"/>
      <c r="B21" s="419" t="s">
        <v>513</v>
      </c>
    </row>
    <row r="22" spans="1:12" ht="19" customHeight="1">
      <c r="A22" s="417"/>
      <c r="B22" s="252" t="s">
        <v>715</v>
      </c>
      <c r="G22" s="690" t="s">
        <v>268</v>
      </c>
      <c r="H22" s="690"/>
      <c r="J22" s="690" t="s">
        <v>353</v>
      </c>
      <c r="K22" s="690"/>
    </row>
    <row r="23" spans="1:12" ht="19" customHeight="1">
      <c r="A23" s="417"/>
      <c r="G23" s="252">
        <v>4000</v>
      </c>
      <c r="H23" s="251"/>
      <c r="J23" s="252">
        <v>4000</v>
      </c>
      <c r="K23" s="251"/>
    </row>
    <row r="24" spans="1:12" ht="19" customHeight="1">
      <c r="A24" s="417"/>
      <c r="B24" s="419" t="s">
        <v>530</v>
      </c>
      <c r="H24" s="251"/>
      <c r="K24" s="251"/>
    </row>
    <row r="25" spans="1:12" ht="19" customHeight="1">
      <c r="A25" s="417"/>
      <c r="B25" s="252" t="s">
        <v>714</v>
      </c>
    </row>
    <row r="26" spans="1:12" ht="19" customHeight="1">
      <c r="G26" s="690" t="s">
        <v>539</v>
      </c>
      <c r="H26" s="690"/>
      <c r="J26" s="690" t="s">
        <v>540</v>
      </c>
      <c r="K26" s="690"/>
    </row>
    <row r="27" spans="1:12" ht="19" customHeight="1">
      <c r="B27" s="419" t="s">
        <v>537</v>
      </c>
      <c r="G27" s="252">
        <v>500</v>
      </c>
      <c r="H27" s="251"/>
      <c r="J27" s="252">
        <v>4000</v>
      </c>
      <c r="K27" s="251"/>
    </row>
    <row r="28" spans="1:12" ht="19" customHeight="1">
      <c r="A28" s="417"/>
      <c r="B28" s="252" t="s">
        <v>538</v>
      </c>
      <c r="H28" s="251"/>
      <c r="K28" s="251"/>
    </row>
    <row r="29" spans="1:12" ht="19" customHeight="1">
      <c r="A29" s="417"/>
    </row>
    <row r="30" spans="1:12" ht="19" customHeight="1">
      <c r="G30" s="690" t="s">
        <v>369</v>
      </c>
      <c r="H30" s="690"/>
    </row>
    <row r="31" spans="1:12" ht="19" customHeight="1">
      <c r="G31" s="252">
        <v>1000</v>
      </c>
      <c r="H31" s="251"/>
    </row>
    <row r="32" spans="1:12" ht="19" customHeight="1">
      <c r="H32" s="251"/>
    </row>
  </sheetData>
  <mergeCells count="11">
    <mergeCell ref="G22:H22"/>
    <mergeCell ref="J22:K22"/>
    <mergeCell ref="G26:H26"/>
    <mergeCell ref="J26:K26"/>
    <mergeCell ref="G30:H30"/>
    <mergeCell ref="G7:K7"/>
    <mergeCell ref="G9:H9"/>
    <mergeCell ref="J9:K9"/>
    <mergeCell ref="G13:H13"/>
    <mergeCell ref="G18:H18"/>
    <mergeCell ref="J18:K18"/>
  </mergeCells>
  <hyperlinks>
    <hyperlink ref="B1" location="Forside!A1" display="Forside!A1" xr:uid="{00000000-0004-0000-1C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9"/>
  <sheetViews>
    <sheetView topLeftCell="A7" zoomScale="80" zoomScaleNormal="80" workbookViewId="0">
      <selection activeCell="I39" sqref="I39"/>
    </sheetView>
  </sheetViews>
  <sheetFormatPr baseColWidth="10" defaultColWidth="15.83203125" defaultRowHeight="19" customHeight="1"/>
  <cols>
    <col min="1" max="1" width="25.5" style="252" customWidth="1"/>
    <col min="2" max="2" width="19.5" style="252" customWidth="1"/>
    <col min="3" max="8" width="15.83203125" style="252"/>
    <col min="9" max="9" width="8.33203125" style="252" customWidth="1"/>
    <col min="10" max="16384" width="15.83203125" style="252"/>
  </cols>
  <sheetData>
    <row r="1" spans="1:11" ht="19" customHeight="1">
      <c r="A1" s="252" t="s">
        <v>543</v>
      </c>
      <c r="B1" s="190" t="s">
        <v>158</v>
      </c>
    </row>
    <row r="3" spans="1:11" ht="19" customHeight="1">
      <c r="A3" s="2" t="s">
        <v>546</v>
      </c>
    </row>
    <row r="4" spans="1:11" ht="19" customHeight="1">
      <c r="A4" s="2" t="s">
        <v>544</v>
      </c>
    </row>
    <row r="5" spans="1:11" ht="19" customHeight="1">
      <c r="A5" s="2" t="s">
        <v>547</v>
      </c>
    </row>
    <row r="6" spans="1:11" ht="19" customHeight="1">
      <c r="A6" s="2" t="s">
        <v>545</v>
      </c>
      <c r="H6" s="252" t="s">
        <v>830</v>
      </c>
      <c r="I6" s="252" t="s">
        <v>831</v>
      </c>
    </row>
    <row r="7" spans="1:11" ht="19" customHeight="1">
      <c r="A7" s="2"/>
      <c r="G7" s="423"/>
      <c r="H7" s="423"/>
      <c r="I7" s="423"/>
      <c r="J7" s="423"/>
      <c r="K7" s="423"/>
    </row>
    <row r="8" spans="1:11" ht="19" customHeight="1">
      <c r="A8" s="418" t="s">
        <v>549</v>
      </c>
    </row>
    <row r="9" spans="1:11" ht="19" customHeight="1">
      <c r="A9" s="418" t="s">
        <v>553</v>
      </c>
    </row>
    <row r="10" spans="1:11" ht="19" customHeight="1">
      <c r="A10" s="2" t="s">
        <v>523</v>
      </c>
    </row>
    <row r="11" spans="1:11" ht="19" customHeight="1">
      <c r="B11" s="419" t="s">
        <v>320</v>
      </c>
      <c r="G11" s="690" t="s">
        <v>152</v>
      </c>
      <c r="H11" s="690"/>
      <c r="J11" s="690" t="s">
        <v>435</v>
      </c>
      <c r="K11" s="690"/>
    </row>
    <row r="12" spans="1:11" ht="19" customHeight="1">
      <c r="B12" s="418" t="s">
        <v>556</v>
      </c>
      <c r="H12" s="251">
        <v>10000</v>
      </c>
      <c r="J12" s="252">
        <v>10000</v>
      </c>
      <c r="K12" s="251"/>
    </row>
    <row r="13" spans="1:11" ht="19" customHeight="1">
      <c r="B13" s="422" t="s">
        <v>824</v>
      </c>
      <c r="C13" s="422"/>
      <c r="H13" s="251">
        <v>8000</v>
      </c>
      <c r="K13" s="251">
        <v>8000</v>
      </c>
    </row>
    <row r="14" spans="1:11" ht="19" customHeight="1">
      <c r="A14" s="417"/>
      <c r="K14" s="251">
        <v>200</v>
      </c>
    </row>
    <row r="15" spans="1:11" ht="19" customHeight="1">
      <c r="B15" s="419" t="s">
        <v>321</v>
      </c>
      <c r="G15" s="690" t="s">
        <v>77</v>
      </c>
      <c r="H15" s="690"/>
      <c r="J15" s="252">
        <v>8000</v>
      </c>
      <c r="K15" s="421"/>
    </row>
    <row r="16" spans="1:11" ht="19" customHeight="1">
      <c r="B16" s="252" t="s">
        <v>554</v>
      </c>
      <c r="G16" s="252">
        <v>8000</v>
      </c>
      <c r="H16" s="251"/>
      <c r="K16" s="251">
        <v>4800</v>
      </c>
    </row>
    <row r="17" spans="1:11" ht="19" customHeight="1">
      <c r="A17" s="417"/>
      <c r="B17" s="422" t="s">
        <v>825</v>
      </c>
      <c r="C17" s="422"/>
      <c r="H17" s="251"/>
      <c r="J17" s="252">
        <v>1000</v>
      </c>
      <c r="K17" s="251"/>
    </row>
    <row r="18" spans="1:11" ht="19" customHeight="1">
      <c r="A18" s="417"/>
      <c r="J18" s="29"/>
    </row>
    <row r="19" spans="1:11" ht="19" customHeight="1">
      <c r="A19" s="417"/>
      <c r="B19" s="419" t="s">
        <v>323</v>
      </c>
    </row>
    <row r="20" spans="1:11" ht="19" customHeight="1">
      <c r="A20" s="417"/>
      <c r="B20" s="252" t="s">
        <v>548</v>
      </c>
      <c r="G20" s="690" t="s">
        <v>353</v>
      </c>
      <c r="H20" s="690"/>
      <c r="J20" s="690" t="s">
        <v>555</v>
      </c>
      <c r="K20" s="690"/>
    </row>
    <row r="21" spans="1:11" ht="19" customHeight="1">
      <c r="A21" s="417"/>
      <c r="B21" s="422" t="s">
        <v>826</v>
      </c>
      <c r="C21" s="422"/>
      <c r="G21" s="606">
        <v>4800</v>
      </c>
      <c r="J21" s="252">
        <v>200</v>
      </c>
      <c r="K21" s="251"/>
    </row>
    <row r="22" spans="1:11" ht="19" customHeight="1">
      <c r="A22" s="417"/>
      <c r="H22" s="251"/>
      <c r="K22" s="251"/>
    </row>
    <row r="23" spans="1:11" ht="19" customHeight="1">
      <c r="A23" s="417"/>
      <c r="B23" s="419" t="s">
        <v>512</v>
      </c>
    </row>
    <row r="24" spans="1:11" ht="19" customHeight="1">
      <c r="A24" s="417"/>
      <c r="B24" s="252" t="s">
        <v>550</v>
      </c>
      <c r="G24" s="690" t="s">
        <v>30</v>
      </c>
      <c r="H24" s="690"/>
      <c r="J24" s="690" t="s">
        <v>218</v>
      </c>
      <c r="K24" s="690"/>
    </row>
    <row r="25" spans="1:11" ht="19" customHeight="1">
      <c r="A25" s="417"/>
      <c r="B25" s="422" t="s">
        <v>827</v>
      </c>
      <c r="C25" s="422"/>
      <c r="G25" s="252">
        <v>8000</v>
      </c>
      <c r="H25" s="251"/>
      <c r="K25" s="251">
        <v>1000</v>
      </c>
    </row>
    <row r="26" spans="1:11" ht="19" customHeight="1">
      <c r="A26" s="417"/>
      <c r="H26" s="251"/>
      <c r="K26" s="251"/>
    </row>
    <row r="27" spans="1:11" ht="19" customHeight="1">
      <c r="A27" s="417"/>
      <c r="B27" s="419" t="s">
        <v>513</v>
      </c>
    </row>
    <row r="28" spans="1:11" ht="19" customHeight="1">
      <c r="B28" s="252" t="s">
        <v>551</v>
      </c>
      <c r="G28" s="690" t="s">
        <v>838</v>
      </c>
      <c r="H28" s="690"/>
      <c r="J28" s="690" t="s">
        <v>837</v>
      </c>
      <c r="K28" s="690"/>
    </row>
    <row r="29" spans="1:11" ht="19" customHeight="1">
      <c r="B29" s="422" t="s">
        <v>828</v>
      </c>
      <c r="C29" s="422"/>
      <c r="H29" s="251">
        <v>2500</v>
      </c>
      <c r="J29" s="252">
        <v>2000</v>
      </c>
      <c r="K29" s="251"/>
    </row>
    <row r="30" spans="1:11" ht="19" customHeight="1">
      <c r="A30" s="417"/>
      <c r="H30" s="251">
        <v>2000</v>
      </c>
      <c r="J30" s="252">
        <v>1200</v>
      </c>
      <c r="K30" s="251"/>
    </row>
    <row r="31" spans="1:11" ht="19" customHeight="1">
      <c r="A31" s="417"/>
      <c r="B31" s="419" t="s">
        <v>530</v>
      </c>
      <c r="G31" s="29">
        <v>4500</v>
      </c>
      <c r="K31" s="251">
        <v>3200</v>
      </c>
    </row>
    <row r="32" spans="1:11" ht="19" customHeight="1">
      <c r="B32" s="252" t="s">
        <v>552</v>
      </c>
      <c r="G32" s="29"/>
      <c r="K32" s="251"/>
    </row>
    <row r="33" spans="2:9" ht="19" customHeight="1">
      <c r="B33" s="422" t="s">
        <v>829</v>
      </c>
      <c r="C33" s="422"/>
    </row>
    <row r="34" spans="2:9" ht="19" customHeight="1">
      <c r="G34" s="690" t="s">
        <v>87</v>
      </c>
      <c r="H34" s="690"/>
    </row>
    <row r="35" spans="2:9" ht="19" customHeight="1">
      <c r="B35" s="419" t="s">
        <v>537</v>
      </c>
      <c r="H35" s="251">
        <v>4500</v>
      </c>
    </row>
    <row r="36" spans="2:9" ht="19" customHeight="1">
      <c r="B36" s="252" t="s">
        <v>557</v>
      </c>
      <c r="G36" s="252">
        <v>3200</v>
      </c>
      <c r="H36" s="251"/>
    </row>
    <row r="37" spans="2:9" ht="19" customHeight="1">
      <c r="B37" s="422" t="s">
        <v>826</v>
      </c>
      <c r="C37" s="422"/>
    </row>
    <row r="38" spans="2:9" ht="19" customHeight="1">
      <c r="G38" s="32"/>
      <c r="H38" s="31"/>
    </row>
    <row r="39" spans="2:9" ht="19" customHeight="1">
      <c r="G39" s="252">
        <f>SUM(G35:G36)</f>
        <v>3200</v>
      </c>
      <c r="H39" s="252">
        <f>SUM(H35)</f>
        <v>4500</v>
      </c>
      <c r="I39" s="252">
        <f>G39-H39</f>
        <v>-1300</v>
      </c>
    </row>
  </sheetData>
  <mergeCells count="10">
    <mergeCell ref="G24:H24"/>
    <mergeCell ref="J24:K24"/>
    <mergeCell ref="G28:H28"/>
    <mergeCell ref="J28:K28"/>
    <mergeCell ref="G34:H34"/>
    <mergeCell ref="G11:H11"/>
    <mergeCell ref="J11:K11"/>
    <mergeCell ref="G15:H15"/>
    <mergeCell ref="G20:H20"/>
    <mergeCell ref="J20:K20"/>
  </mergeCells>
  <hyperlinks>
    <hyperlink ref="B1" location="Forside!A1" display="Forside!A1" xr:uid="{00000000-0004-0000-1D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5"/>
  <sheetViews>
    <sheetView zoomScale="80" zoomScaleNormal="80" workbookViewId="0">
      <selection activeCell="K13" sqref="K13"/>
    </sheetView>
  </sheetViews>
  <sheetFormatPr baseColWidth="10" defaultColWidth="21.33203125" defaultRowHeight="19" customHeight="1"/>
  <cols>
    <col min="1" max="1" width="73.83203125" style="1" customWidth="1"/>
    <col min="2" max="2" width="10" style="1" customWidth="1"/>
    <col min="3" max="3" width="4.83203125" style="1" customWidth="1"/>
    <col min="4" max="4" width="15.33203125" style="1" customWidth="1"/>
    <col min="5" max="5" width="12.83203125" style="1" customWidth="1"/>
    <col min="6" max="6" width="4.83203125" style="1" customWidth="1"/>
    <col min="7" max="7" width="16" style="1" customWidth="1"/>
    <col min="8" max="8" width="12.83203125" style="35" customWidth="1"/>
    <col min="9" max="9" width="20.6640625" style="35" customWidth="1"/>
    <col min="10" max="11" width="12.83203125" style="35" customWidth="1"/>
    <col min="12" max="12" width="4.83203125" style="1" customWidth="1"/>
    <col min="13" max="14" width="12.83203125" style="1" customWidth="1"/>
    <col min="15" max="15" width="4.83203125" style="1" customWidth="1"/>
    <col min="16" max="17" width="12.83203125" style="1" customWidth="1"/>
    <col min="18" max="16384" width="21.33203125" style="1"/>
  </cols>
  <sheetData>
    <row r="1" spans="1:17" ht="19" customHeight="1">
      <c r="A1" s="1" t="s">
        <v>578</v>
      </c>
      <c r="B1" s="190" t="s">
        <v>158</v>
      </c>
    </row>
    <row r="2" spans="1:17" ht="19" customHeight="1">
      <c r="A2" s="2" t="s">
        <v>523</v>
      </c>
    </row>
    <row r="3" spans="1:17" ht="19" customHeight="1">
      <c r="A3" s="1" t="s">
        <v>740</v>
      </c>
    </row>
    <row r="4" spans="1:17" ht="19" customHeight="1">
      <c r="G4" s="1">
        <v>325000</v>
      </c>
      <c r="H4" s="35">
        <f>G4/5</f>
        <v>65000</v>
      </c>
      <c r="I4" s="609">
        <f>H4*4</f>
        <v>260000</v>
      </c>
    </row>
    <row r="5" spans="1:17" ht="19" customHeight="1">
      <c r="A5" s="424" t="s">
        <v>577</v>
      </c>
      <c r="B5" s="425" t="s">
        <v>213</v>
      </c>
      <c r="C5" s="426"/>
      <c r="D5" s="426"/>
      <c r="E5" s="427"/>
      <c r="F5" s="427"/>
      <c r="G5" s="427"/>
      <c r="H5" s="427"/>
      <c r="I5" s="427"/>
      <c r="J5" s="427"/>
      <c r="K5" s="427"/>
      <c r="L5" s="427"/>
      <c r="M5" s="427"/>
      <c r="N5" s="427"/>
      <c r="O5" s="427"/>
      <c r="P5" s="427"/>
      <c r="Q5" s="427"/>
    </row>
    <row r="6" spans="1:17" ht="19" customHeight="1">
      <c r="A6" s="428" t="s">
        <v>558</v>
      </c>
      <c r="B6" s="429">
        <v>500000</v>
      </c>
      <c r="C6" s="426"/>
      <c r="D6" s="692" t="s">
        <v>152</v>
      </c>
      <c r="E6" s="692"/>
      <c r="F6" s="427"/>
      <c r="G6" s="692" t="s">
        <v>559</v>
      </c>
      <c r="H6" s="692"/>
      <c r="I6" s="427"/>
      <c r="J6" s="692" t="s">
        <v>560</v>
      </c>
      <c r="K6" s="692"/>
      <c r="L6" s="427"/>
      <c r="M6" s="692" t="s">
        <v>561</v>
      </c>
      <c r="N6" s="692"/>
      <c r="O6" s="427"/>
      <c r="P6" s="692" t="s">
        <v>562</v>
      </c>
      <c r="Q6" s="692"/>
    </row>
    <row r="7" spans="1:17" ht="19" customHeight="1">
      <c r="A7" s="428" t="s">
        <v>563</v>
      </c>
      <c r="B7" s="429">
        <v>700000</v>
      </c>
      <c r="C7" s="426"/>
      <c r="D7" s="430"/>
      <c r="E7" s="431">
        <v>1100000</v>
      </c>
      <c r="F7" s="427"/>
      <c r="G7" s="433">
        <v>260000</v>
      </c>
      <c r="H7" s="432"/>
      <c r="I7" s="427"/>
      <c r="J7" s="433">
        <v>800000</v>
      </c>
      <c r="K7" s="432"/>
      <c r="L7" s="427"/>
      <c r="M7" s="433">
        <v>500000</v>
      </c>
      <c r="N7" s="432"/>
      <c r="O7" s="427"/>
      <c r="P7" s="430"/>
      <c r="Q7" s="431">
        <v>500000</v>
      </c>
    </row>
    <row r="8" spans="1:17" ht="19" customHeight="1">
      <c r="A8" s="428" t="s">
        <v>564</v>
      </c>
      <c r="B8" s="429">
        <v>800000</v>
      </c>
      <c r="C8" s="426"/>
      <c r="D8" s="434"/>
      <c r="E8" s="427"/>
      <c r="F8" s="427"/>
      <c r="G8" s="434"/>
      <c r="H8" s="427"/>
      <c r="I8" s="427"/>
      <c r="J8" s="434"/>
      <c r="K8" s="435">
        <v>200000</v>
      </c>
      <c r="L8" s="427"/>
      <c r="M8" s="434"/>
      <c r="N8" s="435"/>
      <c r="O8" s="427"/>
      <c r="P8" s="434"/>
      <c r="Q8" s="427"/>
    </row>
    <row r="9" spans="1:17" ht="19" customHeight="1">
      <c r="A9" s="428" t="s">
        <v>565</v>
      </c>
      <c r="B9" s="429">
        <v>300000</v>
      </c>
      <c r="C9" s="426"/>
      <c r="D9" s="426"/>
      <c r="E9" s="427"/>
      <c r="F9" s="427"/>
      <c r="G9" s="427"/>
      <c r="H9" s="427"/>
      <c r="I9" s="427"/>
      <c r="J9" s="427"/>
      <c r="K9" s="427"/>
      <c r="L9" s="427"/>
      <c r="M9" s="427"/>
      <c r="N9" s="427"/>
      <c r="O9" s="427"/>
      <c r="P9" s="427"/>
      <c r="Q9" s="427"/>
    </row>
    <row r="10" spans="1:17" ht="19" customHeight="1">
      <c r="A10" s="428" t="s">
        <v>566</v>
      </c>
      <c r="B10" s="429">
        <v>1100000</v>
      </c>
      <c r="C10" s="426"/>
      <c r="D10" s="692" t="s">
        <v>77</v>
      </c>
      <c r="E10" s="692"/>
      <c r="F10" s="427"/>
      <c r="G10" s="692" t="s">
        <v>105</v>
      </c>
      <c r="H10" s="692"/>
      <c r="I10" s="427"/>
      <c r="J10" s="692" t="s">
        <v>567</v>
      </c>
      <c r="K10" s="692"/>
      <c r="L10" s="427"/>
      <c r="M10" s="692" t="s">
        <v>435</v>
      </c>
      <c r="N10" s="692"/>
      <c r="O10" s="427"/>
      <c r="P10" s="692" t="s">
        <v>167</v>
      </c>
      <c r="Q10" s="692"/>
    </row>
    <row r="11" spans="1:17" ht="19" customHeight="1">
      <c r="A11" s="428" t="s">
        <v>568</v>
      </c>
      <c r="B11" s="429">
        <v>70000</v>
      </c>
      <c r="C11" s="426"/>
      <c r="D11" s="433">
        <v>200000</v>
      </c>
      <c r="E11" s="432"/>
      <c r="F11" s="427"/>
      <c r="G11" s="433">
        <v>200000</v>
      </c>
      <c r="H11" s="432"/>
      <c r="I11" s="427"/>
      <c r="J11" s="433">
        <v>300000</v>
      </c>
      <c r="K11" s="432"/>
      <c r="L11" s="427"/>
      <c r="M11" s="607">
        <v>500000</v>
      </c>
      <c r="N11" s="435">
        <v>800000</v>
      </c>
      <c r="O11" s="427"/>
      <c r="P11" s="430"/>
      <c r="Q11" s="431">
        <v>700000</v>
      </c>
    </row>
    <row r="12" spans="1:17" ht="19" customHeight="1">
      <c r="A12" s="428" t="s">
        <v>708</v>
      </c>
      <c r="B12" s="429">
        <v>600000</v>
      </c>
      <c r="C12" s="426"/>
      <c r="D12" s="434"/>
      <c r="E12" s="427"/>
      <c r="F12" s="427"/>
      <c r="G12" s="434"/>
      <c r="H12" s="427"/>
      <c r="I12" s="427"/>
      <c r="J12" s="434"/>
      <c r="K12" s="435">
        <v>200000</v>
      </c>
      <c r="L12" s="427"/>
      <c r="M12" s="608">
        <v>700000</v>
      </c>
      <c r="N12" s="435">
        <v>300000</v>
      </c>
      <c r="O12" s="427"/>
      <c r="P12" s="436">
        <v>50000</v>
      </c>
      <c r="Q12" s="427"/>
    </row>
    <row r="13" spans="1:17" ht="19" customHeight="1">
      <c r="A13" s="428" t="s">
        <v>707</v>
      </c>
      <c r="B13" s="429">
        <v>325000</v>
      </c>
      <c r="C13" s="426"/>
      <c r="D13" s="426"/>
      <c r="E13" s="427"/>
      <c r="F13" s="427"/>
      <c r="G13" s="427"/>
      <c r="H13" s="427"/>
      <c r="I13" s="427"/>
      <c r="J13" s="427"/>
      <c r="K13" s="427"/>
      <c r="L13" s="427"/>
      <c r="M13" s="608">
        <v>600000</v>
      </c>
      <c r="N13" s="611">
        <v>70000</v>
      </c>
      <c r="O13" s="427"/>
      <c r="P13" s="427"/>
      <c r="Q13" s="427"/>
    </row>
    <row r="14" spans="1:17" ht="19" customHeight="1">
      <c r="A14" s="428" t="s">
        <v>709</v>
      </c>
      <c r="B14" s="429">
        <v>100000</v>
      </c>
      <c r="C14" s="426"/>
      <c r="D14" s="692" t="s">
        <v>569</v>
      </c>
      <c r="E14" s="692"/>
      <c r="F14" s="427"/>
      <c r="G14" s="692" t="s">
        <v>80</v>
      </c>
      <c r="H14" s="692"/>
      <c r="I14" s="427"/>
      <c r="J14" s="692" t="s">
        <v>570</v>
      </c>
      <c r="K14" s="692"/>
      <c r="L14" s="427"/>
      <c r="M14" s="608"/>
      <c r="N14" s="612">
        <f>B13</f>
        <v>325000</v>
      </c>
      <c r="O14" s="427"/>
      <c r="P14" s="427"/>
      <c r="Q14" s="435">
        <f>Q11-P12</f>
        <v>650000</v>
      </c>
    </row>
    <row r="15" spans="1:17" ht="19" customHeight="1">
      <c r="A15" s="428" t="s">
        <v>571</v>
      </c>
      <c r="B15" s="429">
        <v>120000</v>
      </c>
      <c r="C15" s="426"/>
      <c r="D15" s="433">
        <v>70000</v>
      </c>
      <c r="E15" s="432"/>
      <c r="F15" s="427"/>
      <c r="G15" s="430">
        <v>70000</v>
      </c>
      <c r="H15" s="432"/>
      <c r="I15" s="427"/>
      <c r="J15" s="433">
        <v>65000</v>
      </c>
      <c r="K15" s="432"/>
      <c r="L15" s="427"/>
      <c r="M15" s="608"/>
      <c r="N15" s="435">
        <f>B15</f>
        <v>120000</v>
      </c>
      <c r="O15" s="427"/>
      <c r="P15" s="427"/>
      <c r="Q15" s="427"/>
    </row>
    <row r="16" spans="1:17" ht="19" customHeight="1">
      <c r="A16" s="428" t="s">
        <v>572</v>
      </c>
      <c r="B16" s="429">
        <f>B8*25%</f>
        <v>200000</v>
      </c>
      <c r="C16" s="426"/>
      <c r="D16" s="434"/>
      <c r="E16" s="427"/>
      <c r="F16" s="427"/>
      <c r="G16" s="434"/>
      <c r="H16" s="427"/>
      <c r="I16" s="427"/>
      <c r="J16" s="434"/>
      <c r="K16" s="427"/>
      <c r="L16" s="427"/>
      <c r="M16" s="436"/>
      <c r="N16" s="427"/>
      <c r="O16" s="427"/>
      <c r="P16" s="427"/>
      <c r="Q16" s="427"/>
    </row>
    <row r="17" spans="1:17" ht="19" customHeight="1">
      <c r="A17" s="427"/>
      <c r="B17" s="426"/>
      <c r="C17" s="426"/>
      <c r="D17" s="426"/>
      <c r="E17" s="427"/>
      <c r="F17" s="427"/>
      <c r="G17" s="427"/>
      <c r="H17" s="427"/>
      <c r="I17" s="427"/>
      <c r="J17" s="427"/>
      <c r="K17" s="427"/>
      <c r="L17" s="427"/>
      <c r="M17" s="434"/>
      <c r="N17" s="435"/>
      <c r="O17" s="427"/>
      <c r="P17" s="427"/>
      <c r="Q17" s="427"/>
    </row>
    <row r="18" spans="1:17" ht="19" customHeight="1">
      <c r="A18" s="437" t="s">
        <v>573</v>
      </c>
      <c r="B18" s="440"/>
      <c r="C18" s="426"/>
      <c r="D18" s="445" t="s">
        <v>360</v>
      </c>
      <c r="E18" s="440"/>
      <c r="F18" s="427"/>
      <c r="G18" s="437" t="s">
        <v>376</v>
      </c>
      <c r="H18" s="440"/>
      <c r="I18" s="427"/>
      <c r="J18" s="427"/>
      <c r="K18" s="427"/>
      <c r="L18" s="427"/>
      <c r="M18" s="450"/>
      <c r="N18" s="451"/>
      <c r="O18" s="427"/>
      <c r="P18" s="427"/>
      <c r="Q18" s="427"/>
    </row>
    <row r="19" spans="1:17" ht="19" customHeight="1">
      <c r="A19" s="441" t="s">
        <v>152</v>
      </c>
      <c r="B19" s="442">
        <f>B10</f>
        <v>1100000</v>
      </c>
      <c r="C19" s="426"/>
      <c r="D19" s="446" t="s">
        <v>560</v>
      </c>
      <c r="E19" s="442">
        <f>600000</f>
        <v>600000</v>
      </c>
      <c r="F19" s="427"/>
      <c r="G19" s="441" t="s">
        <v>227</v>
      </c>
      <c r="H19" s="442">
        <v>500000</v>
      </c>
      <c r="I19" s="427"/>
      <c r="J19" s="427"/>
      <c r="K19" s="427"/>
      <c r="L19" s="427"/>
      <c r="M19" s="435">
        <f>SUM(M11:M18)-SUM(N11:N18)</f>
        <v>185000</v>
      </c>
      <c r="N19" s="435"/>
      <c r="O19" s="427"/>
      <c r="P19" s="435"/>
      <c r="Q19" s="427"/>
    </row>
    <row r="20" spans="1:17" ht="19" customHeight="1">
      <c r="A20" s="441" t="s">
        <v>77</v>
      </c>
      <c r="B20" s="442">
        <f>-(B9-100000)</f>
        <v>-200000</v>
      </c>
      <c r="C20" s="426"/>
      <c r="D20" s="446" t="s">
        <v>833</v>
      </c>
      <c r="E20" s="442">
        <v>100000</v>
      </c>
      <c r="F20" s="427"/>
      <c r="G20" s="441" t="s">
        <v>108</v>
      </c>
      <c r="H20" s="442">
        <f>B25</f>
        <v>300000</v>
      </c>
      <c r="I20" s="427"/>
      <c r="J20" s="427"/>
      <c r="K20" s="427"/>
      <c r="L20" s="427"/>
      <c r="M20" s="427"/>
      <c r="N20" s="435"/>
      <c r="O20" s="427"/>
      <c r="P20" s="427"/>
      <c r="Q20" s="427"/>
    </row>
    <row r="21" spans="1:17" ht="19" customHeight="1">
      <c r="A21" s="441" t="s">
        <v>304</v>
      </c>
      <c r="B21" s="442">
        <f>-I4</f>
        <v>-260000</v>
      </c>
      <c r="C21" s="426"/>
      <c r="D21" s="1" t="s">
        <v>836</v>
      </c>
      <c r="E21" s="610">
        <f>J15</f>
        <v>65000</v>
      </c>
      <c r="F21" s="427"/>
      <c r="G21" s="443" t="s">
        <v>574</v>
      </c>
      <c r="H21" s="444">
        <f>SUM(H19:H20)</f>
        <v>800000</v>
      </c>
      <c r="I21" s="427"/>
      <c r="J21" s="427"/>
      <c r="K21" s="427"/>
      <c r="L21" s="427"/>
      <c r="M21" s="427"/>
      <c r="N21" s="427"/>
      <c r="O21" s="427"/>
      <c r="P21" s="427"/>
      <c r="Q21" s="427"/>
    </row>
    <row r="22" spans="1:17" ht="19" customHeight="1">
      <c r="A22" s="441" t="s">
        <v>839</v>
      </c>
      <c r="B22" s="442">
        <f>-B11</f>
        <v>-70000</v>
      </c>
      <c r="C22" s="426"/>
      <c r="D22" s="446" t="s">
        <v>834</v>
      </c>
      <c r="E22" s="442">
        <v>500000</v>
      </c>
      <c r="F22" s="427"/>
      <c r="G22" s="447" t="s">
        <v>98</v>
      </c>
      <c r="H22" s="448">
        <f>Q14</f>
        <v>650000</v>
      </c>
      <c r="I22" s="427"/>
      <c r="J22" s="427"/>
      <c r="K22" s="427"/>
      <c r="L22" s="427"/>
      <c r="M22" s="427"/>
      <c r="N22" s="427"/>
      <c r="O22" s="427"/>
      <c r="P22" s="427"/>
      <c r="Q22" s="427"/>
    </row>
    <row r="23" spans="1:17" ht="19" customHeight="1">
      <c r="A23" s="441" t="s">
        <v>105</v>
      </c>
      <c r="B23" s="442">
        <f>-B16</f>
        <v>-200000</v>
      </c>
      <c r="C23" s="426"/>
      <c r="D23" s="446" t="s">
        <v>835</v>
      </c>
      <c r="E23" s="442">
        <f>M19</f>
        <v>185000</v>
      </c>
      <c r="F23" s="427"/>
      <c r="G23" s="447"/>
      <c r="H23" s="449"/>
      <c r="I23" s="427"/>
      <c r="J23" s="427"/>
      <c r="K23" s="427"/>
      <c r="L23" s="427"/>
      <c r="M23" s="427"/>
      <c r="N23" s="427"/>
      <c r="O23" s="427"/>
      <c r="P23" s="427"/>
      <c r="Q23" s="427"/>
    </row>
    <row r="24" spans="1:17" ht="19" customHeight="1">
      <c r="A24" s="441" t="s">
        <v>832</v>
      </c>
      <c r="B24" s="442">
        <f>-70000</f>
        <v>-70000</v>
      </c>
      <c r="C24" s="426"/>
      <c r="D24" s="438" t="s">
        <v>575</v>
      </c>
      <c r="E24" s="439">
        <f>SUM(E19:E23)</f>
        <v>1450000</v>
      </c>
      <c r="F24" s="427"/>
      <c r="G24" s="438" t="s">
        <v>576</v>
      </c>
      <c r="H24" s="439">
        <f>SUM(H21:H22)</f>
        <v>1450000</v>
      </c>
      <c r="I24" s="427"/>
      <c r="J24" s="427"/>
      <c r="K24" s="427"/>
      <c r="L24" s="427"/>
      <c r="M24" s="427"/>
      <c r="N24" s="427"/>
      <c r="O24" s="427"/>
      <c r="P24" s="427"/>
      <c r="Q24" s="427"/>
    </row>
    <row r="25" spans="1:17" ht="19" customHeight="1">
      <c r="A25" s="438" t="s">
        <v>108</v>
      </c>
      <c r="B25" s="439">
        <f>SUM(B19:B24)</f>
        <v>300000</v>
      </c>
      <c r="C25" s="426"/>
      <c r="D25" s="427"/>
      <c r="E25" s="426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/>
      <c r="Q25" s="427"/>
    </row>
  </sheetData>
  <mergeCells count="13">
    <mergeCell ref="D14:E14"/>
    <mergeCell ref="G14:H14"/>
    <mergeCell ref="J14:K14"/>
    <mergeCell ref="M6:N6"/>
    <mergeCell ref="P6:Q6"/>
    <mergeCell ref="D10:E10"/>
    <mergeCell ref="G10:H10"/>
    <mergeCell ref="J10:K10"/>
    <mergeCell ref="M10:N10"/>
    <mergeCell ref="P10:Q10"/>
    <mergeCell ref="D6:E6"/>
    <mergeCell ref="G6:H6"/>
    <mergeCell ref="J6:K6"/>
  </mergeCells>
  <hyperlinks>
    <hyperlink ref="B1" location="Forside!A1" display="Forside!A1" xr:uid="{00000000-0004-0000-1E00-000000000000}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0"/>
  <sheetViews>
    <sheetView topLeftCell="A10" zoomScale="80" zoomScaleNormal="80" workbookViewId="0">
      <selection activeCell="E30" sqref="E30"/>
    </sheetView>
  </sheetViews>
  <sheetFormatPr baseColWidth="10" defaultColWidth="18.33203125" defaultRowHeight="19" customHeight="1"/>
  <cols>
    <col min="1" max="1" width="24.5" style="188" customWidth="1"/>
    <col min="2" max="2" width="8" style="188" customWidth="1"/>
    <col min="3" max="3" width="15" style="188" customWidth="1"/>
    <col min="4" max="5" width="14.33203125" style="188" customWidth="1"/>
    <col min="6" max="6" width="14" style="188" customWidth="1"/>
    <col min="7" max="7" width="15.5" style="188" customWidth="1"/>
    <col min="8" max="8" width="14" style="188" customWidth="1"/>
    <col min="9" max="9" width="15.5" style="188" customWidth="1"/>
    <col min="10" max="10" width="14.83203125" style="188" customWidth="1"/>
    <col min="11" max="16384" width="18.33203125" style="188"/>
  </cols>
  <sheetData>
    <row r="1" spans="1:10" ht="19" customHeight="1">
      <c r="A1" s="188" t="s">
        <v>579</v>
      </c>
      <c r="C1" s="190" t="s">
        <v>158</v>
      </c>
    </row>
    <row r="2" spans="1:10" ht="19" customHeight="1">
      <c r="A2" s="46"/>
      <c r="C2" s="41"/>
    </row>
    <row r="3" spans="1:10" ht="19" customHeight="1">
      <c r="A3" s="188" t="s">
        <v>585</v>
      </c>
    </row>
    <row r="4" spans="1:10" ht="19" customHeight="1">
      <c r="A4" s="188" t="s">
        <v>586</v>
      </c>
      <c r="H4" s="2" t="s">
        <v>523</v>
      </c>
    </row>
    <row r="6" spans="1:10" ht="19" customHeight="1">
      <c r="A6" s="188" t="s">
        <v>68</v>
      </c>
    </row>
    <row r="7" spans="1:10" ht="19" customHeight="1">
      <c r="A7" s="220" t="s">
        <v>581</v>
      </c>
      <c r="B7" s="220"/>
      <c r="C7" s="220"/>
      <c r="D7" s="220"/>
      <c r="E7" s="220"/>
      <c r="F7" s="220"/>
      <c r="G7" s="220"/>
      <c r="H7" s="188" t="s">
        <v>281</v>
      </c>
    </row>
    <row r="8" spans="1:10" ht="19" customHeight="1">
      <c r="A8" s="220" t="s">
        <v>584</v>
      </c>
      <c r="B8" s="220"/>
      <c r="C8" s="220"/>
      <c r="D8" s="220"/>
      <c r="E8" s="220"/>
      <c r="F8" s="220"/>
      <c r="G8" s="220"/>
    </row>
    <row r="9" spans="1:10" ht="19" customHeight="1">
      <c r="A9" s="220" t="s">
        <v>587</v>
      </c>
      <c r="B9" s="220"/>
      <c r="C9" s="220"/>
      <c r="D9" s="220"/>
      <c r="E9" s="220"/>
      <c r="F9" s="220"/>
      <c r="G9" s="220"/>
    </row>
    <row r="10" spans="1:10" ht="19" customHeight="1">
      <c r="A10" s="220" t="s">
        <v>583</v>
      </c>
      <c r="B10" s="220"/>
      <c r="C10" s="220"/>
      <c r="D10" s="220"/>
      <c r="E10" s="220"/>
      <c r="F10" s="220"/>
      <c r="G10" s="220"/>
    </row>
    <row r="11" spans="1:10" ht="19" customHeight="1">
      <c r="A11" s="220" t="s">
        <v>69</v>
      </c>
      <c r="B11" s="220"/>
      <c r="C11" s="220"/>
      <c r="D11" s="220"/>
      <c r="E11" s="220"/>
      <c r="F11" s="220"/>
      <c r="G11" s="220"/>
    </row>
    <row r="12" spans="1:10" ht="19" customHeight="1">
      <c r="A12" s="220" t="s">
        <v>582</v>
      </c>
      <c r="B12" s="220"/>
    </row>
    <row r="13" spans="1:10" ht="19" customHeight="1" thickBot="1">
      <c r="A13" s="126"/>
    </row>
    <row r="14" spans="1:10" ht="19" customHeight="1">
      <c r="A14" s="52"/>
      <c r="B14" s="53"/>
      <c r="C14" s="693" t="s">
        <v>70</v>
      </c>
      <c r="D14" s="694"/>
      <c r="E14" s="693" t="s">
        <v>71</v>
      </c>
      <c r="F14" s="694"/>
      <c r="G14" s="693" t="s">
        <v>72</v>
      </c>
      <c r="H14" s="695"/>
      <c r="I14" s="693" t="s">
        <v>73</v>
      </c>
      <c r="J14" s="695"/>
    </row>
    <row r="15" spans="1:10" ht="19" customHeight="1" thickBot="1">
      <c r="A15" s="56" t="s">
        <v>74</v>
      </c>
      <c r="B15" s="57"/>
      <c r="C15" s="58" t="s">
        <v>75</v>
      </c>
      <c r="D15" s="59" t="s">
        <v>76</v>
      </c>
      <c r="E15" s="58" t="s">
        <v>75</v>
      </c>
      <c r="F15" s="59" t="s">
        <v>76</v>
      </c>
      <c r="G15" s="58" t="s">
        <v>75</v>
      </c>
      <c r="H15" s="60" t="s">
        <v>76</v>
      </c>
      <c r="I15" s="61" t="s">
        <v>75</v>
      </c>
      <c r="J15" s="60" t="s">
        <v>76</v>
      </c>
    </row>
    <row r="16" spans="1:10" ht="19" customHeight="1">
      <c r="A16" s="523" t="s">
        <v>152</v>
      </c>
      <c r="B16" s="390"/>
      <c r="C16" s="524"/>
      <c r="D16" s="525">
        <v>2900000</v>
      </c>
      <c r="E16" s="526"/>
      <c r="F16" s="527"/>
      <c r="G16" s="528"/>
      <c r="H16" s="529">
        <v>2900000</v>
      </c>
      <c r="I16" s="528"/>
      <c r="J16" s="530"/>
    </row>
    <row r="17" spans="1:10" ht="19" customHeight="1">
      <c r="A17" s="531" t="s">
        <v>77</v>
      </c>
      <c r="B17" s="532"/>
      <c r="C17" s="533">
        <v>1600000</v>
      </c>
      <c r="D17" s="534"/>
      <c r="E17" s="535">
        <f>C26-110000</f>
        <v>460000</v>
      </c>
      <c r="F17" s="535"/>
      <c r="G17" s="533">
        <f>E17+C17</f>
        <v>2060000</v>
      </c>
      <c r="H17" s="537"/>
      <c r="I17" s="536"/>
      <c r="J17" s="537"/>
    </row>
    <row r="18" spans="1:10" ht="19" customHeight="1">
      <c r="A18" s="523" t="s">
        <v>215</v>
      </c>
      <c r="B18" s="390"/>
      <c r="C18" s="533">
        <v>80000</v>
      </c>
      <c r="D18" s="534"/>
      <c r="E18" s="538"/>
      <c r="F18" s="535">
        <v>20000</v>
      </c>
      <c r="G18" s="533">
        <f>C18-F18</f>
        <v>60000</v>
      </c>
      <c r="H18" s="537"/>
      <c r="I18" s="536"/>
      <c r="J18" s="537"/>
    </row>
    <row r="19" spans="1:10" ht="19" customHeight="1">
      <c r="A19" s="696" t="s">
        <v>262</v>
      </c>
      <c r="B19" s="697"/>
      <c r="C19" s="533">
        <v>35000</v>
      </c>
      <c r="D19" s="534"/>
      <c r="E19" s="538"/>
      <c r="F19" s="535"/>
      <c r="G19" s="533">
        <f>C19</f>
        <v>35000</v>
      </c>
      <c r="H19" s="537"/>
      <c r="I19" s="536"/>
      <c r="J19" s="537"/>
    </row>
    <row r="20" spans="1:10" ht="19" customHeight="1">
      <c r="A20" s="696" t="s">
        <v>78</v>
      </c>
      <c r="B20" s="697"/>
      <c r="C20" s="533">
        <v>145000</v>
      </c>
      <c r="D20" s="534"/>
      <c r="E20" s="538">
        <v>20000</v>
      </c>
      <c r="F20" s="535"/>
      <c r="G20" s="536">
        <f>C20+E20</f>
        <v>165000</v>
      </c>
      <c r="H20" s="537"/>
      <c r="I20" s="536"/>
      <c r="J20" s="537"/>
    </row>
    <row r="21" spans="1:10" ht="19" customHeight="1">
      <c r="A21" s="523" t="s">
        <v>293</v>
      </c>
      <c r="B21" s="390"/>
      <c r="C21" s="533">
        <v>400000</v>
      </c>
      <c r="D21" s="534"/>
      <c r="E21" s="538"/>
      <c r="F21" s="535"/>
      <c r="G21" s="533">
        <f>C21</f>
        <v>400000</v>
      </c>
      <c r="H21" s="537"/>
      <c r="I21" s="536"/>
      <c r="J21" s="537"/>
    </row>
    <row r="22" spans="1:10" ht="19" customHeight="1">
      <c r="A22" s="541" t="s">
        <v>79</v>
      </c>
      <c r="B22" s="532"/>
      <c r="C22" s="533"/>
      <c r="D22" s="534"/>
      <c r="E22" s="538">
        <v>25000</v>
      </c>
      <c r="F22" s="535"/>
      <c r="G22" s="563">
        <f>E22</f>
        <v>25000</v>
      </c>
      <c r="H22" s="537"/>
      <c r="I22" s="523"/>
      <c r="J22" s="537"/>
    </row>
    <row r="23" spans="1:10" ht="19" customHeight="1">
      <c r="A23" s="564" t="s">
        <v>80</v>
      </c>
      <c r="B23" s="390"/>
      <c r="C23" s="533">
        <v>35000</v>
      </c>
      <c r="D23" s="534"/>
      <c r="E23" s="538"/>
      <c r="F23" s="535"/>
      <c r="G23" s="536">
        <f>C23</f>
        <v>35000</v>
      </c>
      <c r="H23" s="537"/>
      <c r="I23" s="536"/>
      <c r="J23" s="537"/>
    </row>
    <row r="24" spans="1:10" ht="19" customHeight="1">
      <c r="A24" s="531" t="s">
        <v>81</v>
      </c>
      <c r="B24" s="532"/>
      <c r="C24" s="533">
        <v>200000</v>
      </c>
      <c r="D24" s="534"/>
      <c r="E24" s="538"/>
      <c r="F24" s="535"/>
      <c r="G24" s="536"/>
      <c r="H24" s="537"/>
      <c r="I24" s="533">
        <v>200000</v>
      </c>
      <c r="J24" s="537"/>
    </row>
    <row r="25" spans="1:10" ht="19" customHeight="1">
      <c r="A25" s="696" t="s">
        <v>580</v>
      </c>
      <c r="B25" s="697"/>
      <c r="C25" s="533"/>
      <c r="D25" s="534">
        <v>100000</v>
      </c>
      <c r="E25" s="538"/>
      <c r="F25" s="535">
        <v>25000</v>
      </c>
      <c r="G25" s="536"/>
      <c r="H25" s="537"/>
      <c r="I25" s="536"/>
      <c r="J25" s="534">
        <f>D25+F25</f>
        <v>125000</v>
      </c>
    </row>
    <row r="26" spans="1:10" ht="19" customHeight="1">
      <c r="A26" s="531" t="s">
        <v>30</v>
      </c>
      <c r="B26" s="532"/>
      <c r="C26" s="533">
        <v>570000</v>
      </c>
      <c r="D26" s="534"/>
      <c r="E26" s="538"/>
      <c r="F26" s="535">
        <v>460000</v>
      </c>
      <c r="G26" s="536"/>
      <c r="H26" s="537"/>
      <c r="I26" s="533">
        <f>C26-F26</f>
        <v>110000</v>
      </c>
      <c r="J26" s="537"/>
    </row>
    <row r="27" spans="1:10" ht="19" customHeight="1">
      <c r="A27" s="523" t="s">
        <v>82</v>
      </c>
      <c r="B27" s="390"/>
      <c r="C27" s="533">
        <v>200000</v>
      </c>
      <c r="D27" s="534"/>
      <c r="E27" s="538"/>
      <c r="F27" s="535"/>
      <c r="G27" s="536"/>
      <c r="H27" s="537"/>
      <c r="I27" s="533">
        <f>C27</f>
        <v>200000</v>
      </c>
      <c r="J27" s="537"/>
    </row>
    <row r="28" spans="1:10" ht="19" customHeight="1">
      <c r="A28" s="696" t="s">
        <v>369</v>
      </c>
      <c r="B28" s="697"/>
      <c r="C28" s="533"/>
      <c r="D28" s="534"/>
      <c r="E28" s="535">
        <v>20000</v>
      </c>
      <c r="F28" s="535"/>
      <c r="G28" s="536"/>
      <c r="H28" s="537"/>
      <c r="I28" s="565">
        <f>E28</f>
        <v>20000</v>
      </c>
      <c r="J28" s="537"/>
    </row>
    <row r="29" spans="1:10" ht="19" customHeight="1">
      <c r="A29" s="523" t="s">
        <v>435</v>
      </c>
      <c r="B29" s="390"/>
      <c r="C29" s="533">
        <v>100000</v>
      </c>
      <c r="D29" s="534"/>
      <c r="E29" s="538"/>
      <c r="F29" s="535"/>
      <c r="G29" s="536"/>
      <c r="H29" s="537"/>
      <c r="I29" s="533">
        <f>C29</f>
        <v>100000</v>
      </c>
      <c r="J29" s="537"/>
    </row>
    <row r="30" spans="1:10" ht="19" customHeight="1">
      <c r="A30" s="696" t="s">
        <v>83</v>
      </c>
      <c r="B30" s="697"/>
      <c r="C30" s="533"/>
      <c r="D30" s="534">
        <v>250000</v>
      </c>
      <c r="E30" s="542">
        <v>75000</v>
      </c>
      <c r="F30" s="535"/>
      <c r="G30" s="536"/>
      <c r="H30" s="537"/>
      <c r="I30" s="536"/>
      <c r="J30" s="537">
        <f>D30-E30</f>
        <v>175000</v>
      </c>
    </row>
    <row r="31" spans="1:10" ht="19" customHeight="1">
      <c r="A31" s="523" t="s">
        <v>4</v>
      </c>
      <c r="B31" s="390"/>
      <c r="C31" s="533">
        <v>75000</v>
      </c>
      <c r="D31" s="534"/>
      <c r="E31" s="538"/>
      <c r="F31" s="543">
        <v>75000</v>
      </c>
      <c r="G31" s="536"/>
      <c r="H31" s="537"/>
      <c r="I31" s="536"/>
      <c r="J31" s="537">
        <f>C31-F31</f>
        <v>0</v>
      </c>
    </row>
    <row r="32" spans="1:10" ht="19" customHeight="1">
      <c r="A32" s="531" t="s">
        <v>84</v>
      </c>
      <c r="B32" s="532"/>
      <c r="C32" s="533"/>
      <c r="D32" s="534">
        <v>50000</v>
      </c>
      <c r="E32" s="538"/>
      <c r="F32" s="535"/>
      <c r="G32" s="536"/>
      <c r="H32" s="537"/>
      <c r="I32" s="536"/>
      <c r="J32" s="534">
        <f>D32</f>
        <v>50000</v>
      </c>
    </row>
    <row r="33" spans="1:10" ht="19" customHeight="1">
      <c r="A33" s="696" t="s">
        <v>194</v>
      </c>
      <c r="B33" s="697"/>
      <c r="C33" s="533"/>
      <c r="D33" s="534">
        <v>80000</v>
      </c>
      <c r="E33" s="538"/>
      <c r="F33" s="535"/>
      <c r="G33" s="536"/>
      <c r="H33" s="537"/>
      <c r="I33" s="536"/>
      <c r="J33" s="534">
        <f>D33</f>
        <v>80000</v>
      </c>
    </row>
    <row r="34" spans="1:10" ht="19" customHeight="1">
      <c r="A34" s="531" t="s">
        <v>85</v>
      </c>
      <c r="B34" s="532"/>
      <c r="C34" s="533">
        <v>100000</v>
      </c>
      <c r="D34" s="534"/>
      <c r="E34" s="538"/>
      <c r="F34" s="543">
        <v>100000</v>
      </c>
      <c r="G34" s="536"/>
      <c r="H34" s="537"/>
      <c r="I34" s="536"/>
      <c r="J34" s="537"/>
    </row>
    <row r="35" spans="1:10" ht="19" customHeight="1">
      <c r="A35" s="523" t="s">
        <v>86</v>
      </c>
      <c r="B35" s="390"/>
      <c r="C35" s="533"/>
      <c r="D35" s="534">
        <v>150000</v>
      </c>
      <c r="E35" s="543">
        <v>150000</v>
      </c>
      <c r="F35" s="535"/>
      <c r="G35" s="536"/>
      <c r="H35" s="537"/>
      <c r="I35" s="536"/>
      <c r="J35" s="537"/>
    </row>
    <row r="36" spans="1:10" ht="19" customHeight="1">
      <c r="A36" s="531" t="s">
        <v>87</v>
      </c>
      <c r="B36" s="532"/>
      <c r="C36" s="533"/>
      <c r="D36" s="534"/>
      <c r="E36" s="533">
        <v>100000</v>
      </c>
      <c r="F36" s="543">
        <v>150000</v>
      </c>
      <c r="G36" s="536"/>
      <c r="H36" s="537"/>
      <c r="I36" s="536"/>
      <c r="J36" s="537">
        <f>F36-E36</f>
        <v>50000</v>
      </c>
    </row>
    <row r="37" spans="1:10" ht="19" customHeight="1" thickBot="1">
      <c r="A37" s="566" t="s">
        <v>88</v>
      </c>
      <c r="B37" s="567"/>
      <c r="C37" s="546"/>
      <c r="D37" s="547">
        <v>10000</v>
      </c>
      <c r="E37" s="548"/>
      <c r="F37" s="549">
        <v>20000</v>
      </c>
      <c r="G37" s="544"/>
      <c r="H37" s="545"/>
      <c r="I37" s="544"/>
      <c r="J37" s="568">
        <f>F37+D37</f>
        <v>30000</v>
      </c>
    </row>
    <row r="38" spans="1:10" ht="19" customHeight="1">
      <c r="A38" s="52" t="s">
        <v>89</v>
      </c>
      <c r="B38" s="66"/>
      <c r="C38" s="62">
        <f t="shared" ref="C38:J38" si="0">SUM(C16:C37)</f>
        <v>3540000</v>
      </c>
      <c r="D38" s="62">
        <f t="shared" si="0"/>
        <v>3540000</v>
      </c>
      <c r="E38" s="62">
        <f t="shared" si="0"/>
        <v>850000</v>
      </c>
      <c r="F38" s="62">
        <f t="shared" si="0"/>
        <v>850000</v>
      </c>
      <c r="G38" s="62">
        <f>SUM(G16:G37)</f>
        <v>2780000</v>
      </c>
      <c r="H38" s="62">
        <f t="shared" si="0"/>
        <v>2900000</v>
      </c>
      <c r="I38" s="62">
        <f t="shared" si="0"/>
        <v>630000</v>
      </c>
      <c r="J38" s="62">
        <f t="shared" si="0"/>
        <v>510000</v>
      </c>
    </row>
    <row r="39" spans="1:10" ht="19" customHeight="1">
      <c r="A39" s="67" t="s">
        <v>90</v>
      </c>
      <c r="B39" s="68"/>
      <c r="C39" s="65"/>
      <c r="D39" s="64"/>
      <c r="E39" s="65"/>
      <c r="F39" s="63"/>
      <c r="G39" s="65">
        <f>H38-G38</f>
        <v>120000</v>
      </c>
      <c r="H39" s="64"/>
      <c r="I39" s="65"/>
      <c r="J39" s="64">
        <f>I38-J38</f>
        <v>120000</v>
      </c>
    </row>
    <row r="40" spans="1:10" ht="19" customHeight="1" thickBot="1">
      <c r="A40" s="69"/>
      <c r="B40" s="70"/>
      <c r="C40" s="71"/>
      <c r="D40" s="72"/>
      <c r="E40" s="71"/>
      <c r="F40" s="73"/>
      <c r="G40" s="74">
        <f>SUM(G38:G39)</f>
        <v>2900000</v>
      </c>
      <c r="H40" s="75">
        <f>SUM(H38:H39)</f>
        <v>2900000</v>
      </c>
      <c r="I40" s="74">
        <f>SUM(I38:I39)</f>
        <v>630000</v>
      </c>
      <c r="J40" s="75">
        <f>SUM(J38:J39)</f>
        <v>630000</v>
      </c>
    </row>
  </sheetData>
  <mergeCells count="10">
    <mergeCell ref="A25:B25"/>
    <mergeCell ref="A28:B28"/>
    <mergeCell ref="A30:B30"/>
    <mergeCell ref="A33:B33"/>
    <mergeCell ref="A20:B20"/>
    <mergeCell ref="C14:D14"/>
    <mergeCell ref="E14:F14"/>
    <mergeCell ref="G14:H14"/>
    <mergeCell ref="I14:J14"/>
    <mergeCell ref="A19:B19"/>
  </mergeCells>
  <hyperlinks>
    <hyperlink ref="C1" location="Forside!A1" display="Forside!A1" xr:uid="{00000000-0004-0000-1F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2"/>
  <sheetViews>
    <sheetView topLeftCell="A8" zoomScale="80" zoomScaleNormal="80" workbookViewId="0">
      <selection activeCell="J26" sqref="J26"/>
    </sheetView>
  </sheetViews>
  <sheetFormatPr baseColWidth="10" defaultColWidth="18.33203125" defaultRowHeight="19" customHeight="1"/>
  <cols>
    <col min="1" max="1" width="25.5" style="220" customWidth="1"/>
    <col min="2" max="10" width="12.5" style="220" customWidth="1"/>
    <col min="11" max="16384" width="18.33203125" style="220"/>
  </cols>
  <sheetData>
    <row r="1" spans="1:10" ht="19" customHeight="1">
      <c r="A1" s="188" t="s">
        <v>673</v>
      </c>
      <c r="B1" s="190" t="s">
        <v>158</v>
      </c>
    </row>
    <row r="2" spans="1:10" ht="19" customHeight="1">
      <c r="A2" s="188"/>
      <c r="B2" s="188"/>
      <c r="C2" s="190"/>
    </row>
    <row r="3" spans="1:10" ht="19" customHeight="1">
      <c r="A3" s="188" t="s">
        <v>585</v>
      </c>
      <c r="B3" s="188"/>
      <c r="C3" s="190"/>
    </row>
    <row r="4" spans="1:10" ht="19" customHeight="1">
      <c r="A4" s="188" t="s">
        <v>586</v>
      </c>
      <c r="B4" s="188"/>
      <c r="C4" s="190"/>
    </row>
    <row r="5" spans="1:10" ht="19" customHeight="1">
      <c r="A5" s="188"/>
      <c r="B5" s="188"/>
      <c r="C5" s="190"/>
    </row>
    <row r="6" spans="1:10" ht="19" customHeight="1">
      <c r="A6" s="220" t="s">
        <v>661</v>
      </c>
    </row>
    <row r="7" spans="1:10" ht="19" customHeight="1">
      <c r="A7" s="220" t="s">
        <v>662</v>
      </c>
      <c r="D7" s="221"/>
      <c r="E7" s="221"/>
    </row>
    <row r="8" spans="1:10" ht="19" customHeight="1">
      <c r="A8" s="220" t="s">
        <v>663</v>
      </c>
      <c r="D8" s="221"/>
      <c r="E8" s="221"/>
    </row>
    <row r="9" spans="1:10" ht="19" customHeight="1">
      <c r="A9" s="220" t="s">
        <v>664</v>
      </c>
    </row>
    <row r="10" spans="1:10" ht="19" customHeight="1">
      <c r="A10" s="220" t="s">
        <v>665</v>
      </c>
    </row>
    <row r="11" spans="1:10" ht="19" customHeight="1">
      <c r="A11" s="220" t="s">
        <v>672</v>
      </c>
    </row>
    <row r="12" spans="1:10" ht="19" customHeight="1" thickBot="1"/>
    <row r="13" spans="1:10" ht="19" customHeight="1">
      <c r="A13" s="515"/>
      <c r="B13" s="516"/>
      <c r="C13" s="698" t="s">
        <v>671</v>
      </c>
      <c r="D13" s="699"/>
      <c r="E13" s="698" t="s">
        <v>666</v>
      </c>
      <c r="F13" s="699"/>
      <c r="G13" s="698" t="s">
        <v>169</v>
      </c>
      <c r="H13" s="699"/>
      <c r="I13" s="698" t="s">
        <v>170</v>
      </c>
      <c r="J13" s="699"/>
    </row>
    <row r="14" spans="1:10" ht="19" customHeight="1" thickBot="1">
      <c r="A14" s="517" t="s">
        <v>74</v>
      </c>
      <c r="B14" s="518"/>
      <c r="C14" s="519" t="s">
        <v>75</v>
      </c>
      <c r="D14" s="520" t="s">
        <v>76</v>
      </c>
      <c r="E14" s="519" t="s">
        <v>75</v>
      </c>
      <c r="F14" s="520" t="s">
        <v>76</v>
      </c>
      <c r="G14" s="519" t="s">
        <v>75</v>
      </c>
      <c r="H14" s="521" t="s">
        <v>76</v>
      </c>
      <c r="I14" s="522" t="s">
        <v>75</v>
      </c>
      <c r="J14" s="521" t="s">
        <v>76</v>
      </c>
    </row>
    <row r="15" spans="1:10" ht="19" customHeight="1">
      <c r="A15" s="523" t="s">
        <v>101</v>
      </c>
      <c r="B15" s="390"/>
      <c r="C15" s="631"/>
      <c r="D15" s="632">
        <v>6543000</v>
      </c>
      <c r="E15" s="633"/>
      <c r="F15" s="634"/>
      <c r="G15" s="635"/>
      <c r="H15" s="636">
        <f>D15</f>
        <v>6543000</v>
      </c>
      <c r="I15" s="528"/>
      <c r="J15" s="530"/>
    </row>
    <row r="16" spans="1:10" ht="19" customHeight="1">
      <c r="A16" s="531" t="s">
        <v>77</v>
      </c>
      <c r="B16" s="532"/>
      <c r="C16" s="637">
        <v>5432000</v>
      </c>
      <c r="D16" s="638"/>
      <c r="E16" s="639">
        <f>C27-753000</f>
        <v>77000</v>
      </c>
      <c r="F16" s="639"/>
      <c r="G16" s="635">
        <f>C16+E16</f>
        <v>5509000</v>
      </c>
      <c r="H16" s="636"/>
      <c r="I16" s="536"/>
      <c r="J16" s="537"/>
    </row>
    <row r="17" spans="1:10" ht="19" customHeight="1">
      <c r="A17" s="531" t="s">
        <v>262</v>
      </c>
      <c r="B17" s="532"/>
      <c r="C17" s="637">
        <v>40000</v>
      </c>
      <c r="D17" s="638"/>
      <c r="E17" s="640"/>
      <c r="F17" s="639"/>
      <c r="G17" s="635">
        <f>C17</f>
        <v>40000</v>
      </c>
      <c r="H17" s="636"/>
      <c r="I17" s="536"/>
      <c r="J17" s="537"/>
    </row>
    <row r="18" spans="1:10" ht="19" customHeight="1">
      <c r="A18" s="531" t="s">
        <v>215</v>
      </c>
      <c r="B18" s="532"/>
      <c r="C18" s="637">
        <v>150000</v>
      </c>
      <c r="D18" s="638"/>
      <c r="E18" s="640"/>
      <c r="F18" s="639">
        <v>18000</v>
      </c>
      <c r="G18" s="635">
        <f>C18-F18</f>
        <v>132000</v>
      </c>
      <c r="H18" s="636"/>
      <c r="I18" s="536"/>
      <c r="J18" s="537"/>
    </row>
    <row r="19" spans="1:10" ht="19" customHeight="1">
      <c r="A19" s="539" t="s">
        <v>293</v>
      </c>
      <c r="B19" s="540"/>
      <c r="C19" s="637">
        <v>359000</v>
      </c>
      <c r="D19" s="638"/>
      <c r="E19" s="640"/>
      <c r="F19" s="639"/>
      <c r="G19" s="635">
        <f>C19</f>
        <v>359000</v>
      </c>
      <c r="H19" s="636"/>
      <c r="I19" s="536"/>
      <c r="J19" s="537"/>
    </row>
    <row r="20" spans="1:10" ht="19" customHeight="1">
      <c r="A20" s="539" t="s">
        <v>667</v>
      </c>
      <c r="B20" s="540"/>
      <c r="C20" s="637"/>
      <c r="D20" s="638"/>
      <c r="E20" s="640">
        <f>F25</f>
        <v>56000</v>
      </c>
      <c r="F20" s="639"/>
      <c r="G20" s="635">
        <f>E20</f>
        <v>56000</v>
      </c>
      <c r="H20" s="636"/>
      <c r="I20" s="536"/>
      <c r="J20" s="537"/>
    </row>
    <row r="21" spans="1:10" ht="19" customHeight="1">
      <c r="A21" s="531" t="s">
        <v>80</v>
      </c>
      <c r="B21" s="532"/>
      <c r="C21" s="637">
        <v>43000</v>
      </c>
      <c r="D21" s="638"/>
      <c r="E21" s="640"/>
      <c r="F21" s="639"/>
      <c r="G21" s="635">
        <f>C21</f>
        <v>43000</v>
      </c>
      <c r="H21" s="636"/>
      <c r="I21" s="536"/>
      <c r="J21" s="537"/>
    </row>
    <row r="22" spans="1:10" ht="19" customHeight="1">
      <c r="A22" s="541" t="s">
        <v>218</v>
      </c>
      <c r="B22" s="532"/>
      <c r="C22" s="637"/>
      <c r="D22" s="638">
        <v>10000</v>
      </c>
      <c r="E22" s="640"/>
      <c r="F22" s="639"/>
      <c r="G22" s="635"/>
      <c r="H22" s="636">
        <f>D22</f>
        <v>10000</v>
      </c>
      <c r="I22" s="523"/>
      <c r="J22" s="537"/>
    </row>
    <row r="23" spans="1:10" ht="19" customHeight="1">
      <c r="A23" s="541" t="s">
        <v>270</v>
      </c>
      <c r="B23" s="532"/>
      <c r="C23" s="613">
        <v>100000</v>
      </c>
      <c r="D23" s="614"/>
      <c r="E23" s="615"/>
      <c r="F23" s="616"/>
      <c r="G23" s="617">
        <f>G2</f>
        <v>0</v>
      </c>
      <c r="H23" s="618"/>
      <c r="I23" s="619">
        <f>C23</f>
        <v>100000</v>
      </c>
      <c r="J23" s="620"/>
    </row>
    <row r="24" spans="1:10" ht="19" customHeight="1">
      <c r="A24" s="531" t="s">
        <v>668</v>
      </c>
      <c r="B24" s="532"/>
      <c r="C24" s="613">
        <v>362000</v>
      </c>
      <c r="D24" s="614"/>
      <c r="E24" s="615"/>
      <c r="F24" s="616"/>
      <c r="G24" s="619"/>
      <c r="H24" s="620"/>
      <c r="I24" s="619">
        <f>C24</f>
        <v>362000</v>
      </c>
      <c r="J24" s="614"/>
    </row>
    <row r="25" spans="1:10" ht="19" customHeight="1">
      <c r="A25" s="531" t="s">
        <v>580</v>
      </c>
      <c r="B25" s="532"/>
      <c r="C25" s="613"/>
      <c r="D25" s="614">
        <v>68000</v>
      </c>
      <c r="E25" s="615"/>
      <c r="F25" s="616">
        <v>56000</v>
      </c>
      <c r="G25" s="619"/>
      <c r="H25" s="620"/>
      <c r="I25" s="619"/>
      <c r="J25" s="614">
        <f>D25+F25</f>
        <v>124000</v>
      </c>
    </row>
    <row r="26" spans="1:10" ht="19" customHeight="1">
      <c r="A26" s="531" t="s">
        <v>443</v>
      </c>
      <c r="B26" s="532"/>
      <c r="C26" s="613">
        <v>220000</v>
      </c>
      <c r="D26" s="614"/>
      <c r="E26" s="615"/>
      <c r="F26" s="616"/>
      <c r="G26" s="619"/>
      <c r="H26" s="620"/>
      <c r="I26" s="619">
        <f>C26</f>
        <v>220000</v>
      </c>
      <c r="J26" s="620"/>
    </row>
    <row r="27" spans="1:10" ht="19" customHeight="1">
      <c r="A27" s="531" t="s">
        <v>30</v>
      </c>
      <c r="B27" s="532"/>
      <c r="C27" s="613">
        <v>830000</v>
      </c>
      <c r="D27" s="614"/>
      <c r="E27" s="615"/>
      <c r="F27" s="616">
        <f>E16</f>
        <v>77000</v>
      </c>
      <c r="G27" s="619"/>
      <c r="H27" s="620"/>
      <c r="I27" s="613">
        <f>C27-F27</f>
        <v>753000</v>
      </c>
      <c r="J27" s="620"/>
    </row>
    <row r="28" spans="1:10" ht="19" customHeight="1">
      <c r="A28" s="523" t="s">
        <v>82</v>
      </c>
      <c r="B28" s="390"/>
      <c r="C28" s="613">
        <v>340000</v>
      </c>
      <c r="D28" s="614"/>
      <c r="E28" s="616"/>
      <c r="F28" s="616"/>
      <c r="G28" s="619"/>
      <c r="H28" s="620"/>
      <c r="I28" s="619">
        <f>C28</f>
        <v>340000</v>
      </c>
      <c r="J28" s="620"/>
    </row>
    <row r="29" spans="1:10" ht="19" customHeight="1">
      <c r="A29" s="531" t="s">
        <v>670</v>
      </c>
      <c r="B29" s="532"/>
      <c r="C29" s="613"/>
      <c r="D29" s="614"/>
      <c r="E29" s="615">
        <v>18000</v>
      </c>
      <c r="F29" s="616"/>
      <c r="G29" s="619"/>
      <c r="H29" s="620"/>
      <c r="I29" s="619">
        <f>E29</f>
        <v>18000</v>
      </c>
      <c r="J29" s="620"/>
    </row>
    <row r="30" spans="1:10" ht="19" customHeight="1">
      <c r="A30" s="531" t="s">
        <v>435</v>
      </c>
      <c r="B30" s="532"/>
      <c r="C30" s="613">
        <v>6000</v>
      </c>
      <c r="D30" s="614"/>
      <c r="E30" s="621"/>
      <c r="F30" s="616"/>
      <c r="G30" s="619"/>
      <c r="H30" s="620"/>
      <c r="I30" s="619">
        <f>C30</f>
        <v>6000</v>
      </c>
      <c r="J30" s="620"/>
    </row>
    <row r="31" spans="1:10" ht="19" customHeight="1">
      <c r="A31" s="523" t="s">
        <v>28</v>
      </c>
      <c r="B31" s="390"/>
      <c r="C31" s="613"/>
      <c r="D31" s="614">
        <v>594000</v>
      </c>
      <c r="E31" s="615">
        <f>150000</f>
        <v>150000</v>
      </c>
      <c r="F31" s="622"/>
      <c r="G31" s="619"/>
      <c r="H31" s="620"/>
      <c r="I31" s="619"/>
      <c r="J31" s="620">
        <f>D31-E31</f>
        <v>444000</v>
      </c>
    </row>
    <row r="32" spans="1:10" ht="19" customHeight="1">
      <c r="A32" s="531" t="s">
        <v>4</v>
      </c>
      <c r="B32" s="532"/>
      <c r="C32" s="613">
        <v>150000</v>
      </c>
      <c r="D32" s="614"/>
      <c r="E32" s="615"/>
      <c r="F32" s="622">
        <f>C32</f>
        <v>150000</v>
      </c>
      <c r="G32" s="619"/>
      <c r="H32" s="620"/>
      <c r="I32" s="619">
        <f>C32-F32</f>
        <v>0</v>
      </c>
      <c r="J32" s="620"/>
    </row>
    <row r="33" spans="1:10" ht="19" customHeight="1">
      <c r="A33" s="523" t="s">
        <v>195</v>
      </c>
      <c r="B33" s="390"/>
      <c r="C33" s="613"/>
      <c r="D33" s="614">
        <v>150000</v>
      </c>
      <c r="E33" s="615"/>
      <c r="F33" s="616"/>
      <c r="G33" s="619"/>
      <c r="H33" s="620"/>
      <c r="I33" s="619"/>
      <c r="J33" s="620">
        <f>D33</f>
        <v>150000</v>
      </c>
    </row>
    <row r="34" spans="1:10" ht="19" customHeight="1">
      <c r="A34" s="531" t="s">
        <v>84</v>
      </c>
      <c r="B34" s="532"/>
      <c r="C34" s="613"/>
      <c r="D34" s="614">
        <v>182000</v>
      </c>
      <c r="E34" s="615"/>
      <c r="F34" s="616"/>
      <c r="G34" s="619"/>
      <c r="H34" s="620"/>
      <c r="I34" s="619"/>
      <c r="J34" s="620">
        <f>D34</f>
        <v>182000</v>
      </c>
    </row>
    <row r="35" spans="1:10" ht="19" customHeight="1">
      <c r="A35" s="531" t="s">
        <v>194</v>
      </c>
      <c r="B35" s="532"/>
      <c r="C35" s="613"/>
      <c r="D35" s="614">
        <v>320000</v>
      </c>
      <c r="E35" s="615"/>
      <c r="F35" s="616"/>
      <c r="G35" s="619"/>
      <c r="H35" s="620"/>
      <c r="I35" s="619"/>
      <c r="J35" s="620">
        <f>D35</f>
        <v>320000</v>
      </c>
    </row>
    <row r="36" spans="1:10" ht="19" customHeight="1">
      <c r="A36" s="531" t="s">
        <v>85</v>
      </c>
      <c r="B36" s="532"/>
      <c r="C36" s="613">
        <v>258000</v>
      </c>
      <c r="D36" s="614"/>
      <c r="E36" s="622"/>
      <c r="F36" s="616">
        <f>C36</f>
        <v>258000</v>
      </c>
      <c r="G36" s="619"/>
      <c r="H36" s="620"/>
      <c r="I36" s="619"/>
      <c r="J36" s="620"/>
    </row>
    <row r="37" spans="1:10" ht="19" customHeight="1">
      <c r="A37" s="531" t="s">
        <v>86</v>
      </c>
      <c r="B37" s="532"/>
      <c r="C37" s="613"/>
      <c r="D37" s="614">
        <v>325000</v>
      </c>
      <c r="E37" s="613">
        <f>D37</f>
        <v>325000</v>
      </c>
      <c r="F37" s="622"/>
      <c r="G37" s="619"/>
      <c r="H37" s="620"/>
      <c r="I37" s="619"/>
      <c r="J37" s="620"/>
    </row>
    <row r="38" spans="1:10" ht="19" customHeight="1">
      <c r="A38" s="531" t="s">
        <v>87</v>
      </c>
      <c r="B38" s="532"/>
      <c r="C38" s="613"/>
      <c r="D38" s="614"/>
      <c r="E38" s="623">
        <v>258000</v>
      </c>
      <c r="F38" s="624">
        <v>325000</v>
      </c>
      <c r="G38" s="625"/>
      <c r="H38" s="626"/>
      <c r="I38" s="625"/>
      <c r="J38" s="620">
        <f>F38-E38</f>
        <v>67000</v>
      </c>
    </row>
    <row r="39" spans="1:10" ht="19" customHeight="1" thickBot="1">
      <c r="A39" s="531" t="s">
        <v>88</v>
      </c>
      <c r="B39" s="532"/>
      <c r="C39" s="627"/>
      <c r="D39" s="628">
        <v>98000</v>
      </c>
      <c r="E39" s="629"/>
      <c r="F39" s="630"/>
      <c r="G39" s="625"/>
      <c r="H39" s="626"/>
      <c r="I39" s="625"/>
      <c r="J39" s="620">
        <f>D39</f>
        <v>98000</v>
      </c>
    </row>
    <row r="40" spans="1:10" ht="19" customHeight="1">
      <c r="A40" s="515" t="s">
        <v>89</v>
      </c>
      <c r="B40" s="550"/>
      <c r="C40" s="551">
        <f t="shared" ref="C40:J40" si="0">SUM(C15:C39)</f>
        <v>8290000</v>
      </c>
      <c r="D40" s="551">
        <f t="shared" si="0"/>
        <v>8290000</v>
      </c>
      <c r="E40" s="551">
        <f t="shared" si="0"/>
        <v>884000</v>
      </c>
      <c r="F40" s="551">
        <f t="shared" si="0"/>
        <v>884000</v>
      </c>
      <c r="G40" s="551">
        <f t="shared" si="0"/>
        <v>6139000</v>
      </c>
      <c r="H40" s="551">
        <f t="shared" si="0"/>
        <v>6553000</v>
      </c>
      <c r="I40" s="551">
        <f t="shared" si="0"/>
        <v>1799000</v>
      </c>
      <c r="J40" s="560">
        <f t="shared" si="0"/>
        <v>1385000</v>
      </c>
    </row>
    <row r="41" spans="1:10" ht="19" customHeight="1">
      <c r="A41" s="552" t="s">
        <v>90</v>
      </c>
      <c r="B41" s="553"/>
      <c r="C41" s="536"/>
      <c r="D41" s="537"/>
      <c r="E41" s="536"/>
      <c r="F41" s="535"/>
      <c r="G41" s="536">
        <f>H40-G40</f>
        <v>414000</v>
      </c>
      <c r="H41" s="537"/>
      <c r="I41" s="536"/>
      <c r="J41" s="554">
        <f>I40-J40</f>
        <v>414000</v>
      </c>
    </row>
    <row r="42" spans="1:10" ht="19" customHeight="1" thickBot="1">
      <c r="A42" s="555"/>
      <c r="B42" s="556"/>
      <c r="C42" s="557"/>
      <c r="D42" s="558"/>
      <c r="E42" s="557"/>
      <c r="F42" s="559"/>
      <c r="G42" s="557">
        <f>G40+G41</f>
        <v>6553000</v>
      </c>
      <c r="H42" s="557">
        <f t="shared" ref="H42:J42" si="1">H40+H41</f>
        <v>6553000</v>
      </c>
      <c r="I42" s="557">
        <f t="shared" si="1"/>
        <v>1799000</v>
      </c>
      <c r="J42" s="561">
        <f t="shared" si="1"/>
        <v>1799000</v>
      </c>
    </row>
  </sheetData>
  <mergeCells count="4">
    <mergeCell ref="C13:D13"/>
    <mergeCell ref="E13:F13"/>
    <mergeCell ref="G13:H13"/>
    <mergeCell ref="I13:J13"/>
  </mergeCells>
  <hyperlinks>
    <hyperlink ref="B1" location="Forside!A1" display="Forside!A1" xr:uid="{00000000-0004-0000-2000-000000000000}"/>
  </hyperlinks>
  <pageMargins left="0" right="0" top="0" bottom="0" header="0" footer="0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47"/>
  <sheetViews>
    <sheetView topLeftCell="A13" zoomScale="80" zoomScaleNormal="80" workbookViewId="0">
      <selection activeCell="I41" sqref="I41"/>
    </sheetView>
  </sheetViews>
  <sheetFormatPr baseColWidth="10" defaultColWidth="18.33203125" defaultRowHeight="19" customHeight="1"/>
  <cols>
    <col min="1" max="1" width="24.33203125" style="188" customWidth="1"/>
    <col min="2" max="9" width="14.33203125" style="188" customWidth="1"/>
    <col min="10" max="16384" width="18.33203125" style="188"/>
  </cols>
  <sheetData>
    <row r="1" spans="1:9" ht="19" customHeight="1">
      <c r="A1" s="188" t="s">
        <v>685</v>
      </c>
      <c r="B1" s="190" t="s">
        <v>158</v>
      </c>
    </row>
    <row r="2" spans="1:9" ht="19" customHeight="1">
      <c r="A2" s="126"/>
    </row>
    <row r="3" spans="1:9" ht="19" customHeight="1">
      <c r="A3" s="188" t="s">
        <v>585</v>
      </c>
    </row>
    <row r="4" spans="1:9" ht="19" customHeight="1">
      <c r="A4" s="188" t="s">
        <v>586</v>
      </c>
    </row>
    <row r="6" spans="1:9" ht="19" customHeight="1">
      <c r="A6" s="188" t="s">
        <v>686</v>
      </c>
    </row>
    <row r="7" spans="1:9" ht="19" customHeight="1">
      <c r="A7" s="220" t="s">
        <v>674</v>
      </c>
    </row>
    <row r="8" spans="1:9" ht="19" customHeight="1">
      <c r="A8" s="220" t="s">
        <v>677</v>
      </c>
    </row>
    <row r="9" spans="1:9" ht="19" customHeight="1">
      <c r="A9" s="220" t="s">
        <v>675</v>
      </c>
    </row>
    <row r="10" spans="1:9" ht="19" customHeight="1">
      <c r="A10" s="220" t="s">
        <v>676</v>
      </c>
    </row>
    <row r="11" spans="1:9" ht="19" customHeight="1">
      <c r="A11" s="220" t="s">
        <v>678</v>
      </c>
    </row>
    <row r="12" spans="1:9" ht="19" customHeight="1" thickBot="1"/>
    <row r="13" spans="1:9" ht="19" customHeight="1">
      <c r="A13" s="52"/>
      <c r="B13" s="700" t="s">
        <v>671</v>
      </c>
      <c r="C13" s="701"/>
      <c r="D13" s="700" t="s">
        <v>666</v>
      </c>
      <c r="E13" s="701"/>
      <c r="F13" s="700" t="s">
        <v>169</v>
      </c>
      <c r="G13" s="701"/>
      <c r="H13" s="700" t="s">
        <v>170</v>
      </c>
      <c r="I13" s="701"/>
    </row>
    <row r="14" spans="1:9" ht="19" customHeight="1" thickBot="1">
      <c r="A14" s="56" t="s">
        <v>74</v>
      </c>
      <c r="B14" s="58" t="s">
        <v>75</v>
      </c>
      <c r="C14" s="59" t="s">
        <v>76</v>
      </c>
      <c r="D14" s="58" t="s">
        <v>75</v>
      </c>
      <c r="E14" s="59" t="s">
        <v>76</v>
      </c>
      <c r="F14" s="58" t="s">
        <v>75</v>
      </c>
      <c r="G14" s="60" t="s">
        <v>76</v>
      </c>
      <c r="H14" s="61" t="s">
        <v>75</v>
      </c>
      <c r="I14" s="60" t="s">
        <v>76</v>
      </c>
    </row>
    <row r="15" spans="1:9" ht="19" customHeight="1">
      <c r="A15" s="672" t="s">
        <v>101</v>
      </c>
      <c r="B15" s="631"/>
      <c r="C15" s="632">
        <v>15000000</v>
      </c>
      <c r="D15" s="633"/>
      <c r="E15" s="634"/>
      <c r="F15" s="635"/>
      <c r="G15" s="636">
        <f>C15</f>
        <v>15000000</v>
      </c>
      <c r="H15" s="528"/>
      <c r="I15" s="530"/>
    </row>
    <row r="16" spans="1:9" ht="19" customHeight="1">
      <c r="A16" s="673" t="s">
        <v>77</v>
      </c>
      <c r="B16" s="637">
        <v>12000000</v>
      </c>
      <c r="C16" s="638"/>
      <c r="D16" s="639">
        <f>B31-600000</f>
        <v>250000</v>
      </c>
      <c r="E16" s="639"/>
      <c r="F16" s="635">
        <f>B16+D16</f>
        <v>12250000</v>
      </c>
      <c r="G16" s="636"/>
      <c r="H16" s="536"/>
      <c r="I16" s="537"/>
    </row>
    <row r="17" spans="1:9" ht="19" customHeight="1">
      <c r="A17" s="673" t="s">
        <v>215</v>
      </c>
      <c r="B17" s="637">
        <v>100000</v>
      </c>
      <c r="C17" s="638"/>
      <c r="D17" s="640"/>
      <c r="E17" s="639"/>
      <c r="F17" s="635">
        <f>B17</f>
        <v>100000</v>
      </c>
      <c r="G17" s="636"/>
      <c r="H17" s="536"/>
      <c r="I17" s="537"/>
    </row>
    <row r="18" spans="1:9" ht="19" customHeight="1">
      <c r="A18" s="673" t="s">
        <v>679</v>
      </c>
      <c r="B18" s="637">
        <v>1000000</v>
      </c>
      <c r="C18" s="638"/>
      <c r="D18" s="640">
        <v>25000</v>
      </c>
      <c r="E18" s="639">
        <v>15000</v>
      </c>
      <c r="F18" s="635">
        <f>B18+D18-E18</f>
        <v>1010000</v>
      </c>
      <c r="G18" s="636"/>
      <c r="H18" s="536"/>
      <c r="I18" s="537"/>
    </row>
    <row r="19" spans="1:9" ht="19" customHeight="1">
      <c r="A19" s="673" t="s">
        <v>681</v>
      </c>
      <c r="B19" s="637">
        <v>50000</v>
      </c>
      <c r="C19" s="638"/>
      <c r="D19" s="640"/>
      <c r="E19" s="639"/>
      <c r="F19" s="635">
        <f>B19</f>
        <v>50000</v>
      </c>
      <c r="G19" s="636"/>
      <c r="H19" s="536"/>
      <c r="I19" s="537"/>
    </row>
    <row r="20" spans="1:9" ht="19" customHeight="1">
      <c r="A20" s="674" t="s">
        <v>293</v>
      </c>
      <c r="B20" s="637">
        <v>365000</v>
      </c>
      <c r="C20" s="638"/>
      <c r="D20" s="640"/>
      <c r="E20" s="639"/>
      <c r="F20" s="635">
        <f>B20</f>
        <v>365000</v>
      </c>
      <c r="G20" s="636"/>
      <c r="H20" s="536"/>
      <c r="I20" s="537"/>
    </row>
    <row r="21" spans="1:9" ht="19" customHeight="1">
      <c r="A21" s="674" t="s">
        <v>667</v>
      </c>
      <c r="B21" s="637"/>
      <c r="C21" s="638"/>
      <c r="D21" s="640">
        <v>100000</v>
      </c>
      <c r="E21" s="639"/>
      <c r="F21" s="635">
        <f>D21</f>
        <v>100000</v>
      </c>
      <c r="G21" s="636"/>
      <c r="H21" s="536"/>
      <c r="I21" s="537"/>
    </row>
    <row r="22" spans="1:9" ht="19" customHeight="1">
      <c r="A22" s="674" t="s">
        <v>680</v>
      </c>
      <c r="B22" s="637"/>
      <c r="C22" s="638"/>
      <c r="D22" s="640">
        <v>50000</v>
      </c>
      <c r="E22" s="639"/>
      <c r="F22" s="635">
        <f>D22</f>
        <v>50000</v>
      </c>
      <c r="G22" s="636"/>
      <c r="H22" s="536"/>
      <c r="I22" s="537"/>
    </row>
    <row r="23" spans="1:9" ht="19" customHeight="1">
      <c r="A23" s="675" t="s">
        <v>218</v>
      </c>
      <c r="B23" s="637"/>
      <c r="C23" s="638">
        <v>25000</v>
      </c>
      <c r="D23" s="640"/>
      <c r="E23" s="639"/>
      <c r="F23" s="635">
        <f>-C23</f>
        <v>-25000</v>
      </c>
      <c r="G23" s="636"/>
      <c r="H23" s="523"/>
      <c r="I23" s="537"/>
    </row>
    <row r="24" spans="1:9" ht="19" customHeight="1">
      <c r="A24" s="675" t="s">
        <v>80</v>
      </c>
      <c r="B24" s="637">
        <v>45000</v>
      </c>
      <c r="C24" s="638"/>
      <c r="D24" s="640"/>
      <c r="E24" s="639"/>
      <c r="F24" s="635">
        <f>B24</f>
        <v>45000</v>
      </c>
      <c r="G24" s="636"/>
      <c r="H24" s="536"/>
      <c r="I24" s="537"/>
    </row>
    <row r="25" spans="1:9" ht="19" customHeight="1">
      <c r="A25" s="641" t="s">
        <v>682</v>
      </c>
      <c r="B25" s="642">
        <v>400000</v>
      </c>
      <c r="C25" s="643"/>
      <c r="D25" s="644"/>
      <c r="E25" s="645"/>
      <c r="F25" s="646"/>
      <c r="G25" s="647"/>
      <c r="H25" s="648">
        <f>B25</f>
        <v>400000</v>
      </c>
      <c r="I25" s="649"/>
    </row>
    <row r="26" spans="1:9" ht="19" customHeight="1">
      <c r="A26" s="650" t="s">
        <v>668</v>
      </c>
      <c r="B26" s="642">
        <v>1900000</v>
      </c>
      <c r="C26" s="643"/>
      <c r="D26" s="644"/>
      <c r="E26" s="645"/>
      <c r="F26" s="648"/>
      <c r="G26" s="649"/>
      <c r="H26" s="648">
        <f>B26</f>
        <v>1900000</v>
      </c>
      <c r="I26" s="649"/>
    </row>
    <row r="27" spans="1:9" ht="19" customHeight="1">
      <c r="A27" s="651" t="s">
        <v>580</v>
      </c>
      <c r="B27" s="642"/>
      <c r="C27" s="643">
        <v>600000</v>
      </c>
      <c r="D27" s="644"/>
      <c r="E27" s="645">
        <v>100000</v>
      </c>
      <c r="F27" s="648"/>
      <c r="G27" s="649"/>
      <c r="H27" s="648"/>
      <c r="I27" s="643">
        <f>C27</f>
        <v>600000</v>
      </c>
    </row>
    <row r="28" spans="1:9" ht="19" customHeight="1">
      <c r="A28" s="650" t="s">
        <v>683</v>
      </c>
      <c r="B28" s="642">
        <v>700000</v>
      </c>
      <c r="C28" s="643"/>
      <c r="D28" s="644"/>
      <c r="E28" s="645"/>
      <c r="F28" s="648"/>
      <c r="G28" s="649"/>
      <c r="H28" s="648">
        <f>B28</f>
        <v>700000</v>
      </c>
      <c r="I28" s="643"/>
    </row>
    <row r="29" spans="1:9" ht="19" customHeight="1">
      <c r="A29" s="650" t="s">
        <v>684</v>
      </c>
      <c r="B29" s="642"/>
      <c r="C29" s="643">
        <v>300000</v>
      </c>
      <c r="D29" s="644"/>
      <c r="E29" s="645">
        <v>50000</v>
      </c>
      <c r="F29" s="648"/>
      <c r="G29" s="649"/>
      <c r="H29" s="648"/>
      <c r="I29" s="643">
        <f>C29+E29</f>
        <v>350000</v>
      </c>
    </row>
    <row r="30" spans="1:9" ht="19" customHeight="1">
      <c r="A30" s="650" t="s">
        <v>687</v>
      </c>
      <c r="B30" s="642">
        <v>175000</v>
      </c>
      <c r="C30" s="643"/>
      <c r="D30" s="644"/>
      <c r="E30" s="645"/>
      <c r="F30" s="648"/>
      <c r="G30" s="649"/>
      <c r="H30" s="648">
        <f>B30</f>
        <v>175000</v>
      </c>
      <c r="I30" s="649"/>
    </row>
    <row r="31" spans="1:9" ht="19" customHeight="1">
      <c r="A31" s="650" t="s">
        <v>30</v>
      </c>
      <c r="B31" s="642">
        <v>850000</v>
      </c>
      <c r="C31" s="643"/>
      <c r="D31" s="644"/>
      <c r="E31" s="645">
        <f>D16</f>
        <v>250000</v>
      </c>
      <c r="F31" s="648"/>
      <c r="G31" s="649"/>
      <c r="H31" s="642">
        <f>B31-E31</f>
        <v>600000</v>
      </c>
      <c r="I31" s="649"/>
    </row>
    <row r="32" spans="1:9" ht="19" customHeight="1">
      <c r="A32" s="650" t="s">
        <v>82</v>
      </c>
      <c r="B32" s="642">
        <v>300000</v>
      </c>
      <c r="C32" s="643"/>
      <c r="D32" s="644"/>
      <c r="E32" s="645"/>
      <c r="F32" s="648"/>
      <c r="G32" s="649"/>
      <c r="H32" s="642">
        <f>B32</f>
        <v>300000</v>
      </c>
      <c r="I32" s="649"/>
    </row>
    <row r="33" spans="1:9" ht="19" customHeight="1">
      <c r="A33" s="650" t="s">
        <v>369</v>
      </c>
      <c r="B33" s="642"/>
      <c r="C33" s="643"/>
      <c r="D33" s="644">
        <v>15000</v>
      </c>
      <c r="E33" s="645"/>
      <c r="F33" s="648"/>
      <c r="G33" s="649"/>
      <c r="H33" s="648">
        <f>D33</f>
        <v>15000</v>
      </c>
      <c r="I33" s="649"/>
    </row>
    <row r="34" spans="1:9" ht="19" customHeight="1">
      <c r="A34" s="650" t="s">
        <v>274</v>
      </c>
      <c r="B34" s="642">
        <v>100000</v>
      </c>
      <c r="C34" s="643"/>
      <c r="D34" s="644"/>
      <c r="E34" s="645"/>
      <c r="F34" s="648"/>
      <c r="G34" s="649"/>
      <c r="H34" s="648">
        <f>B34</f>
        <v>100000</v>
      </c>
      <c r="I34" s="649"/>
    </row>
    <row r="35" spans="1:9" ht="19" customHeight="1">
      <c r="A35" s="650" t="s">
        <v>435</v>
      </c>
      <c r="B35" s="642">
        <v>120000</v>
      </c>
      <c r="C35" s="643"/>
      <c r="D35" s="652"/>
      <c r="E35" s="645"/>
      <c r="F35" s="648"/>
      <c r="G35" s="649"/>
      <c r="H35" s="648">
        <f>B35</f>
        <v>120000</v>
      </c>
      <c r="I35" s="649"/>
    </row>
    <row r="36" spans="1:9" ht="19" customHeight="1">
      <c r="A36" s="653" t="s">
        <v>28</v>
      </c>
      <c r="B36" s="642"/>
      <c r="C36" s="643">
        <v>950000</v>
      </c>
      <c r="D36" s="644"/>
      <c r="E36" s="654"/>
      <c r="F36" s="648"/>
      <c r="G36" s="649"/>
      <c r="H36" s="648"/>
      <c r="I36" s="649">
        <f>C36</f>
        <v>950000</v>
      </c>
    </row>
    <row r="37" spans="1:9" ht="19" customHeight="1">
      <c r="A37" s="650" t="s">
        <v>669</v>
      </c>
      <c r="B37" s="642"/>
      <c r="C37" s="643">
        <v>75000</v>
      </c>
      <c r="D37" s="644"/>
      <c r="E37" s="654"/>
      <c r="F37" s="648"/>
      <c r="G37" s="649"/>
      <c r="H37" s="648"/>
      <c r="I37" s="649">
        <f>C37</f>
        <v>75000</v>
      </c>
    </row>
    <row r="38" spans="1:9" ht="19" customHeight="1">
      <c r="A38" s="653" t="s">
        <v>195</v>
      </c>
      <c r="B38" s="642"/>
      <c r="C38" s="643">
        <v>750000</v>
      </c>
      <c r="D38" s="644"/>
      <c r="E38" s="645"/>
      <c r="F38" s="648"/>
      <c r="G38" s="649"/>
      <c r="H38" s="648"/>
      <c r="I38" s="649">
        <f>C38</f>
        <v>750000</v>
      </c>
    </row>
    <row r="39" spans="1:9" ht="19" customHeight="1">
      <c r="A39" s="650" t="s">
        <v>84</v>
      </c>
      <c r="B39" s="642"/>
      <c r="C39" s="643">
        <v>80000</v>
      </c>
      <c r="D39" s="644"/>
      <c r="E39" s="645"/>
      <c r="F39" s="648"/>
      <c r="G39" s="649"/>
      <c r="H39" s="648"/>
      <c r="I39" s="649">
        <f>C39</f>
        <v>80000</v>
      </c>
    </row>
    <row r="40" spans="1:9" ht="19" customHeight="1">
      <c r="A40" s="650" t="s">
        <v>194</v>
      </c>
      <c r="B40" s="642"/>
      <c r="C40" s="643">
        <v>200000</v>
      </c>
      <c r="D40" s="644"/>
      <c r="E40" s="645"/>
      <c r="F40" s="648"/>
      <c r="G40" s="649"/>
      <c r="H40" s="648"/>
      <c r="I40" s="649">
        <f>C40</f>
        <v>200000</v>
      </c>
    </row>
    <row r="41" spans="1:9" ht="19" customHeight="1">
      <c r="A41" s="650" t="s">
        <v>85</v>
      </c>
      <c r="B41" s="642">
        <v>150000</v>
      </c>
      <c r="C41" s="643"/>
      <c r="D41" s="654"/>
      <c r="E41" s="645"/>
      <c r="F41" s="648"/>
      <c r="G41" s="649"/>
      <c r="H41" s="648"/>
      <c r="I41" s="649"/>
    </row>
    <row r="42" spans="1:9" ht="19" customHeight="1">
      <c r="A42" s="650" t="s">
        <v>86</v>
      </c>
      <c r="B42" s="642"/>
      <c r="C42" s="643">
        <v>225000</v>
      </c>
      <c r="D42" s="642"/>
      <c r="E42" s="654"/>
      <c r="F42" s="648"/>
      <c r="G42" s="649"/>
      <c r="H42" s="648"/>
      <c r="I42" s="649"/>
    </row>
    <row r="43" spans="1:9" ht="19" customHeight="1">
      <c r="A43" s="650" t="s">
        <v>87</v>
      </c>
      <c r="B43" s="642"/>
      <c r="C43" s="643"/>
      <c r="D43" s="655"/>
      <c r="E43" s="656"/>
      <c r="F43" s="657"/>
      <c r="G43" s="658"/>
      <c r="H43" s="657"/>
      <c r="I43" s="649"/>
    </row>
    <row r="44" spans="1:9" ht="19" customHeight="1" thickBot="1">
      <c r="A44" s="650" t="s">
        <v>91</v>
      </c>
      <c r="B44" s="659"/>
      <c r="C44" s="660">
        <v>50000</v>
      </c>
      <c r="D44" s="655"/>
      <c r="E44" s="661">
        <v>25000</v>
      </c>
      <c r="F44" s="657"/>
      <c r="G44" s="658"/>
      <c r="H44" s="657"/>
      <c r="I44" s="649">
        <f>C44-E44</f>
        <v>25000</v>
      </c>
    </row>
    <row r="45" spans="1:9" ht="19" customHeight="1">
      <c r="A45" s="662" t="s">
        <v>89</v>
      </c>
      <c r="B45" s="663">
        <f t="shared" ref="B45:I45" si="0">SUM(B15:B44)</f>
        <v>18255000</v>
      </c>
      <c r="C45" s="663">
        <f t="shared" si="0"/>
        <v>18255000</v>
      </c>
      <c r="D45" s="663">
        <f t="shared" si="0"/>
        <v>440000</v>
      </c>
      <c r="E45" s="663">
        <f t="shared" si="0"/>
        <v>440000</v>
      </c>
      <c r="F45" s="663">
        <f t="shared" si="0"/>
        <v>13945000</v>
      </c>
      <c r="G45" s="663">
        <f t="shared" si="0"/>
        <v>15000000</v>
      </c>
      <c r="H45" s="663">
        <f t="shared" si="0"/>
        <v>4310000</v>
      </c>
      <c r="I45" s="664">
        <f t="shared" si="0"/>
        <v>3030000</v>
      </c>
    </row>
    <row r="46" spans="1:9" ht="19" customHeight="1">
      <c r="A46" s="665" t="s">
        <v>90</v>
      </c>
      <c r="B46" s="648"/>
      <c r="C46" s="649"/>
      <c r="D46" s="648"/>
      <c r="E46" s="645"/>
      <c r="F46" s="648">
        <f>G45-F45</f>
        <v>1055000</v>
      </c>
      <c r="G46" s="649"/>
      <c r="H46" s="648"/>
      <c r="I46" s="666">
        <f>H45-I45</f>
        <v>1280000</v>
      </c>
    </row>
    <row r="47" spans="1:9" ht="19" customHeight="1" thickBot="1">
      <c r="A47" s="667"/>
      <c r="B47" s="668"/>
      <c r="C47" s="669"/>
      <c r="D47" s="668"/>
      <c r="E47" s="670"/>
      <c r="F47" s="668">
        <f>SUM(F45:F46)</f>
        <v>15000000</v>
      </c>
      <c r="G47" s="668">
        <f>SUM(G45:G46)</f>
        <v>15000000</v>
      </c>
      <c r="H47" s="668">
        <f>SUM(H45:H46)</f>
        <v>4310000</v>
      </c>
      <c r="I47" s="671">
        <f>SUM(I45:I46)</f>
        <v>4310000</v>
      </c>
    </row>
  </sheetData>
  <mergeCells count="4">
    <mergeCell ref="B13:C13"/>
    <mergeCell ref="D13:E13"/>
    <mergeCell ref="F13:G13"/>
    <mergeCell ref="H13:I13"/>
  </mergeCells>
  <hyperlinks>
    <hyperlink ref="B1" location="Forside!A1" display="Forside!A1" xr:uid="{00000000-0004-0000-2100-000000000000}"/>
  </hyperlinks>
  <pageMargins left="0" right="0" top="0" bottom="0" header="0" footer="0"/>
  <pageSetup paperSize="9" fitToWidth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0"/>
  <sheetViews>
    <sheetView tabSelected="1" zoomScale="80" zoomScaleNormal="80" workbookViewId="0">
      <selection activeCell="F19" sqref="F19"/>
    </sheetView>
  </sheetViews>
  <sheetFormatPr baseColWidth="10" defaultColWidth="26.83203125" defaultRowHeight="17.25" customHeight="1"/>
  <cols>
    <col min="1" max="1" width="29.33203125" style="188" customWidth="1"/>
    <col min="2" max="3" width="13.83203125" style="188" bestFit="1" customWidth="1"/>
    <col min="4" max="16384" width="26.83203125" style="188"/>
  </cols>
  <sheetData>
    <row r="1" spans="1:3" ht="17.25" customHeight="1">
      <c r="A1" s="188" t="s">
        <v>595</v>
      </c>
      <c r="B1" s="190" t="s">
        <v>158</v>
      </c>
    </row>
    <row r="3" spans="1:3" ht="17.25" customHeight="1">
      <c r="A3" s="188" t="s">
        <v>92</v>
      </c>
    </row>
    <row r="5" spans="1:3" ht="17.25" customHeight="1">
      <c r="A5" s="126" t="s">
        <v>8</v>
      </c>
      <c r="B5" s="452" t="s">
        <v>93</v>
      </c>
      <c r="C5" s="452" t="s">
        <v>94</v>
      </c>
    </row>
    <row r="6" spans="1:3" ht="17.25" customHeight="1">
      <c r="A6" s="12" t="s">
        <v>95</v>
      </c>
      <c r="B6" s="325">
        <v>360000</v>
      </c>
      <c r="C6" s="326">
        <v>360000</v>
      </c>
    </row>
    <row r="7" spans="1:3" ht="17.25" customHeight="1">
      <c r="A7" s="15" t="s">
        <v>80</v>
      </c>
      <c r="B7" s="121">
        <v>80000</v>
      </c>
      <c r="C7" s="329">
        <v>160000</v>
      </c>
    </row>
    <row r="8" spans="1:3" ht="17.25" customHeight="1">
      <c r="A8" s="17" t="s">
        <v>96</v>
      </c>
      <c r="B8" s="280">
        <v>280000</v>
      </c>
      <c r="C8" s="254">
        <v>200000</v>
      </c>
    </row>
    <row r="9" spans="1:3" ht="17.25" customHeight="1">
      <c r="B9" s="121"/>
      <c r="C9" s="121"/>
    </row>
    <row r="10" spans="1:3" ht="17.25" customHeight="1">
      <c r="A10" s="126" t="s">
        <v>97</v>
      </c>
      <c r="B10" s="121"/>
      <c r="C10" s="121"/>
    </row>
    <row r="11" spans="1:3" ht="17.25" customHeight="1">
      <c r="A11" s="12" t="s">
        <v>28</v>
      </c>
      <c r="B11" s="325">
        <v>2000000</v>
      </c>
      <c r="C11" s="326">
        <v>1000000</v>
      </c>
    </row>
    <row r="12" spans="1:3" ht="17.25" customHeight="1">
      <c r="A12" s="15" t="s">
        <v>98</v>
      </c>
      <c r="B12" s="121">
        <v>1000000</v>
      </c>
      <c r="C12" s="329">
        <v>2000000</v>
      </c>
    </row>
    <row r="13" spans="1:3" ht="17.25" customHeight="1">
      <c r="A13" s="17" t="s">
        <v>99</v>
      </c>
      <c r="B13" s="280">
        <v>3000000</v>
      </c>
      <c r="C13" s="254">
        <v>3000000</v>
      </c>
    </row>
    <row r="15" spans="1:3" ht="17.25" customHeight="1">
      <c r="A15" s="188" t="s">
        <v>175</v>
      </c>
      <c r="B15" s="573">
        <f>B8/B11</f>
        <v>0.14000000000000001</v>
      </c>
      <c r="C15" s="573">
        <f>C8/C11</f>
        <v>0.2</v>
      </c>
    </row>
    <row r="16" spans="1:3" ht="17.25" customHeight="1">
      <c r="A16" s="188" t="s">
        <v>173</v>
      </c>
      <c r="B16" s="574">
        <f>B6/B13</f>
        <v>0.12</v>
      </c>
      <c r="C16" s="574">
        <f>C6/C13</f>
        <v>0.12</v>
      </c>
    </row>
    <row r="17" spans="1:3" ht="17.25" customHeight="1">
      <c r="A17" s="188" t="s">
        <v>590</v>
      </c>
      <c r="B17" s="574">
        <f>B7/B12</f>
        <v>0.08</v>
      </c>
      <c r="C17" s="574">
        <f>C7/C12</f>
        <v>0.08</v>
      </c>
    </row>
    <row r="18" spans="1:3" ht="17.25" customHeight="1">
      <c r="A18" s="188" t="s">
        <v>174</v>
      </c>
      <c r="B18" s="575">
        <f>B12/B11</f>
        <v>0.5</v>
      </c>
      <c r="C18" s="575">
        <f>C12/C11</f>
        <v>2</v>
      </c>
    </row>
    <row r="19" spans="1:3" ht="17.25" customHeight="1">
      <c r="A19" s="188" t="s">
        <v>591</v>
      </c>
      <c r="B19" s="576">
        <f>(B6/B13+(B6/B13-B7/B12)*B12/B11)</f>
        <v>0.13999999999999999</v>
      </c>
      <c r="C19" s="576">
        <f>(C6/C13+(C6/C13-C7/C12)*C12/C11)</f>
        <v>0.19999999999999998</v>
      </c>
    </row>
    <row r="20" spans="1:3" ht="17.25" customHeight="1">
      <c r="B20" s="123"/>
      <c r="C20" s="123"/>
    </row>
    <row r="22" spans="1:3" ht="17.25" customHeight="1">
      <c r="A22" s="188" t="s">
        <v>588</v>
      </c>
      <c r="B22" s="577">
        <f>B13/B11</f>
        <v>1.5</v>
      </c>
      <c r="C22" s="577">
        <f>C13/C11</f>
        <v>3</v>
      </c>
    </row>
    <row r="23" spans="1:3" ht="17.25" customHeight="1">
      <c r="A23" s="188" t="s">
        <v>589</v>
      </c>
      <c r="B23" s="578">
        <f>B8/B6</f>
        <v>0.77777777777777779</v>
      </c>
      <c r="C23" s="578">
        <f>C8/C6</f>
        <v>0.55555555555555558</v>
      </c>
    </row>
    <row r="25" spans="1:3" ht="17.25" customHeight="1">
      <c r="A25" s="126" t="s">
        <v>100</v>
      </c>
    </row>
    <row r="26" spans="1:3" ht="17.25" customHeight="1">
      <c r="A26" s="188" t="s">
        <v>840</v>
      </c>
    </row>
    <row r="27" spans="1:3" ht="17.25" customHeight="1">
      <c r="A27" s="188" t="s">
        <v>841</v>
      </c>
    </row>
    <row r="28" spans="1:3" ht="17.25" customHeight="1">
      <c r="A28" s="188" t="s">
        <v>842</v>
      </c>
    </row>
    <row r="29" spans="1:3" ht="17.25" customHeight="1">
      <c r="A29" s="188" t="s">
        <v>843</v>
      </c>
    </row>
    <row r="30" spans="1:3" ht="17.25" customHeight="1">
      <c r="A30" s="188" t="s">
        <v>844</v>
      </c>
    </row>
  </sheetData>
  <hyperlinks>
    <hyperlink ref="B1" location="Forside!A1" display="Forside!A1" xr:uid="{00000000-0004-0000-2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2"/>
  <sheetViews>
    <sheetView topLeftCell="A19" zoomScale="80" zoomScaleNormal="80" workbookViewId="0">
      <selection activeCell="B47" sqref="B47"/>
    </sheetView>
  </sheetViews>
  <sheetFormatPr baseColWidth="10" defaultColWidth="25.5" defaultRowHeight="17.25" customHeight="1"/>
  <cols>
    <col min="1" max="1" width="27.33203125" style="5" customWidth="1"/>
    <col min="2" max="4" width="14.83203125" style="5" customWidth="1"/>
    <col min="5" max="16384" width="25.5" style="5"/>
  </cols>
  <sheetData>
    <row r="1" spans="1:7" ht="17.25" customHeight="1">
      <c r="A1" s="4" t="s">
        <v>688</v>
      </c>
      <c r="B1" s="190" t="s">
        <v>158</v>
      </c>
    </row>
    <row r="3" spans="1:7" ht="17.25" customHeight="1">
      <c r="A3" s="347" t="s">
        <v>594</v>
      </c>
    </row>
    <row r="5" spans="1:7" ht="17.25" customHeight="1" thickBot="1">
      <c r="A5" s="702" t="s">
        <v>741</v>
      </c>
      <c r="B5" s="702"/>
    </row>
    <row r="6" spans="1:7" ht="17.25" customHeight="1" thickBot="1">
      <c r="A6" s="76"/>
      <c r="B6" s="454">
        <v>2013</v>
      </c>
      <c r="C6" s="454">
        <v>2014</v>
      </c>
      <c r="D6" s="455">
        <v>2015</v>
      </c>
    </row>
    <row r="7" spans="1:7" ht="17.25" customHeight="1">
      <c r="A7" s="453" t="s">
        <v>101</v>
      </c>
      <c r="B7" s="456">
        <v>32600</v>
      </c>
      <c r="C7" s="456">
        <v>35800</v>
      </c>
      <c r="D7" s="457">
        <v>39400</v>
      </c>
    </row>
    <row r="8" spans="1:7" ht="17.25" customHeight="1">
      <c r="A8" s="54" t="s">
        <v>77</v>
      </c>
      <c r="B8" s="330">
        <v>16620</v>
      </c>
      <c r="C8" s="330">
        <v>18370</v>
      </c>
      <c r="D8" s="458">
        <v>20220</v>
      </c>
      <c r="E8" s="125"/>
      <c r="F8" s="125"/>
      <c r="G8" s="125"/>
    </row>
    <row r="9" spans="1:7" ht="17.25" customHeight="1">
      <c r="A9" s="453" t="s">
        <v>103</v>
      </c>
      <c r="B9" s="456">
        <f>B7-B8</f>
        <v>15980</v>
      </c>
      <c r="C9" s="456">
        <f>C7-C8</f>
        <v>17430</v>
      </c>
      <c r="D9" s="457">
        <f>D7-D8</f>
        <v>19180</v>
      </c>
      <c r="E9" s="125"/>
    </row>
    <row r="10" spans="1:7" ht="17.25" customHeight="1">
      <c r="A10" s="54" t="s">
        <v>304</v>
      </c>
      <c r="B10" s="330">
        <v>11580</v>
      </c>
      <c r="C10" s="330">
        <v>12830</v>
      </c>
      <c r="D10" s="458">
        <v>12790</v>
      </c>
      <c r="E10" s="125"/>
      <c r="F10" s="125"/>
      <c r="G10" s="125"/>
    </row>
    <row r="11" spans="1:7" ht="17.25" customHeight="1">
      <c r="A11" s="453" t="s">
        <v>104</v>
      </c>
      <c r="B11" s="456">
        <f>B9-B10</f>
        <v>4400</v>
      </c>
      <c r="C11" s="456">
        <f>C9-C10</f>
        <v>4600</v>
      </c>
      <c r="D11" s="457">
        <f>D9-D10</f>
        <v>6390</v>
      </c>
    </row>
    <row r="12" spans="1:7" ht="17.25" customHeight="1">
      <c r="A12" s="54" t="s">
        <v>105</v>
      </c>
      <c r="B12" s="330">
        <v>1900</v>
      </c>
      <c r="C12" s="330">
        <v>2100</v>
      </c>
      <c r="D12" s="458">
        <v>2300</v>
      </c>
    </row>
    <row r="13" spans="1:7" ht="17.25" customHeight="1">
      <c r="A13" s="453" t="s">
        <v>95</v>
      </c>
      <c r="B13" s="456">
        <f>B11-B12</f>
        <v>2500</v>
      </c>
      <c r="C13" s="456">
        <f>C11-C12</f>
        <v>2500</v>
      </c>
      <c r="D13" s="457">
        <f>D11-D12</f>
        <v>4090</v>
      </c>
    </row>
    <row r="14" spans="1:7" ht="17.25" customHeight="1">
      <c r="A14" s="54" t="s">
        <v>106</v>
      </c>
      <c r="B14" s="43">
        <v>530</v>
      </c>
      <c r="C14" s="43">
        <v>605</v>
      </c>
      <c r="D14" s="459">
        <v>760</v>
      </c>
    </row>
    <row r="15" spans="1:7" ht="17.25" customHeight="1">
      <c r="A15" s="453" t="s">
        <v>96</v>
      </c>
      <c r="B15" s="456">
        <f>B13-B14</f>
        <v>1970</v>
      </c>
      <c r="C15" s="456">
        <f>C13-C14</f>
        <v>1895</v>
      </c>
      <c r="D15" s="457">
        <f>D13-D14</f>
        <v>3330</v>
      </c>
    </row>
    <row r="16" spans="1:7" ht="17.25" customHeight="1">
      <c r="A16" s="54" t="s">
        <v>107</v>
      </c>
      <c r="B16" s="43">
        <v>670</v>
      </c>
      <c r="C16" s="43">
        <v>645</v>
      </c>
      <c r="D16" s="458">
        <v>1130</v>
      </c>
    </row>
    <row r="17" spans="1:4" ht="17.25" customHeight="1">
      <c r="A17" s="54"/>
      <c r="B17" s="43"/>
      <c r="C17" s="43"/>
      <c r="D17" s="458"/>
    </row>
    <row r="18" spans="1:4" ht="17.25" customHeight="1">
      <c r="A18" s="453" t="s">
        <v>108</v>
      </c>
      <c r="B18" s="456">
        <f>B15-B16</f>
        <v>1300</v>
      </c>
      <c r="C18" s="456">
        <f>C15-C16</f>
        <v>1250</v>
      </c>
      <c r="D18" s="457">
        <f>D15-D16</f>
        <v>2200</v>
      </c>
    </row>
    <row r="19" spans="1:4" ht="17.25" customHeight="1">
      <c r="A19" s="54"/>
      <c r="B19" s="43"/>
      <c r="C19" s="43"/>
      <c r="D19" s="459"/>
    </row>
    <row r="20" spans="1:4" ht="17.25" customHeight="1">
      <c r="A20" s="54" t="s">
        <v>4</v>
      </c>
      <c r="B20" s="43">
        <v>600</v>
      </c>
      <c r="C20" s="43">
        <v>600</v>
      </c>
      <c r="D20" s="459">
        <v>600</v>
      </c>
    </row>
    <row r="21" spans="1:4" ht="17.25" customHeight="1">
      <c r="A21" s="54" t="s">
        <v>226</v>
      </c>
      <c r="B21" s="43">
        <v>700</v>
      </c>
      <c r="C21" s="43">
        <v>650</v>
      </c>
      <c r="D21" s="458">
        <v>1600</v>
      </c>
    </row>
    <row r="22" spans="1:4" ht="17.25" customHeight="1" thickBot="1">
      <c r="A22" s="463" t="s">
        <v>32</v>
      </c>
      <c r="B22" s="464">
        <v>1300</v>
      </c>
      <c r="C22" s="464">
        <v>1250</v>
      </c>
      <c r="D22" s="465">
        <v>2200</v>
      </c>
    </row>
    <row r="24" spans="1:4" ht="17.25" customHeight="1" thickBot="1">
      <c r="A24" s="5" t="s">
        <v>109</v>
      </c>
    </row>
    <row r="25" spans="1:4" ht="17.25" customHeight="1" thickBot="1">
      <c r="A25" s="76"/>
      <c r="B25" s="454">
        <v>2013</v>
      </c>
      <c r="C25" s="454">
        <v>2014</v>
      </c>
      <c r="D25" s="455">
        <v>2015</v>
      </c>
    </row>
    <row r="26" spans="1:4" ht="17.25" customHeight="1">
      <c r="A26" s="5" t="s">
        <v>110</v>
      </c>
      <c r="B26" s="460">
        <v>15450</v>
      </c>
      <c r="C26" s="460">
        <v>16700</v>
      </c>
      <c r="D26" s="460">
        <v>18200</v>
      </c>
    </row>
    <row r="27" spans="1:4" ht="17.25" customHeight="1">
      <c r="A27" s="5" t="s">
        <v>111</v>
      </c>
      <c r="B27" s="460">
        <v>11460</v>
      </c>
      <c r="C27" s="460">
        <v>12950</v>
      </c>
      <c r="D27" s="460">
        <v>15950</v>
      </c>
    </row>
    <row r="28" spans="1:4" ht="17.25" customHeight="1">
      <c r="A28" s="37" t="s">
        <v>112</v>
      </c>
      <c r="B28" s="461">
        <f>SUM(B26:B27)</f>
        <v>26910</v>
      </c>
      <c r="C28" s="461">
        <f>SUM(C26:C27)</f>
        <v>29650</v>
      </c>
      <c r="D28" s="462">
        <f>SUM(D26:D27)</f>
        <v>34150</v>
      </c>
    </row>
    <row r="29" spans="1:4" ht="17.25" customHeight="1">
      <c r="B29" s="155"/>
      <c r="C29" s="155"/>
      <c r="D29" s="155"/>
    </row>
    <row r="30" spans="1:4" ht="17.25" customHeight="1">
      <c r="A30" s="5" t="s">
        <v>113</v>
      </c>
      <c r="B30" s="460">
        <v>10000</v>
      </c>
      <c r="C30" s="460">
        <v>10000</v>
      </c>
      <c r="D30" s="460">
        <v>10000</v>
      </c>
    </row>
    <row r="31" spans="1:4" ht="17.25" customHeight="1">
      <c r="A31" s="5" t="s">
        <v>114</v>
      </c>
      <c r="B31" s="460">
        <v>14400</v>
      </c>
      <c r="C31" s="460">
        <v>15200</v>
      </c>
      <c r="D31" s="460">
        <v>16300</v>
      </c>
    </row>
    <row r="32" spans="1:4" ht="17.25" customHeight="1">
      <c r="A32" s="5" t="s">
        <v>98</v>
      </c>
      <c r="B32" s="460">
        <v>12510</v>
      </c>
      <c r="C32" s="460">
        <v>14450</v>
      </c>
      <c r="D32" s="460">
        <v>17850</v>
      </c>
    </row>
    <row r="33" spans="1:5" ht="17.25" customHeight="1">
      <c r="A33" s="37" t="s">
        <v>115</v>
      </c>
      <c r="B33" s="461">
        <f>B31+B32</f>
        <v>26910</v>
      </c>
      <c r="C33" s="461">
        <f>C31+C32</f>
        <v>29650</v>
      </c>
      <c r="D33" s="462">
        <f>D31+D32</f>
        <v>34150</v>
      </c>
    </row>
    <row r="34" spans="1:5" ht="17.25" customHeight="1">
      <c r="B34" s="155"/>
      <c r="C34" s="155"/>
      <c r="D34" s="155"/>
    </row>
    <row r="35" spans="1:5" ht="17.25" customHeight="1">
      <c r="A35" s="5" t="s">
        <v>743</v>
      </c>
      <c r="B35" s="569">
        <f>B15/B31</f>
        <v>0.13680555555555557</v>
      </c>
      <c r="C35" s="569">
        <f t="shared" ref="C35:D35" si="0">C15/C31</f>
        <v>0.12467105263157895</v>
      </c>
      <c r="D35" s="569">
        <f t="shared" si="0"/>
        <v>0.20429447852760735</v>
      </c>
    </row>
    <row r="36" spans="1:5" ht="17.25" customHeight="1">
      <c r="A36" s="5" t="s">
        <v>176</v>
      </c>
      <c r="B36" s="569">
        <f>B13/B33</f>
        <v>9.2902266815310289E-2</v>
      </c>
      <c r="C36" s="569">
        <f t="shared" ref="C36:D36" si="1">C13/C33</f>
        <v>8.4317032040472181E-2</v>
      </c>
      <c r="D36" s="569">
        <f t="shared" si="1"/>
        <v>0.11976573938506589</v>
      </c>
    </row>
    <row r="37" spans="1:5" ht="17.25" customHeight="1">
      <c r="A37" s="5" t="s">
        <v>177</v>
      </c>
      <c r="B37" s="569">
        <f>B13/B7</f>
        <v>7.6687116564417179E-2</v>
      </c>
      <c r="C37" s="569">
        <f t="shared" ref="C37:D37" si="2">C13/C7</f>
        <v>6.9832402234636867E-2</v>
      </c>
      <c r="D37" s="569">
        <f t="shared" si="2"/>
        <v>0.10380710659898477</v>
      </c>
      <c r="E37" s="5" t="s">
        <v>845</v>
      </c>
    </row>
    <row r="38" spans="1:5" ht="17.25" customHeight="1">
      <c r="A38" s="5" t="s">
        <v>178</v>
      </c>
      <c r="B38" s="570">
        <f>B7/B28</f>
        <v>1.2114455592716462</v>
      </c>
      <c r="C38" s="570">
        <f t="shared" ref="C38:D38" si="3">C7/C28</f>
        <v>1.2074198988195615</v>
      </c>
      <c r="D38" s="570">
        <f t="shared" si="3"/>
        <v>1.1537335285505124</v>
      </c>
      <c r="E38" s="5" t="s">
        <v>846</v>
      </c>
    </row>
    <row r="39" spans="1:5" ht="17.25" customHeight="1">
      <c r="A39" s="5" t="s">
        <v>592</v>
      </c>
      <c r="B39" s="569">
        <f>B14/B32</f>
        <v>4.2366107114308556E-2</v>
      </c>
      <c r="C39" s="569">
        <f t="shared" ref="C39:D39" si="4">C14/C32</f>
        <v>4.1868512110726647E-2</v>
      </c>
      <c r="D39" s="569">
        <f t="shared" si="4"/>
        <v>4.2577030812324931E-2</v>
      </c>
    </row>
    <row r="40" spans="1:5" ht="17.25" customHeight="1">
      <c r="A40" s="5" t="s">
        <v>742</v>
      </c>
      <c r="B40" s="570">
        <f>B32/B31</f>
        <v>0.86875000000000002</v>
      </c>
      <c r="C40" s="570">
        <f t="shared" ref="C40:D40" si="5">C32/C31</f>
        <v>0.95065789473684215</v>
      </c>
      <c r="D40" s="570">
        <f t="shared" si="5"/>
        <v>1.0950920245398772</v>
      </c>
    </row>
    <row r="41" spans="1:5" ht="17.25" customHeight="1">
      <c r="A41" s="5" t="s">
        <v>179</v>
      </c>
      <c r="B41" s="570">
        <f>B28/B31</f>
        <v>1.8687499999999999</v>
      </c>
      <c r="C41" s="570">
        <f t="shared" ref="C41:D41" si="6">C28/C31</f>
        <v>1.950657894736842</v>
      </c>
      <c r="D41" s="570">
        <f t="shared" si="6"/>
        <v>2.0950920245398774</v>
      </c>
      <c r="E41" s="5" t="s">
        <v>847</v>
      </c>
    </row>
    <row r="42" spans="1:5" ht="17.25" customHeight="1">
      <c r="A42" s="5" t="s">
        <v>180</v>
      </c>
      <c r="B42" s="570">
        <f>B15/B13</f>
        <v>0.78800000000000003</v>
      </c>
      <c r="C42" s="570">
        <f>C15/C13</f>
        <v>0.75800000000000001</v>
      </c>
      <c r="D42" s="570">
        <f t="shared" ref="D42" si="7">D15/D13</f>
        <v>0.81418092909535456</v>
      </c>
      <c r="E42" s="5" t="s">
        <v>848</v>
      </c>
    </row>
    <row r="43" spans="1:5" ht="17.25" customHeight="1">
      <c r="A43" s="5" t="s">
        <v>182</v>
      </c>
      <c r="B43" s="569">
        <f>B37*B38</f>
        <v>9.2902266815310289E-2</v>
      </c>
      <c r="C43" s="569">
        <f t="shared" ref="C43:D43" si="8">C37*C38</f>
        <v>8.4317032040472167E-2</v>
      </c>
      <c r="D43" s="569">
        <f t="shared" si="8"/>
        <v>0.11976573938506588</v>
      </c>
    </row>
    <row r="44" spans="1:5" ht="17.25" customHeight="1">
      <c r="A44" s="5" t="s">
        <v>591</v>
      </c>
      <c r="B44" s="571">
        <f>B36+(B36-B39)*B40</f>
        <v>0.13680555555555554</v>
      </c>
      <c r="C44" s="571">
        <f t="shared" ref="C44:D44" si="9">C36+(C36-C39)*C40</f>
        <v>0.12467105263157896</v>
      </c>
      <c r="D44" s="571">
        <f t="shared" si="9"/>
        <v>0.20429447852760735</v>
      </c>
    </row>
    <row r="45" spans="1:5" ht="17.25" customHeight="1">
      <c r="A45" s="5" t="s">
        <v>181</v>
      </c>
      <c r="B45" s="569">
        <f>B36*B41*B42</f>
        <v>0.13680555555555557</v>
      </c>
      <c r="C45" s="569">
        <f>C36*C41*C42</f>
        <v>0.12467105263157896</v>
      </c>
      <c r="D45" s="569">
        <f t="shared" ref="D45" si="10">D36*D41*D42</f>
        <v>0.2042944785276074</v>
      </c>
    </row>
    <row r="46" spans="1:5" ht="17.25" customHeight="1">
      <c r="B46" s="8"/>
      <c r="C46" s="8"/>
      <c r="D46" s="8"/>
    </row>
    <row r="47" spans="1:5" ht="17.25" customHeight="1">
      <c r="A47" s="5" t="s">
        <v>593</v>
      </c>
      <c r="B47" s="572">
        <f>B31/B33</f>
        <v>0.53511705685618727</v>
      </c>
      <c r="C47" s="572">
        <f t="shared" ref="C47:D47" si="11">C31/C33</f>
        <v>0.51264755480607083</v>
      </c>
      <c r="D47" s="572">
        <f t="shared" si="11"/>
        <v>0.4773060029282577</v>
      </c>
    </row>
    <row r="51" spans="1:1" ht="17.25" customHeight="1">
      <c r="A51" s="5" t="s">
        <v>849</v>
      </c>
    </row>
    <row r="52" spans="1:1" ht="17.25" customHeight="1">
      <c r="A52" s="5" t="s">
        <v>850</v>
      </c>
    </row>
  </sheetData>
  <mergeCells count="1">
    <mergeCell ref="A5:B5"/>
  </mergeCells>
  <hyperlinks>
    <hyperlink ref="B1" location="Forside!A1" display="Forside!A1" xr:uid="{00000000-0004-0000-23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1"/>
  <sheetViews>
    <sheetView zoomScale="80" zoomScaleNormal="80" workbookViewId="0">
      <selection activeCell="G27" sqref="G27"/>
    </sheetView>
  </sheetViews>
  <sheetFormatPr baseColWidth="10" defaultColWidth="28.5" defaultRowHeight="17.25" customHeight="1"/>
  <cols>
    <col min="1" max="1" width="28.5" style="5"/>
    <col min="2" max="6" width="13.83203125" style="5" customWidth="1"/>
    <col min="7" max="16384" width="28.5" style="5"/>
  </cols>
  <sheetData>
    <row r="1" spans="1:7" ht="17.25" customHeight="1">
      <c r="A1" s="4" t="s">
        <v>623</v>
      </c>
      <c r="B1" s="94" t="s">
        <v>158</v>
      </c>
    </row>
    <row r="3" spans="1:7" ht="17.25" customHeight="1">
      <c r="A3" s="347" t="s">
        <v>597</v>
      </c>
    </row>
    <row r="4" spans="1:7" ht="17.25" customHeight="1">
      <c r="A4" s="281"/>
    </row>
    <row r="5" spans="1:7" ht="17.25" customHeight="1">
      <c r="A5" s="77"/>
      <c r="B5" s="452">
        <v>2011</v>
      </c>
      <c r="C5" s="452">
        <v>2012</v>
      </c>
      <c r="D5" s="452">
        <v>2013</v>
      </c>
      <c r="E5" s="452">
        <v>2014</v>
      </c>
      <c r="F5" s="452">
        <v>2015</v>
      </c>
    </row>
    <row r="6" spans="1:7" ht="17.25" customHeight="1">
      <c r="A6" s="36" t="s">
        <v>116</v>
      </c>
      <c r="B6" s="467">
        <v>2661900</v>
      </c>
      <c r="C6" s="467">
        <v>3231100</v>
      </c>
      <c r="D6" s="467">
        <v>4189300</v>
      </c>
      <c r="E6" s="467">
        <v>5622700</v>
      </c>
      <c r="F6" s="468">
        <v>7655500</v>
      </c>
    </row>
    <row r="7" spans="1:7" ht="17.25" customHeight="1">
      <c r="A7" s="469" t="s">
        <v>596</v>
      </c>
      <c r="B7" s="470">
        <v>440500</v>
      </c>
      <c r="C7" s="470">
        <v>384300</v>
      </c>
      <c r="D7" s="470">
        <v>862300</v>
      </c>
      <c r="E7" s="470">
        <v>1004000</v>
      </c>
      <c r="F7" s="471">
        <v>1825900</v>
      </c>
    </row>
    <row r="8" spans="1:7" ht="17.25" customHeight="1">
      <c r="A8" s="15" t="s">
        <v>117</v>
      </c>
      <c r="B8" s="121">
        <v>-2700</v>
      </c>
      <c r="C8" s="121">
        <v>61600</v>
      </c>
      <c r="D8" s="121">
        <v>64000</v>
      </c>
      <c r="E8" s="121">
        <v>386200</v>
      </c>
      <c r="F8" s="329">
        <v>78900</v>
      </c>
    </row>
    <row r="9" spans="1:7" ht="17.25" customHeight="1">
      <c r="A9" s="469" t="s">
        <v>96</v>
      </c>
      <c r="B9" s="470">
        <f>B7-B8</f>
        <v>443200</v>
      </c>
      <c r="C9" s="470">
        <f>C7-C8</f>
        <v>322700</v>
      </c>
      <c r="D9" s="470">
        <f>D7-D8</f>
        <v>798300</v>
      </c>
      <c r="E9" s="470">
        <f>E7-E8</f>
        <v>617800</v>
      </c>
      <c r="F9" s="471">
        <f>F7-F8</f>
        <v>1747000</v>
      </c>
    </row>
    <row r="10" spans="1:7" ht="17.25" customHeight="1">
      <c r="A10" s="15" t="s">
        <v>118</v>
      </c>
      <c r="B10" s="121">
        <v>-141200</v>
      </c>
      <c r="C10" s="121">
        <v>-133300</v>
      </c>
      <c r="D10" s="121">
        <v>-310500</v>
      </c>
      <c r="E10" s="121">
        <v>-394000</v>
      </c>
      <c r="F10" s="329">
        <v>-581500</v>
      </c>
    </row>
    <row r="11" spans="1:7" ht="17.25" customHeight="1">
      <c r="A11" s="469" t="s">
        <v>108</v>
      </c>
      <c r="B11" s="470">
        <f>SUM(B9:B10)</f>
        <v>302000</v>
      </c>
      <c r="C11" s="470">
        <f>SUM(C9:C10)</f>
        <v>189400</v>
      </c>
      <c r="D11" s="470">
        <f>SUM(D9:D10)</f>
        <v>487800</v>
      </c>
      <c r="E11" s="470">
        <f>SUM(E9:E10)</f>
        <v>223800</v>
      </c>
      <c r="F11" s="471">
        <f>SUM(F9:F10)</f>
        <v>1165500</v>
      </c>
    </row>
    <row r="12" spans="1:7" ht="17.25" customHeight="1">
      <c r="A12" s="15"/>
      <c r="B12" s="77"/>
      <c r="C12" s="77"/>
      <c r="D12" s="77"/>
      <c r="E12" s="77"/>
      <c r="F12" s="466"/>
    </row>
    <row r="13" spans="1:7" ht="17.25" customHeight="1">
      <c r="A13" s="15" t="s">
        <v>119</v>
      </c>
      <c r="B13" s="121">
        <v>1511200</v>
      </c>
      <c r="C13" s="121">
        <v>1773200</v>
      </c>
      <c r="D13" s="121">
        <v>2902700</v>
      </c>
      <c r="E13" s="121">
        <v>3757300</v>
      </c>
      <c r="F13" s="329">
        <v>4741600</v>
      </c>
    </row>
    <row r="14" spans="1:7" ht="17.25" customHeight="1">
      <c r="A14" s="17" t="s">
        <v>120</v>
      </c>
      <c r="B14" s="596">
        <v>2755800</v>
      </c>
      <c r="C14" s="596">
        <v>2981200</v>
      </c>
      <c r="D14" s="596">
        <v>4457800</v>
      </c>
      <c r="E14" s="596">
        <v>6782600</v>
      </c>
      <c r="F14" s="254">
        <v>7965900</v>
      </c>
    </row>
    <row r="16" spans="1:7" ht="17.25" customHeight="1">
      <c r="A16" s="5" t="s">
        <v>171</v>
      </c>
      <c r="B16" s="569">
        <f>B9/B13</f>
        <v>0.29327686606670195</v>
      </c>
      <c r="C16" s="569">
        <f t="shared" ref="C16:E16" si="0">C9/C13</f>
        <v>0.18198736747123845</v>
      </c>
      <c r="D16" s="569">
        <f t="shared" si="0"/>
        <v>0.2750198091432115</v>
      </c>
      <c r="E16" s="569">
        <f t="shared" si="0"/>
        <v>0.16442658291858517</v>
      </c>
      <c r="F16" s="569">
        <f>F9/F13</f>
        <v>0.36844103256284799</v>
      </c>
      <c r="G16" s="5" t="s">
        <v>856</v>
      </c>
    </row>
    <row r="17" spans="1:7" ht="17.25" customHeight="1">
      <c r="A17" s="5" t="s">
        <v>176</v>
      </c>
      <c r="B17" s="569">
        <f>B7/B14</f>
        <v>0.15984469119674868</v>
      </c>
      <c r="C17" s="569">
        <f t="shared" ref="C17:F17" si="1">C7/C14</f>
        <v>0.12890782235341472</v>
      </c>
      <c r="D17" s="569">
        <f t="shared" si="1"/>
        <v>0.19343622414643996</v>
      </c>
      <c r="E17" s="569">
        <f t="shared" si="1"/>
        <v>0.14802583080234719</v>
      </c>
      <c r="F17" s="569">
        <f t="shared" si="1"/>
        <v>0.22921452692100078</v>
      </c>
      <c r="G17" s="5" t="s">
        <v>851</v>
      </c>
    </row>
    <row r="18" spans="1:7" ht="17.25" customHeight="1">
      <c r="A18" s="5" t="s">
        <v>177</v>
      </c>
      <c r="B18" s="569">
        <f>B7/B6</f>
        <v>0.16548330140125475</v>
      </c>
      <c r="C18" s="569">
        <f t="shared" ref="C18:F18" si="2">C7/C6</f>
        <v>0.11893782303240383</v>
      </c>
      <c r="D18" s="569">
        <f t="shared" si="2"/>
        <v>0.20583391019979472</v>
      </c>
      <c r="E18" s="569">
        <f t="shared" si="2"/>
        <v>0.17856190086613194</v>
      </c>
      <c r="F18" s="569">
        <f t="shared" si="2"/>
        <v>0.23850826203383188</v>
      </c>
    </row>
    <row r="19" spans="1:7" ht="17.25" customHeight="1">
      <c r="A19" s="5" t="s">
        <v>178</v>
      </c>
      <c r="B19" s="570">
        <f>B6/B14</f>
        <v>0.96592640975397348</v>
      </c>
      <c r="C19" s="570">
        <f t="shared" ref="C19:F19" si="3">C6/C14</f>
        <v>1.0838253052462097</v>
      </c>
      <c r="D19" s="570">
        <f t="shared" si="3"/>
        <v>0.93976849567051013</v>
      </c>
      <c r="E19" s="570">
        <f t="shared" si="3"/>
        <v>0.82898888331908116</v>
      </c>
      <c r="F19" s="570">
        <f t="shared" si="3"/>
        <v>0.96103390702870983</v>
      </c>
      <c r="G19" s="5" t="s">
        <v>852</v>
      </c>
    </row>
    <row r="20" spans="1:7" ht="17.25" customHeight="1">
      <c r="A20" s="5" t="s">
        <v>592</v>
      </c>
      <c r="B20" s="569">
        <f>B8/(B14-B13)</f>
        <v>-2.1693716856821467E-3</v>
      </c>
      <c r="C20" s="569">
        <f t="shared" ref="C20:F20" si="4">C8/(C14-C13)</f>
        <v>5.0993377483443708E-2</v>
      </c>
      <c r="D20" s="569">
        <f t="shared" si="4"/>
        <v>4.1154909652112402E-2</v>
      </c>
      <c r="E20" s="569">
        <f t="shared" si="4"/>
        <v>0.12765676131292764</v>
      </c>
      <c r="F20" s="569">
        <f t="shared" si="4"/>
        <v>2.4470427689731105E-2</v>
      </c>
      <c r="G20" s="5" t="s">
        <v>853</v>
      </c>
    </row>
    <row r="21" spans="1:7" ht="17.25" customHeight="1">
      <c r="A21" s="5" t="s">
        <v>742</v>
      </c>
      <c r="B21" s="570">
        <f>(B14-B13)/B13</f>
        <v>0.82358390682901006</v>
      </c>
      <c r="C21" s="570">
        <f t="shared" ref="C21:F21" si="5">(C14-C13)/C13</f>
        <v>0.68125422964132643</v>
      </c>
      <c r="D21" s="570">
        <f t="shared" si="5"/>
        <v>0.5357425844903021</v>
      </c>
      <c r="E21" s="570">
        <f t="shared" si="5"/>
        <v>0.80517925105794053</v>
      </c>
      <c r="F21" s="570">
        <f t="shared" si="5"/>
        <v>0.68000253079129402</v>
      </c>
      <c r="G21" s="5" t="s">
        <v>854</v>
      </c>
    </row>
    <row r="22" spans="1:7" ht="17.25" customHeight="1">
      <c r="A22" s="5" t="s">
        <v>179</v>
      </c>
      <c r="B22" s="570">
        <f>B14/B13</f>
        <v>1.8235839068290101</v>
      </c>
      <c r="C22" s="570">
        <f t="shared" ref="C22:F22" si="6">C14/C13</f>
        <v>1.6812542296413264</v>
      </c>
      <c r="D22" s="570">
        <f t="shared" si="6"/>
        <v>1.5357425844903021</v>
      </c>
      <c r="E22" s="570">
        <f t="shared" si="6"/>
        <v>1.8051792510579405</v>
      </c>
      <c r="F22" s="570">
        <f t="shared" si="6"/>
        <v>1.680002530791294</v>
      </c>
    </row>
    <row r="23" spans="1:7" ht="17.25" customHeight="1">
      <c r="A23" s="5" t="s">
        <v>180</v>
      </c>
      <c r="B23" s="570">
        <f>B9/B7</f>
        <v>1.0061293984108968</v>
      </c>
      <c r="C23" s="570">
        <f t="shared" ref="C23:F23" si="7">C9/C7</f>
        <v>0.83970856102003644</v>
      </c>
      <c r="D23" s="570">
        <f t="shared" si="7"/>
        <v>0.92577989098921487</v>
      </c>
      <c r="E23" s="570">
        <f t="shared" si="7"/>
        <v>0.61533864541832672</v>
      </c>
      <c r="F23" s="570">
        <f t="shared" si="7"/>
        <v>0.9567884331014842</v>
      </c>
    </row>
    <row r="24" spans="1:7" ht="17.25" customHeight="1">
      <c r="A24" s="5" t="s">
        <v>182</v>
      </c>
      <c r="B24" s="569">
        <f>B18*B19</f>
        <v>0.15984469119674868</v>
      </c>
      <c r="C24" s="569">
        <f t="shared" ref="C24:F24" si="8">C18*C19</f>
        <v>0.12890782235341475</v>
      </c>
      <c r="D24" s="569">
        <f t="shared" si="8"/>
        <v>0.19343622414643996</v>
      </c>
      <c r="E24" s="569">
        <f t="shared" si="8"/>
        <v>0.14802583080234719</v>
      </c>
      <c r="F24" s="569">
        <f t="shared" si="8"/>
        <v>0.22921452692100075</v>
      </c>
      <c r="G24" s="5" t="s">
        <v>855</v>
      </c>
    </row>
    <row r="25" spans="1:7" ht="17.25" customHeight="1">
      <c r="A25" s="5" t="s">
        <v>591</v>
      </c>
      <c r="B25" s="571">
        <f>B17+(B17-B20)*B21</f>
        <v>0.293276866066702</v>
      </c>
      <c r="C25" s="571">
        <f t="shared" ref="C25:F25" si="9">C17+(C17-C20)*C21</f>
        <v>0.18198736747123842</v>
      </c>
      <c r="D25" s="571">
        <f t="shared" si="9"/>
        <v>0.2750198091432115</v>
      </c>
      <c r="E25" s="571">
        <f t="shared" si="9"/>
        <v>0.16442658291858517</v>
      </c>
      <c r="F25" s="571">
        <f t="shared" si="9"/>
        <v>0.36844103256284799</v>
      </c>
    </row>
    <row r="26" spans="1:7" ht="17.25" customHeight="1">
      <c r="A26" s="5" t="s">
        <v>181</v>
      </c>
      <c r="B26" s="569">
        <f>B17*B22*B23</f>
        <v>0.293276866066702</v>
      </c>
      <c r="C26" s="569">
        <f t="shared" ref="C26:F26" si="10">C17*C22*C23</f>
        <v>0.18198736747123842</v>
      </c>
      <c r="D26" s="569">
        <f t="shared" si="10"/>
        <v>0.2750198091432115</v>
      </c>
      <c r="E26" s="569">
        <f t="shared" si="10"/>
        <v>0.16442658291858517</v>
      </c>
      <c r="F26" s="569">
        <f t="shared" si="10"/>
        <v>0.36844103256284799</v>
      </c>
    </row>
    <row r="27" spans="1:7" ht="17.25" customHeight="1">
      <c r="B27" s="155"/>
      <c r="C27" s="155"/>
      <c r="D27" s="155"/>
      <c r="E27" s="155"/>
      <c r="F27" s="155"/>
    </row>
    <row r="28" spans="1:7" ht="17.25" customHeight="1">
      <c r="A28" s="5" t="s">
        <v>183</v>
      </c>
      <c r="B28" s="569">
        <f>B13/B14</f>
        <v>0.54837070905000362</v>
      </c>
      <c r="C28" s="569">
        <f t="shared" ref="C28:F28" si="11">C13/C14</f>
        <v>0.59479404266738223</v>
      </c>
      <c r="D28" s="569">
        <f t="shared" si="11"/>
        <v>0.65115079187042935</v>
      </c>
      <c r="E28" s="569">
        <f t="shared" si="11"/>
        <v>0.55396160764308677</v>
      </c>
      <c r="F28" s="569">
        <f t="shared" si="11"/>
        <v>0.59523719855885715</v>
      </c>
    </row>
    <row r="31" spans="1:7" ht="17.25" customHeight="1">
      <c r="A31" s="5" t="s">
        <v>857</v>
      </c>
    </row>
  </sheetData>
  <hyperlinks>
    <hyperlink ref="B1" location="Forside!A1" display="Forside!A1" xr:uid="{00000000-0004-0000-2400-000000000000}"/>
  </hyperlink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7"/>
  <sheetViews>
    <sheetView topLeftCell="A2" zoomScale="80" zoomScaleNormal="80" workbookViewId="0">
      <selection activeCell="A38" sqref="A38"/>
    </sheetView>
  </sheetViews>
  <sheetFormatPr baseColWidth="10" defaultColWidth="21.5" defaultRowHeight="18" customHeight="1"/>
  <cols>
    <col min="1" max="1" width="32" style="5" customWidth="1"/>
    <col min="2" max="4" width="15.83203125" style="5" customWidth="1"/>
    <col min="5" max="16384" width="21.5" style="5"/>
  </cols>
  <sheetData>
    <row r="1" spans="1:10" ht="18" customHeight="1">
      <c r="A1" s="4" t="s">
        <v>746</v>
      </c>
      <c r="B1" s="94" t="s">
        <v>158</v>
      </c>
    </row>
    <row r="2" spans="1:10" ht="18" customHeight="1">
      <c r="A2" s="4"/>
      <c r="C2" s="6"/>
    </row>
    <row r="3" spans="1:10" ht="18" customHeight="1">
      <c r="C3" s="6"/>
    </row>
    <row r="4" spans="1:10" ht="18" customHeight="1">
      <c r="C4" s="6"/>
    </row>
    <row r="5" spans="1:10" ht="18" customHeight="1">
      <c r="A5" s="322" t="s">
        <v>599</v>
      </c>
      <c r="B5" s="7"/>
      <c r="C5" s="20"/>
      <c r="D5" s="7"/>
      <c r="E5" s="7"/>
      <c r="F5" s="7"/>
      <c r="G5" s="7"/>
      <c r="H5" s="7"/>
      <c r="I5" s="7"/>
      <c r="J5" s="7"/>
    </row>
    <row r="6" spans="1:10" ht="18" customHeight="1">
      <c r="A6" s="7"/>
      <c r="B6" s="7"/>
      <c r="C6" s="20"/>
      <c r="D6" s="7"/>
      <c r="E6" s="7"/>
      <c r="F6" s="7"/>
      <c r="G6" s="7"/>
      <c r="H6" s="7"/>
      <c r="I6" s="7"/>
      <c r="J6" s="7"/>
    </row>
    <row r="7" spans="1:10" ht="18" customHeight="1">
      <c r="A7" s="37" t="s">
        <v>8</v>
      </c>
      <c r="B7" s="475">
        <v>2013</v>
      </c>
      <c r="C7" s="476">
        <v>2014</v>
      </c>
      <c r="D7" s="477">
        <v>2015</v>
      </c>
      <c r="E7" s="7"/>
      <c r="F7" s="7"/>
      <c r="G7" s="7"/>
      <c r="H7" s="7"/>
      <c r="I7" s="7"/>
      <c r="J7" s="7"/>
    </row>
    <row r="8" spans="1:10" ht="18" customHeight="1">
      <c r="A8" s="469" t="s">
        <v>9</v>
      </c>
      <c r="B8" s="470">
        <v>325000</v>
      </c>
      <c r="C8" s="481">
        <v>433000</v>
      </c>
      <c r="D8" s="471">
        <v>398000</v>
      </c>
      <c r="E8" s="7"/>
      <c r="F8" s="7"/>
      <c r="G8" s="7"/>
      <c r="H8" s="7"/>
      <c r="I8" s="7"/>
      <c r="J8" s="7"/>
    </row>
    <row r="9" spans="1:10" ht="18" customHeight="1">
      <c r="A9" s="15" t="s">
        <v>121</v>
      </c>
      <c r="B9" s="121">
        <f>0.25*B8</f>
        <v>81250</v>
      </c>
      <c r="C9" s="121">
        <f t="shared" ref="C9:D9" si="0">0.25*C8</f>
        <v>108250</v>
      </c>
      <c r="D9" s="329">
        <f t="shared" si="0"/>
        <v>99500</v>
      </c>
      <c r="E9" s="7"/>
      <c r="F9" s="7"/>
      <c r="G9" s="7"/>
      <c r="H9" s="7"/>
      <c r="I9" s="7"/>
      <c r="J9" s="7"/>
    </row>
    <row r="10" spans="1:10" ht="18" customHeight="1">
      <c r="A10" s="469" t="s">
        <v>271</v>
      </c>
      <c r="B10" s="470">
        <f>B8-B9</f>
        <v>243750</v>
      </c>
      <c r="C10" s="470">
        <f t="shared" ref="C10:D10" si="1">C8-C9</f>
        <v>324750</v>
      </c>
      <c r="D10" s="470">
        <f t="shared" si="1"/>
        <v>298500</v>
      </c>
      <c r="E10" s="188"/>
      <c r="F10" s="188"/>
      <c r="G10" s="188"/>
      <c r="H10" s="188"/>
      <c r="I10" s="188"/>
      <c r="J10" s="188"/>
    </row>
    <row r="11" spans="1:10" ht="18" customHeight="1">
      <c r="A11" s="15" t="s">
        <v>122</v>
      </c>
      <c r="B11" s="121">
        <f>0.09*B8</f>
        <v>29250</v>
      </c>
      <c r="C11" s="121">
        <f t="shared" ref="C11:D11" si="2">0.09*C8</f>
        <v>38970</v>
      </c>
      <c r="D11" s="329">
        <f t="shared" si="2"/>
        <v>35820</v>
      </c>
      <c r="E11" s="7"/>
      <c r="F11" s="7"/>
      <c r="G11" s="7"/>
      <c r="H11" s="7"/>
      <c r="I11" s="7"/>
      <c r="J11" s="7"/>
    </row>
    <row r="12" spans="1:10" ht="18" customHeight="1">
      <c r="A12" s="15" t="s">
        <v>123</v>
      </c>
      <c r="B12" s="121">
        <f>0.04*B8</f>
        <v>13000</v>
      </c>
      <c r="C12" s="121">
        <f t="shared" ref="C12:D12" si="3">0.04*C8</f>
        <v>17320</v>
      </c>
      <c r="D12" s="329">
        <f t="shared" si="3"/>
        <v>15920</v>
      </c>
      <c r="E12" s="7"/>
      <c r="F12" s="7"/>
      <c r="G12" s="7"/>
      <c r="H12" s="7"/>
      <c r="I12" s="7"/>
      <c r="J12" s="7"/>
    </row>
    <row r="13" spans="1:10" ht="18" customHeight="1">
      <c r="A13" s="15" t="s">
        <v>124</v>
      </c>
      <c r="B13" s="121">
        <f>0.07*B8</f>
        <v>22750.000000000004</v>
      </c>
      <c r="C13" s="121">
        <f t="shared" ref="C13:D13" si="4">0.07*C8</f>
        <v>30310.000000000004</v>
      </c>
      <c r="D13" s="329">
        <f t="shared" si="4"/>
        <v>27860.000000000004</v>
      </c>
      <c r="E13" s="7"/>
      <c r="F13" s="7"/>
      <c r="G13" s="7"/>
      <c r="H13" s="7"/>
      <c r="I13" s="7"/>
      <c r="J13" s="7"/>
    </row>
    <row r="14" spans="1:10" ht="18" customHeight="1">
      <c r="A14" s="15" t="s">
        <v>61</v>
      </c>
      <c r="B14" s="121">
        <v>45000</v>
      </c>
      <c r="C14" s="121">
        <f>B14*0.9</f>
        <v>40500</v>
      </c>
      <c r="D14" s="329">
        <f>C14*0.9</f>
        <v>36450</v>
      </c>
      <c r="E14" s="7"/>
      <c r="F14" s="7"/>
      <c r="G14" s="7"/>
      <c r="H14" s="7"/>
      <c r="I14" s="7"/>
      <c r="J14" s="7"/>
    </row>
    <row r="15" spans="1:10" ht="18" customHeight="1">
      <c r="A15" s="469" t="s">
        <v>184</v>
      </c>
      <c r="B15" s="470">
        <f>B10-SUM(B11:B14)</f>
        <v>133750</v>
      </c>
      <c r="C15" s="470">
        <f t="shared" ref="C15:D15" si="5">C10-SUM(C11:C14)</f>
        <v>197650</v>
      </c>
      <c r="D15" s="470">
        <f t="shared" si="5"/>
        <v>182450</v>
      </c>
      <c r="E15" s="188"/>
      <c r="F15" s="188"/>
      <c r="G15" s="188"/>
      <c r="H15" s="188"/>
      <c r="I15" s="188"/>
      <c r="J15" s="188"/>
    </row>
    <row r="16" spans="1:10" ht="18" customHeight="1">
      <c r="A16" s="15" t="s">
        <v>125</v>
      </c>
      <c r="B16" s="121">
        <f>B24*0.12</f>
        <v>39600</v>
      </c>
      <c r="C16" s="121">
        <f t="shared" ref="C16:D16" si="6">C24*0.12</f>
        <v>38520</v>
      </c>
      <c r="D16" s="329">
        <f t="shared" si="6"/>
        <v>35640</v>
      </c>
      <c r="E16" s="7"/>
      <c r="F16" s="7"/>
      <c r="G16" s="7"/>
      <c r="H16" s="7"/>
      <c r="I16" s="7"/>
      <c r="J16" s="7"/>
    </row>
    <row r="17" spans="1:10" ht="18" customHeight="1">
      <c r="A17" s="469" t="s">
        <v>126</v>
      </c>
      <c r="B17" s="470">
        <f>B15-B16</f>
        <v>94150</v>
      </c>
      <c r="C17" s="470">
        <f t="shared" ref="C17:D17" si="7">C15-C16</f>
        <v>159130</v>
      </c>
      <c r="D17" s="470">
        <f t="shared" si="7"/>
        <v>146810</v>
      </c>
      <c r="E17" s="7"/>
      <c r="F17" s="7"/>
      <c r="G17" s="7"/>
      <c r="H17" s="7"/>
      <c r="I17" s="7"/>
      <c r="J17" s="7"/>
    </row>
    <row r="18" spans="1:10" ht="18" customHeight="1">
      <c r="A18" s="15" t="s">
        <v>598</v>
      </c>
      <c r="B18" s="121">
        <f>B17*B20</f>
        <v>23537.5</v>
      </c>
      <c r="C18" s="121">
        <f>C17*C20</f>
        <v>39782.5</v>
      </c>
      <c r="D18" s="329">
        <f>D17*D20</f>
        <v>36702.5</v>
      </c>
      <c r="E18" s="7"/>
      <c r="F18" s="7"/>
      <c r="G18" s="9"/>
      <c r="H18" s="7"/>
      <c r="I18" s="7"/>
      <c r="J18" s="7"/>
    </row>
    <row r="19" spans="1:10" ht="18" customHeight="1">
      <c r="A19" s="478" t="s">
        <v>127</v>
      </c>
      <c r="B19" s="470">
        <f>B17-B18</f>
        <v>70612.5</v>
      </c>
      <c r="C19" s="470">
        <f>C17-C18</f>
        <v>119347.5</v>
      </c>
      <c r="D19" s="470">
        <f t="shared" ref="D19" si="8">D17-D18</f>
        <v>110107.5</v>
      </c>
      <c r="E19" s="9"/>
      <c r="F19" s="9"/>
      <c r="G19" s="9"/>
      <c r="H19" s="9"/>
      <c r="I19" s="7"/>
      <c r="J19" s="7"/>
    </row>
    <row r="20" spans="1:10" ht="18" customHeight="1">
      <c r="A20" s="127" t="s">
        <v>188</v>
      </c>
      <c r="B20" s="473">
        <v>0.25</v>
      </c>
      <c r="C20" s="473">
        <v>0.25</v>
      </c>
      <c r="D20" s="474">
        <v>0.25</v>
      </c>
      <c r="E20" s="9"/>
      <c r="F20" s="9"/>
      <c r="G20" s="9"/>
      <c r="H20" s="9"/>
      <c r="I20" s="188"/>
      <c r="J20" s="188"/>
    </row>
    <row r="21" spans="1:10" ht="18" customHeight="1">
      <c r="A21" s="124"/>
      <c r="B21" s="472"/>
      <c r="C21" s="472"/>
      <c r="D21" s="472"/>
      <c r="E21" s="252"/>
      <c r="F21" s="10"/>
      <c r="G21" s="10"/>
      <c r="H21" s="11"/>
      <c r="I21" s="7"/>
      <c r="J21" s="7"/>
    </row>
    <row r="22" spans="1:10" ht="18" customHeight="1">
      <c r="A22" s="37" t="s">
        <v>7</v>
      </c>
      <c r="B22" s="482">
        <v>2013</v>
      </c>
      <c r="C22" s="482">
        <v>2014</v>
      </c>
      <c r="D22" s="483">
        <v>2015</v>
      </c>
      <c r="E22" s="10"/>
      <c r="F22" s="10"/>
      <c r="G22" s="10"/>
      <c r="H22" s="11"/>
      <c r="I22" s="7"/>
      <c r="J22" s="7"/>
    </row>
    <row r="23" spans="1:10" ht="18" customHeight="1">
      <c r="A23" s="15" t="s">
        <v>5</v>
      </c>
      <c r="B23" s="121">
        <v>345000</v>
      </c>
      <c r="C23" s="121">
        <v>655000</v>
      </c>
      <c r="D23" s="329">
        <v>890000</v>
      </c>
      <c r="E23" s="10"/>
      <c r="F23" s="10"/>
      <c r="G23" s="10"/>
      <c r="H23" s="11"/>
      <c r="I23" s="7"/>
      <c r="J23" s="7"/>
    </row>
    <row r="24" spans="1:10" ht="18" customHeight="1">
      <c r="A24" s="15" t="s">
        <v>6</v>
      </c>
      <c r="B24" s="121">
        <v>330000</v>
      </c>
      <c r="C24" s="121">
        <v>321000</v>
      </c>
      <c r="D24" s="329">
        <v>297000</v>
      </c>
      <c r="E24" s="10"/>
      <c r="F24" s="10"/>
      <c r="G24" s="10"/>
      <c r="H24" s="11"/>
      <c r="I24" s="7"/>
      <c r="J24" s="7"/>
    </row>
    <row r="25" spans="1:10" ht="18" customHeight="1">
      <c r="A25" s="17" t="s">
        <v>128</v>
      </c>
      <c r="B25" s="280">
        <f>B23+B24</f>
        <v>675000</v>
      </c>
      <c r="C25" s="280">
        <f t="shared" ref="C25:D25" si="9">C23+C24</f>
        <v>976000</v>
      </c>
      <c r="D25" s="254">
        <f t="shared" si="9"/>
        <v>1187000</v>
      </c>
      <c r="E25" s="252"/>
      <c r="F25" s="252"/>
      <c r="G25" s="252"/>
      <c r="H25" s="11"/>
      <c r="I25" s="188"/>
      <c r="J25" s="188"/>
    </row>
    <row r="26" spans="1:10" ht="18" customHeight="1">
      <c r="A26" s="188"/>
      <c r="B26" s="121"/>
      <c r="C26" s="121"/>
      <c r="D26" s="121"/>
      <c r="E26" s="10"/>
      <c r="F26" s="10"/>
      <c r="G26" s="10"/>
      <c r="H26" s="11"/>
      <c r="I26" s="7"/>
      <c r="J26" s="7"/>
    </row>
    <row r="27" spans="1:10" ht="18" customHeight="1">
      <c r="A27" s="78" t="s">
        <v>185</v>
      </c>
      <c r="B27" s="479">
        <f>B15/B25</f>
        <v>0.19814814814814816</v>
      </c>
      <c r="C27" s="479">
        <f t="shared" ref="C27:D27" si="10">C15/C25</f>
        <v>0.20251024590163935</v>
      </c>
      <c r="D27" s="479">
        <f t="shared" si="10"/>
        <v>0.15370682392586352</v>
      </c>
      <c r="E27" s="10" t="s">
        <v>859</v>
      </c>
      <c r="F27" s="10"/>
      <c r="G27" s="10"/>
      <c r="H27" s="11"/>
      <c r="I27" s="7"/>
      <c r="J27" s="7"/>
    </row>
    <row r="28" spans="1:10" ht="18" customHeight="1">
      <c r="A28" s="78" t="s">
        <v>186</v>
      </c>
      <c r="B28" s="479">
        <f>B17/B23</f>
        <v>0.2728985507246377</v>
      </c>
      <c r="C28" s="479">
        <f>C17/C23</f>
        <v>0.24294656488549618</v>
      </c>
      <c r="D28" s="479">
        <f>D17/D23</f>
        <v>0.16495505617977529</v>
      </c>
      <c r="E28" s="10" t="s">
        <v>862</v>
      </c>
      <c r="F28" s="10"/>
      <c r="G28" s="10"/>
      <c r="H28" s="11"/>
      <c r="I28" s="7"/>
      <c r="J28" s="7"/>
    </row>
    <row r="29" spans="1:10" ht="18" customHeight="1">
      <c r="A29" s="78" t="s">
        <v>187</v>
      </c>
      <c r="B29" s="479">
        <f>B15/B8</f>
        <v>0.41153846153846152</v>
      </c>
      <c r="C29" s="479">
        <f t="shared" ref="C29:D29" si="11">C15/C8</f>
        <v>0.4564665127020785</v>
      </c>
      <c r="D29" s="479">
        <f t="shared" si="11"/>
        <v>0.45841708542713566</v>
      </c>
      <c r="E29" s="10" t="s">
        <v>860</v>
      </c>
      <c r="F29" s="10"/>
      <c r="G29" s="10"/>
      <c r="H29" s="11"/>
      <c r="I29" s="7"/>
      <c r="J29" s="7"/>
    </row>
    <row r="30" spans="1:10" ht="18" customHeight="1">
      <c r="A30" s="78" t="s">
        <v>600</v>
      </c>
      <c r="B30" s="479">
        <f>B16/B24</f>
        <v>0.12</v>
      </c>
      <c r="C30" s="479">
        <f t="shared" ref="C30:D30" si="12">C16/C24</f>
        <v>0.12</v>
      </c>
      <c r="D30" s="479">
        <f t="shared" si="12"/>
        <v>0.12</v>
      </c>
      <c r="E30" s="7" t="s">
        <v>861</v>
      </c>
      <c r="F30" s="7"/>
      <c r="G30" s="7"/>
      <c r="H30" s="7"/>
      <c r="I30" s="7"/>
      <c r="J30" s="7"/>
    </row>
    <row r="31" spans="1:10" ht="18" customHeight="1">
      <c r="A31" s="78" t="s">
        <v>744</v>
      </c>
      <c r="B31" s="480">
        <f>B24/B23</f>
        <v>0.95652173913043481</v>
      </c>
      <c r="C31" s="480">
        <f t="shared" ref="C31:D31" si="13">C24/C23</f>
        <v>0.49007633587786259</v>
      </c>
      <c r="D31" s="480">
        <f t="shared" si="13"/>
        <v>0.33370786516853934</v>
      </c>
      <c r="E31" s="122" t="s">
        <v>863</v>
      </c>
      <c r="F31" s="122"/>
      <c r="G31" s="122"/>
      <c r="H31" s="122"/>
      <c r="I31" s="122"/>
      <c r="J31" s="122"/>
    </row>
    <row r="32" spans="1:10" ht="18" customHeight="1">
      <c r="A32" s="78" t="s">
        <v>601</v>
      </c>
      <c r="B32" s="479">
        <f t="shared" ref="B32" si="14">B27+(B27-B30)*B31</f>
        <v>0.2728985507246377</v>
      </c>
      <c r="C32" s="479">
        <f t="shared" ref="C32" si="15">C27+(C27-C30)*C31</f>
        <v>0.24294656488549621</v>
      </c>
      <c r="D32" s="479">
        <f t="shared" ref="D32" si="16">D27+(D27-D30)*D31</f>
        <v>0.16495505617977527</v>
      </c>
      <c r="E32" s="188"/>
      <c r="F32" s="188"/>
      <c r="G32" s="188"/>
      <c r="H32" s="188"/>
      <c r="I32" s="188"/>
      <c r="J32" s="188"/>
    </row>
    <row r="33" spans="1:10" ht="18" customHeigh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8" customHeight="1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ht="18" customHeight="1">
      <c r="A35" s="7" t="s">
        <v>858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ht="18" customHeight="1">
      <c r="A36" s="5" t="s">
        <v>864</v>
      </c>
    </row>
    <row r="37" spans="1:10" ht="18" customHeight="1">
      <c r="A37" s="5" t="s">
        <v>865</v>
      </c>
    </row>
  </sheetData>
  <hyperlinks>
    <hyperlink ref="B1" location="Forside!A1" display="Forside!A1" xr:uid="{00000000-0004-0000-25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T45"/>
  <sheetViews>
    <sheetView topLeftCell="A8" zoomScale="80" zoomScaleNormal="80" workbookViewId="0">
      <selection activeCell="E44" sqref="E44"/>
    </sheetView>
  </sheetViews>
  <sheetFormatPr baseColWidth="10" defaultColWidth="8.83203125" defaultRowHeight="16"/>
  <cols>
    <col min="1" max="1" width="29.5" style="316" customWidth="1"/>
    <col min="2" max="2" width="9.83203125" style="316" customWidth="1"/>
    <col min="3" max="5" width="8.83203125" style="316"/>
    <col min="6" max="7" width="21.5" style="316" bestFit="1" customWidth="1"/>
    <col min="8" max="16384" width="8.83203125" style="316"/>
  </cols>
  <sheetData>
    <row r="1" spans="1:254">
      <c r="A1" s="316" t="s">
        <v>689</v>
      </c>
      <c r="B1" s="190" t="s">
        <v>158</v>
      </c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19"/>
      <c r="AB1" s="319"/>
      <c r="AC1" s="319"/>
      <c r="AD1" s="319"/>
      <c r="AE1" s="319"/>
      <c r="AF1" s="319"/>
      <c r="AG1" s="319"/>
      <c r="AH1" s="319"/>
      <c r="AI1" s="319"/>
      <c r="AJ1" s="319"/>
      <c r="AK1" s="319"/>
      <c r="AL1" s="319"/>
      <c r="AM1" s="319"/>
      <c r="AN1" s="319"/>
      <c r="AO1" s="319"/>
      <c r="AP1" s="319"/>
      <c r="AQ1" s="319"/>
      <c r="AR1" s="319"/>
      <c r="AS1" s="319"/>
      <c r="AT1" s="319"/>
      <c r="AU1" s="319"/>
      <c r="AV1" s="319"/>
      <c r="AW1" s="319"/>
      <c r="AX1" s="319"/>
      <c r="AY1" s="319"/>
      <c r="AZ1" s="319"/>
      <c r="BA1" s="319"/>
      <c r="BB1" s="319"/>
      <c r="BC1" s="319"/>
      <c r="BD1" s="319"/>
      <c r="BE1" s="319"/>
      <c r="BF1" s="319"/>
      <c r="BG1" s="319"/>
      <c r="BH1" s="319"/>
      <c r="BI1" s="319"/>
      <c r="BJ1" s="319"/>
      <c r="BK1" s="319"/>
      <c r="BL1" s="319"/>
      <c r="BM1" s="319"/>
      <c r="BN1" s="319"/>
      <c r="BO1" s="319"/>
      <c r="BP1" s="319"/>
      <c r="BQ1" s="319"/>
      <c r="BR1" s="319"/>
      <c r="BS1" s="319"/>
      <c r="BT1" s="319"/>
      <c r="BU1" s="319"/>
      <c r="BV1" s="319"/>
      <c r="BW1" s="319"/>
      <c r="BX1" s="319"/>
      <c r="BY1" s="319"/>
      <c r="BZ1" s="319"/>
      <c r="CA1" s="319"/>
      <c r="CB1" s="319"/>
      <c r="CC1" s="319"/>
      <c r="CD1" s="319"/>
      <c r="CE1" s="319"/>
      <c r="CF1" s="319"/>
      <c r="CG1" s="319"/>
      <c r="CH1" s="319"/>
      <c r="CI1" s="319"/>
      <c r="CJ1" s="319"/>
      <c r="CK1" s="319"/>
      <c r="CL1" s="319"/>
      <c r="CM1" s="319"/>
      <c r="CN1" s="319"/>
      <c r="CO1" s="319"/>
      <c r="CP1" s="319"/>
      <c r="CQ1" s="319"/>
      <c r="CR1" s="319"/>
      <c r="CS1" s="319"/>
      <c r="CT1" s="319"/>
      <c r="CU1" s="319"/>
      <c r="CV1" s="319"/>
      <c r="CW1" s="319"/>
      <c r="CX1" s="319"/>
      <c r="CY1" s="319"/>
      <c r="CZ1" s="319"/>
      <c r="DA1" s="319"/>
      <c r="DB1" s="319"/>
      <c r="DC1" s="319"/>
      <c r="DD1" s="319"/>
      <c r="DE1" s="319"/>
      <c r="DF1" s="319"/>
      <c r="DG1" s="319"/>
      <c r="DH1" s="319"/>
      <c r="DI1" s="319"/>
      <c r="DJ1" s="319"/>
      <c r="DK1" s="319"/>
      <c r="DL1" s="319"/>
      <c r="DM1" s="319"/>
      <c r="DN1" s="319"/>
      <c r="DO1" s="319"/>
      <c r="DP1" s="319"/>
      <c r="DQ1" s="319"/>
      <c r="DR1" s="319"/>
      <c r="DS1" s="319"/>
      <c r="DT1" s="319"/>
      <c r="DU1" s="319"/>
      <c r="DV1" s="319"/>
      <c r="DW1" s="319"/>
      <c r="DX1" s="319"/>
      <c r="DY1" s="319"/>
      <c r="DZ1" s="319"/>
      <c r="EA1" s="319"/>
      <c r="EB1" s="319"/>
      <c r="EC1" s="319"/>
      <c r="ED1" s="319"/>
      <c r="EE1" s="319"/>
      <c r="EF1" s="319"/>
      <c r="EG1" s="319"/>
      <c r="EH1" s="319"/>
      <c r="EI1" s="319"/>
      <c r="EJ1" s="319"/>
      <c r="EK1" s="319"/>
      <c r="EL1" s="319"/>
      <c r="EM1" s="319"/>
      <c r="EN1" s="319"/>
      <c r="EO1" s="319"/>
      <c r="EP1" s="319"/>
      <c r="EQ1" s="319"/>
      <c r="ER1" s="319"/>
      <c r="ES1" s="319"/>
      <c r="ET1" s="319"/>
      <c r="EU1" s="319"/>
      <c r="EV1" s="319"/>
      <c r="EW1" s="319"/>
      <c r="EX1" s="319"/>
      <c r="EY1" s="319"/>
      <c r="EZ1" s="319"/>
      <c r="FA1" s="319"/>
      <c r="FB1" s="319"/>
      <c r="FC1" s="319"/>
      <c r="FD1" s="319"/>
      <c r="FE1" s="319"/>
      <c r="FF1" s="319"/>
      <c r="FG1" s="319"/>
      <c r="FH1" s="319"/>
      <c r="FI1" s="319"/>
      <c r="FJ1" s="319"/>
      <c r="FK1" s="319"/>
      <c r="FL1" s="319"/>
      <c r="FM1" s="319"/>
      <c r="FN1" s="319"/>
      <c r="FO1" s="319"/>
      <c r="FP1" s="319"/>
      <c r="FQ1" s="319"/>
      <c r="FR1" s="319"/>
      <c r="FS1" s="319"/>
      <c r="FT1" s="319"/>
      <c r="FU1" s="319"/>
      <c r="FV1" s="319"/>
      <c r="FW1" s="319"/>
      <c r="FX1" s="319"/>
      <c r="FY1" s="319"/>
      <c r="FZ1" s="319"/>
      <c r="GA1" s="319"/>
      <c r="GB1" s="319"/>
      <c r="GC1" s="319"/>
      <c r="GD1" s="319"/>
      <c r="GE1" s="319"/>
      <c r="GF1" s="319"/>
      <c r="GG1" s="319"/>
      <c r="GH1" s="319"/>
      <c r="GI1" s="319"/>
      <c r="GJ1" s="319"/>
      <c r="GK1" s="319"/>
      <c r="GL1" s="319"/>
      <c r="GM1" s="319"/>
      <c r="GN1" s="319"/>
      <c r="GO1" s="319"/>
      <c r="GP1" s="319"/>
      <c r="GQ1" s="319"/>
      <c r="GR1" s="319"/>
      <c r="GS1" s="319"/>
      <c r="GT1" s="319"/>
      <c r="GU1" s="319"/>
      <c r="GV1" s="319"/>
      <c r="GW1" s="319"/>
      <c r="GX1" s="319"/>
      <c r="GY1" s="319"/>
      <c r="GZ1" s="319"/>
      <c r="HA1" s="319"/>
      <c r="HB1" s="319"/>
      <c r="HC1" s="319"/>
      <c r="HD1" s="319"/>
      <c r="HE1" s="319"/>
      <c r="HF1" s="319"/>
      <c r="HG1" s="319"/>
      <c r="HH1" s="319"/>
      <c r="HI1" s="319"/>
      <c r="HJ1" s="319"/>
      <c r="HK1" s="319"/>
      <c r="HL1" s="319"/>
      <c r="HM1" s="319"/>
      <c r="HN1" s="319"/>
      <c r="HO1" s="319"/>
      <c r="HP1" s="319"/>
      <c r="HQ1" s="319"/>
      <c r="HR1" s="319"/>
      <c r="HS1" s="319"/>
      <c r="HT1" s="319"/>
      <c r="HU1" s="319"/>
      <c r="HV1" s="319"/>
      <c r="HW1" s="319"/>
      <c r="HX1" s="319"/>
      <c r="HY1" s="319"/>
      <c r="HZ1" s="319"/>
      <c r="IA1" s="319"/>
      <c r="IB1" s="319"/>
      <c r="IC1" s="319"/>
      <c r="ID1" s="319"/>
      <c r="IE1" s="319"/>
      <c r="IF1" s="319"/>
      <c r="IG1" s="319"/>
      <c r="IH1" s="319"/>
      <c r="II1" s="319"/>
      <c r="IJ1" s="319"/>
      <c r="IK1" s="319"/>
      <c r="IL1" s="319"/>
      <c r="IM1" s="319"/>
      <c r="IN1" s="319"/>
      <c r="IO1" s="319"/>
      <c r="IP1" s="319"/>
      <c r="IQ1" s="319"/>
      <c r="IR1" s="319"/>
      <c r="IS1" s="319"/>
      <c r="IT1" s="319"/>
    </row>
    <row r="3" spans="1:254">
      <c r="A3" s="317" t="s">
        <v>628</v>
      </c>
    </row>
    <row r="5" spans="1:254">
      <c r="A5" s="484" t="s">
        <v>602</v>
      </c>
      <c r="B5" s="405">
        <v>2011</v>
      </c>
      <c r="C5" s="501">
        <v>2012</v>
      </c>
      <c r="D5" s="501">
        <v>2013</v>
      </c>
    </row>
    <row r="6" spans="1:254">
      <c r="A6" s="498" t="s">
        <v>607</v>
      </c>
      <c r="B6" s="499">
        <v>1987</v>
      </c>
      <c r="C6" s="500">
        <v>1987</v>
      </c>
      <c r="D6" s="500">
        <v>2003</v>
      </c>
    </row>
    <row r="7" spans="1:254">
      <c r="A7" s="498" t="s">
        <v>606</v>
      </c>
      <c r="B7" s="500">
        <v>6634</v>
      </c>
      <c r="C7" s="500">
        <v>7990</v>
      </c>
      <c r="D7" s="500">
        <v>9411</v>
      </c>
    </row>
    <row r="8" spans="1:254">
      <c r="A8" s="487" t="s">
        <v>605</v>
      </c>
      <c r="B8" s="409">
        <v>978</v>
      </c>
      <c r="C8" s="488">
        <v>1544</v>
      </c>
      <c r="D8" s="488">
        <v>3100</v>
      </c>
    </row>
    <row r="9" spans="1:254">
      <c r="A9" s="487" t="s">
        <v>604</v>
      </c>
      <c r="B9" s="409">
        <v>1133</v>
      </c>
      <c r="C9" s="488">
        <f>1167</f>
        <v>1167</v>
      </c>
      <c r="D9" s="488">
        <v>1200</v>
      </c>
    </row>
    <row r="10" spans="1:254">
      <c r="A10" s="487" t="s">
        <v>603</v>
      </c>
      <c r="B10" s="409">
        <v>1021</v>
      </c>
      <c r="C10" s="488">
        <v>973</v>
      </c>
      <c r="D10" s="488">
        <v>1120</v>
      </c>
      <c r="I10" s="316" t="s">
        <v>872</v>
      </c>
    </row>
    <row r="11" spans="1:254">
      <c r="A11" s="487" t="s">
        <v>437</v>
      </c>
      <c r="B11" s="409">
        <v>451</v>
      </c>
      <c r="C11" s="488">
        <v>602</v>
      </c>
      <c r="D11" s="488">
        <v>532</v>
      </c>
    </row>
    <row r="12" spans="1:254">
      <c r="A12" s="491" t="s">
        <v>112</v>
      </c>
      <c r="B12" s="492">
        <f>SUM(B6:B11)</f>
        <v>12204</v>
      </c>
      <c r="C12" s="492">
        <f>SUM(C6:C11)</f>
        <v>14263</v>
      </c>
      <c r="D12" s="492">
        <f>SUM(D6:D11)</f>
        <v>17366</v>
      </c>
    </row>
    <row r="13" spans="1:254">
      <c r="A13" s="487"/>
      <c r="B13" s="409"/>
      <c r="C13" s="488"/>
      <c r="D13" s="493"/>
    </row>
    <row r="14" spans="1:254">
      <c r="A14" s="484" t="s">
        <v>624</v>
      </c>
      <c r="B14" s="405">
        <v>2011</v>
      </c>
      <c r="C14" s="501">
        <v>2012</v>
      </c>
      <c r="D14" s="501">
        <v>2013</v>
      </c>
    </row>
    <row r="15" spans="1:254">
      <c r="A15" s="498" t="s">
        <v>113</v>
      </c>
      <c r="B15" s="500">
        <v>4500</v>
      </c>
      <c r="C15" s="500">
        <v>4500</v>
      </c>
      <c r="D15" s="500">
        <v>5000</v>
      </c>
    </row>
    <row r="16" spans="1:254">
      <c r="A16" s="498" t="s">
        <v>226</v>
      </c>
      <c r="B16" s="500">
        <v>302</v>
      </c>
      <c r="C16" s="500">
        <f>B16+C25-C26</f>
        <v>513</v>
      </c>
      <c r="D16" s="500">
        <f>C16+D25-D26</f>
        <v>534</v>
      </c>
    </row>
    <row r="17" spans="1:8">
      <c r="A17" s="487" t="s">
        <v>276</v>
      </c>
      <c r="B17" s="488">
        <v>5764</v>
      </c>
      <c r="C17" s="488">
        <v>5852</v>
      </c>
      <c r="D17" s="488">
        <v>5432</v>
      </c>
    </row>
    <row r="18" spans="1:8">
      <c r="A18" s="487" t="s">
        <v>608</v>
      </c>
      <c r="B18" s="488">
        <v>1444</v>
      </c>
      <c r="C18" s="488">
        <v>3183</v>
      </c>
      <c r="D18" s="488">
        <v>5600</v>
      </c>
    </row>
    <row r="19" spans="1:8">
      <c r="A19" s="489" t="s">
        <v>194</v>
      </c>
      <c r="B19" s="490">
        <v>194</v>
      </c>
      <c r="C19" s="490">
        <v>215</v>
      </c>
      <c r="D19" s="490">
        <v>800</v>
      </c>
    </row>
    <row r="20" spans="1:8">
      <c r="A20" s="484" t="s">
        <v>115</v>
      </c>
      <c r="B20" s="494">
        <f>SUM(B15:B19)</f>
        <v>12204</v>
      </c>
      <c r="C20" s="494">
        <f>SUM(C15:C19)</f>
        <v>14263</v>
      </c>
      <c r="D20" s="494">
        <f>SUM(D15:D19)</f>
        <v>17366</v>
      </c>
    </row>
    <row r="21" spans="1:8">
      <c r="A21" s="487"/>
      <c r="B21" s="493"/>
      <c r="C21" s="493"/>
      <c r="D21" s="493"/>
    </row>
    <row r="22" spans="1:8">
      <c r="A22" s="484" t="s">
        <v>609</v>
      </c>
      <c r="B22" s="486"/>
      <c r="C22" s="485"/>
      <c r="D22" s="485"/>
    </row>
    <row r="23" spans="1:8">
      <c r="A23" s="487" t="s">
        <v>610</v>
      </c>
      <c r="B23" s="409">
        <v>44876</v>
      </c>
      <c r="C23" s="488">
        <v>49312</v>
      </c>
      <c r="D23" s="488">
        <v>54785</v>
      </c>
    </row>
    <row r="24" spans="1:8">
      <c r="A24" s="487" t="s">
        <v>611</v>
      </c>
      <c r="B24" s="495">
        <v>261</v>
      </c>
      <c r="C24" s="495">
        <v>301</v>
      </c>
      <c r="D24" s="495">
        <v>330</v>
      </c>
      <c r="F24" s="487"/>
      <c r="G24" s="487"/>
      <c r="H24" s="487"/>
    </row>
    <row r="25" spans="1:8">
      <c r="A25" s="487" t="s">
        <v>745</v>
      </c>
      <c r="B25" s="495">
        <v>431</v>
      </c>
      <c r="C25" s="493">
        <v>451</v>
      </c>
      <c r="D25" s="488">
        <v>501</v>
      </c>
    </row>
    <row r="26" spans="1:8">
      <c r="A26" s="489" t="s">
        <v>625</v>
      </c>
      <c r="B26" s="486">
        <v>120</v>
      </c>
      <c r="C26" s="485">
        <v>240</v>
      </c>
      <c r="D26" s="490">
        <v>480</v>
      </c>
    </row>
    <row r="27" spans="1:8">
      <c r="A27" s="487"/>
      <c r="B27" s="495"/>
      <c r="C27" s="493"/>
      <c r="D27" s="493"/>
    </row>
    <row r="28" spans="1:8">
      <c r="A28" s="496" t="s">
        <v>612</v>
      </c>
      <c r="B28" s="579">
        <f>B25/(SUM(B15:B16))</f>
        <v>8.9754269054560604E-2</v>
      </c>
      <c r="C28" s="579">
        <f t="shared" ref="C28:D28" si="0">C25/(SUM(C15:C16))</f>
        <v>8.9966088170756034E-2</v>
      </c>
      <c r="D28" s="579">
        <f t="shared" si="0"/>
        <v>9.0531261293820026E-2</v>
      </c>
      <c r="E28" s="316" t="s">
        <v>867</v>
      </c>
    </row>
    <row r="29" spans="1:8">
      <c r="A29" s="487" t="s">
        <v>626</v>
      </c>
      <c r="B29" s="579">
        <f>B24/(B17+B18+B19)</f>
        <v>3.5260740340448529E-2</v>
      </c>
      <c r="C29" s="579">
        <f t="shared" ref="C29:D29" si="1">C24/(C17+C18+C19)</f>
        <v>3.2540540540540543E-2</v>
      </c>
      <c r="D29" s="579">
        <f t="shared" si="1"/>
        <v>2.7890466531440162E-2</v>
      </c>
    </row>
    <row r="30" spans="1:8">
      <c r="A30" s="487" t="s">
        <v>613</v>
      </c>
      <c r="B30" s="579">
        <f>(B25+B24)/B12</f>
        <v>5.6702720419534579E-2</v>
      </c>
      <c r="C30" s="579">
        <f t="shared" ref="C30:D30" si="2">(C25+C24)/C12</f>
        <v>5.2723830891116874E-2</v>
      </c>
      <c r="D30" s="579">
        <f t="shared" si="2"/>
        <v>4.785212484164459E-2</v>
      </c>
      <c r="E30" s="316" t="s">
        <v>866</v>
      </c>
    </row>
    <row r="31" spans="1:8">
      <c r="A31" s="487"/>
      <c r="C31" s="487"/>
      <c r="D31" s="487"/>
    </row>
    <row r="32" spans="1:8">
      <c r="A32" s="487" t="s">
        <v>614</v>
      </c>
    </row>
    <row r="33" spans="1:7">
      <c r="A33" s="487" t="s">
        <v>615</v>
      </c>
      <c r="B33" s="580">
        <f>B23/B12</f>
        <v>3.6771550311373322</v>
      </c>
      <c r="C33" s="580">
        <f t="shared" ref="C33:D33" si="3">C23/C12</f>
        <v>3.4573371660940895</v>
      </c>
      <c r="D33" s="580">
        <f t="shared" si="3"/>
        <v>3.1547276286997583</v>
      </c>
      <c r="E33" s="316" t="s">
        <v>868</v>
      </c>
    </row>
    <row r="34" spans="1:7">
      <c r="A34" s="487" t="s">
        <v>616</v>
      </c>
      <c r="B34" s="581">
        <f>(B25+B24)/B23</f>
        <v>1.542026918620198E-2</v>
      </c>
      <c r="C34" s="581">
        <f t="shared" ref="C34:D34" si="4">(C25+C24)/C23</f>
        <v>1.5249837767683322E-2</v>
      </c>
      <c r="D34" s="581">
        <f t="shared" si="4"/>
        <v>1.5168385506981838E-2</v>
      </c>
      <c r="E34" s="316" t="s">
        <v>869</v>
      </c>
    </row>
    <row r="35" spans="1:7">
      <c r="A35" s="487" t="s">
        <v>617</v>
      </c>
      <c r="B35" s="580">
        <f>B20/(B16+B15)</f>
        <v>2.5414410662224074</v>
      </c>
      <c r="C35" s="580">
        <f t="shared" ref="C35:D35" si="5">C20/(C16+C15)</f>
        <v>2.8452024735687211</v>
      </c>
      <c r="D35" s="580">
        <f t="shared" si="5"/>
        <v>3.1380556559450667</v>
      </c>
      <c r="E35" s="316" t="s">
        <v>870</v>
      </c>
    </row>
    <row r="36" spans="1:7">
      <c r="A36" s="497" t="s">
        <v>618</v>
      </c>
      <c r="B36" s="580">
        <f>B25/(B25+B24)</f>
        <v>0.62283236994219648</v>
      </c>
      <c r="C36" s="580">
        <f>C25/(C25+C24)</f>
        <v>0.59973404255319152</v>
      </c>
      <c r="D36" s="580">
        <f>D25/(D25+D24)</f>
        <v>0.6028880866425993</v>
      </c>
      <c r="E36" s="316" t="s">
        <v>869</v>
      </c>
    </row>
    <row r="37" spans="1:7">
      <c r="A37" s="497" t="s">
        <v>619</v>
      </c>
      <c r="B37" s="580">
        <f>(B17+B18+B19)/(B16+B15)</f>
        <v>1.5414410662224074</v>
      </c>
      <c r="C37" s="580">
        <f t="shared" ref="C37:D37" si="6">(C17+C18+C19)/(C16+C15)</f>
        <v>1.8452024735687214</v>
      </c>
      <c r="D37" s="580">
        <f t="shared" si="6"/>
        <v>2.1380556559450667</v>
      </c>
      <c r="E37" s="316" t="s">
        <v>871</v>
      </c>
    </row>
    <row r="38" spans="1:7">
      <c r="A38" s="497" t="s">
        <v>627</v>
      </c>
      <c r="B38" s="581">
        <f>((B25+B24)/B20)-(B24/(B17+B18+B19))</f>
        <v>2.144198007908605E-2</v>
      </c>
      <c r="C38" s="581">
        <f t="shared" ref="C38:D38" si="7">((C25+C24)/C20)-(C24/(C17+C18+C19))</f>
        <v>2.0183290350576331E-2</v>
      </c>
      <c r="D38" s="581">
        <f t="shared" si="7"/>
        <v>1.9961658310204428E-2</v>
      </c>
    </row>
    <row r="39" spans="1:7">
      <c r="A39" s="497" t="s">
        <v>172</v>
      </c>
      <c r="B39" s="581">
        <f>B30+B38*B37</f>
        <v>8.9754269054560604E-2</v>
      </c>
      <c r="C39" s="581">
        <f>C30+C38*C37</f>
        <v>8.996608817075602E-2</v>
      </c>
      <c r="D39" s="581">
        <f t="shared" ref="D39" si="8">D30+D38*D37</f>
        <v>9.0531261293820012E-2</v>
      </c>
    </row>
    <row r="40" spans="1:7">
      <c r="A40" s="497" t="s">
        <v>181</v>
      </c>
      <c r="B40" s="581">
        <f>B30*B36*B35</f>
        <v>8.975426905456059E-2</v>
      </c>
      <c r="C40" s="581">
        <f t="shared" ref="C40:D40" si="9">C30*C36*C35</f>
        <v>8.9966088170756034E-2</v>
      </c>
      <c r="D40" s="581">
        <f t="shared" si="9"/>
        <v>9.0531261293820026E-2</v>
      </c>
    </row>
    <row r="41" spans="1:7">
      <c r="A41" s="487" t="s">
        <v>620</v>
      </c>
      <c r="B41" s="582">
        <f>(B16+B15)/B12</f>
        <v>0.39347754834480497</v>
      </c>
      <c r="C41" s="582">
        <f t="shared" ref="C41:D41" si="10">(C16+C15)/C12</f>
        <v>0.35146883544836288</v>
      </c>
      <c r="D41" s="582">
        <f t="shared" si="10"/>
        <v>0.31866866290452611</v>
      </c>
    </row>
    <row r="42" spans="1:7">
      <c r="A42" s="316" t="s">
        <v>621</v>
      </c>
      <c r="B42" s="581">
        <f>(SUM(B8:B11))/(B18+B19)</f>
        <v>2.1874236874236872</v>
      </c>
      <c r="C42" s="581">
        <f t="shared" ref="C42:D42" si="11">(SUM(C8:C11))/(C18+C19)</f>
        <v>1.2613301942319011</v>
      </c>
      <c r="D42" s="581">
        <f t="shared" si="11"/>
        <v>0.93</v>
      </c>
      <c r="E42" s="676" t="s">
        <v>874</v>
      </c>
      <c r="F42" s="676"/>
      <c r="G42" s="676"/>
    </row>
    <row r="43" spans="1:7">
      <c r="A43" s="356" t="s">
        <v>622</v>
      </c>
      <c r="B43" s="581">
        <f>(SUM(B9:B11))/(B18+B19)</f>
        <v>1.5903540903540903</v>
      </c>
      <c r="C43" s="581">
        <f t="shared" ref="C43:D43" si="12">(SUM(C9:C11))/(C18+C19)</f>
        <v>0.8069452619187758</v>
      </c>
      <c r="D43" s="581">
        <f t="shared" si="12"/>
        <v>0.44562499999999999</v>
      </c>
      <c r="E43" s="676" t="s">
        <v>875</v>
      </c>
      <c r="F43" s="676"/>
      <c r="G43" s="676"/>
    </row>
    <row r="45" spans="1:7">
      <c r="A45" s="316" t="s">
        <v>873</v>
      </c>
    </row>
  </sheetData>
  <hyperlinks>
    <hyperlink ref="B1" location="Forside!A1" display="Forside!A1" xr:uid="{00000000-0004-0000-26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29"/>
  <sheetViews>
    <sheetView zoomScale="80" zoomScaleNormal="80" workbookViewId="0">
      <selection activeCell="B20" sqref="B20"/>
    </sheetView>
  </sheetViews>
  <sheetFormatPr baseColWidth="10" defaultColWidth="8.83203125" defaultRowHeight="16"/>
  <cols>
    <col min="1" max="1" width="43" style="316" customWidth="1"/>
    <col min="2" max="2" width="12" style="316" bestFit="1" customWidth="1"/>
    <col min="3" max="3" width="4.5" style="316" customWidth="1"/>
    <col min="4" max="4" width="15.5" style="316" bestFit="1" customWidth="1"/>
    <col min="5" max="5" width="9" style="316" bestFit="1" customWidth="1"/>
    <col min="6" max="6" width="5.33203125" style="316" customWidth="1"/>
    <col min="7" max="7" width="17.5" style="316" bestFit="1" customWidth="1"/>
    <col min="8" max="12" width="9" style="316" bestFit="1" customWidth="1"/>
    <col min="13" max="16384" width="8.83203125" style="316"/>
  </cols>
  <sheetData>
    <row r="1" spans="1:8">
      <c r="A1" s="316" t="s">
        <v>690</v>
      </c>
      <c r="B1" s="315" t="s">
        <v>158</v>
      </c>
      <c r="D1" s="679">
        <f>PV(B17,B16,B18)</f>
        <v>-2248.7887653075254</v>
      </c>
    </row>
    <row r="3" spans="1:8">
      <c r="A3" s="316" t="s">
        <v>629</v>
      </c>
    </row>
    <row r="5" spans="1:8">
      <c r="A5" s="357" t="s">
        <v>154</v>
      </c>
      <c r="B5" s="356"/>
      <c r="C5" s="356"/>
      <c r="D5" s="356"/>
      <c r="E5" s="356"/>
      <c r="G5" s="357" t="s">
        <v>165</v>
      </c>
      <c r="H5" s="356"/>
    </row>
    <row r="6" spans="1:8">
      <c r="A6" s="316" t="s">
        <v>110</v>
      </c>
      <c r="B6" s="502">
        <v>4682</v>
      </c>
      <c r="D6" s="316" t="s">
        <v>227</v>
      </c>
      <c r="E6" s="502">
        <v>1857</v>
      </c>
      <c r="G6" s="316" t="s">
        <v>152</v>
      </c>
      <c r="H6" s="502">
        <v>17563</v>
      </c>
    </row>
    <row r="7" spans="1:8">
      <c r="A7" s="316" t="s">
        <v>111</v>
      </c>
      <c r="B7" s="502">
        <v>1832</v>
      </c>
      <c r="D7" s="503" t="s">
        <v>226</v>
      </c>
      <c r="E7" s="504">
        <v>617</v>
      </c>
      <c r="G7" s="356" t="s">
        <v>153</v>
      </c>
      <c r="H7" s="505">
        <v>17165</v>
      </c>
    </row>
    <row r="8" spans="1:8">
      <c r="A8" s="356"/>
      <c r="B8" s="505"/>
      <c r="C8" s="356"/>
      <c r="D8" s="356" t="s">
        <v>98</v>
      </c>
      <c r="E8" s="505">
        <v>4040</v>
      </c>
      <c r="G8" s="316" t="s">
        <v>108</v>
      </c>
      <c r="H8" s="502">
        <f>H6-H7</f>
        <v>398</v>
      </c>
    </row>
    <row r="9" spans="1:8">
      <c r="A9" s="316" t="s">
        <v>157</v>
      </c>
      <c r="B9" s="502">
        <f>SUM(B6:B8)</f>
        <v>6514</v>
      </c>
      <c r="D9" s="316" t="s">
        <v>115</v>
      </c>
      <c r="E9" s="502">
        <f>SUM(E6:E8)</f>
        <v>6514</v>
      </c>
    </row>
    <row r="11" spans="1:8">
      <c r="A11" s="316" t="s">
        <v>630</v>
      </c>
    </row>
    <row r="13" spans="1:8">
      <c r="A13" s="316" t="s">
        <v>631</v>
      </c>
    </row>
    <row r="15" spans="1:8">
      <c r="A15" s="317" t="s">
        <v>632</v>
      </c>
    </row>
    <row r="16" spans="1:8">
      <c r="A16" s="318" t="s">
        <v>876</v>
      </c>
      <c r="B16" s="318">
        <v>10</v>
      </c>
    </row>
    <row r="17" spans="1:20">
      <c r="A17" s="318" t="s">
        <v>877</v>
      </c>
      <c r="B17" s="678">
        <v>0.12</v>
      </c>
      <c r="F17" s="316">
        <v>1</v>
      </c>
      <c r="G17" s="316">
        <v>2</v>
      </c>
      <c r="H17" s="316">
        <v>3</v>
      </c>
      <c r="I17" s="316">
        <v>4</v>
      </c>
      <c r="J17" s="316">
        <v>5</v>
      </c>
      <c r="K17" s="316">
        <v>6</v>
      </c>
      <c r="L17" s="316">
        <v>7</v>
      </c>
      <c r="M17" s="316">
        <v>8</v>
      </c>
      <c r="N17" s="316">
        <v>9</v>
      </c>
      <c r="O17" s="316">
        <v>10</v>
      </c>
    </row>
    <row r="18" spans="1:20">
      <c r="A18" s="318" t="s">
        <v>878</v>
      </c>
      <c r="B18" s="318">
        <v>398</v>
      </c>
      <c r="F18" s="316">
        <f>$H8*1/1.12^F17</f>
        <v>355.35714285714283</v>
      </c>
      <c r="G18" s="316">
        <f t="shared" ref="G18:O18" si="0">$H8*1/1.12^G17</f>
        <v>317.28316326530609</v>
      </c>
      <c r="H18" s="316">
        <f t="shared" si="0"/>
        <v>283.2885386297375</v>
      </c>
      <c r="I18" s="316">
        <f t="shared" si="0"/>
        <v>252.9361952051228</v>
      </c>
      <c r="J18" s="316">
        <f t="shared" si="0"/>
        <v>225.8358885760025</v>
      </c>
      <c r="K18" s="316">
        <f t="shared" si="0"/>
        <v>201.63918622857364</v>
      </c>
      <c r="L18" s="316">
        <f t="shared" si="0"/>
        <v>180.03498770408359</v>
      </c>
      <c r="M18" s="316">
        <f t="shared" si="0"/>
        <v>160.7455247357889</v>
      </c>
      <c r="N18" s="316">
        <f t="shared" si="0"/>
        <v>143.52278994266865</v>
      </c>
      <c r="O18" s="316">
        <f t="shared" si="0"/>
        <v>128.145348163097</v>
      </c>
      <c r="P18" s="316">
        <f>SUM(F18:O18)</f>
        <v>2248.7887653075236</v>
      </c>
    </row>
    <row r="19" spans="1:20">
      <c r="A19" s="318" t="s">
        <v>433</v>
      </c>
      <c r="B19" s="507">
        <f>PV(B17,B16,-B18)</f>
        <v>2248.7887653075254</v>
      </c>
      <c r="D19" s="679" t="s">
        <v>887</v>
      </c>
    </row>
    <row r="20" spans="1:20">
      <c r="O20" s="502"/>
      <c r="Q20" s="502"/>
      <c r="R20" s="502"/>
      <c r="T20" s="502"/>
    </row>
    <row r="21" spans="1:20">
      <c r="A21" s="317" t="s">
        <v>633</v>
      </c>
      <c r="O21" s="502"/>
      <c r="Q21" s="502"/>
      <c r="R21" s="502"/>
      <c r="T21" s="502"/>
    </row>
    <row r="22" spans="1:20">
      <c r="A22" s="318" t="s">
        <v>880</v>
      </c>
      <c r="B22" s="506"/>
      <c r="C22" s="365"/>
      <c r="O22" s="502"/>
      <c r="Q22" s="502"/>
      <c r="R22" s="502"/>
      <c r="T22" s="502"/>
    </row>
    <row r="23" spans="1:20">
      <c r="A23" s="318" t="s">
        <v>881</v>
      </c>
      <c r="B23" s="506">
        <f>E9-E8</f>
        <v>2474</v>
      </c>
      <c r="C23" s="365"/>
      <c r="O23" s="502"/>
      <c r="Q23" s="502"/>
      <c r="R23" s="502"/>
      <c r="T23" s="502"/>
    </row>
    <row r="24" spans="1:20">
      <c r="A24" s="316" t="s">
        <v>882</v>
      </c>
      <c r="B24" s="502">
        <f>E6+E7</f>
        <v>2474</v>
      </c>
      <c r="O24" s="502"/>
      <c r="Q24" s="502"/>
      <c r="R24" s="502"/>
      <c r="T24" s="502"/>
    </row>
    <row r="25" spans="1:20">
      <c r="A25" s="317" t="s">
        <v>634</v>
      </c>
      <c r="O25" s="502"/>
      <c r="Q25" s="502"/>
      <c r="R25" s="502"/>
      <c r="T25" s="502"/>
    </row>
    <row r="26" spans="1:20">
      <c r="A26" s="318" t="s">
        <v>883</v>
      </c>
      <c r="O26" s="502"/>
      <c r="Q26" s="502"/>
      <c r="R26" s="502"/>
      <c r="T26" s="502"/>
    </row>
    <row r="27" spans="1:20">
      <c r="O27" s="502"/>
      <c r="Q27" s="502"/>
      <c r="R27" s="502"/>
      <c r="T27" s="502"/>
    </row>
    <row r="28" spans="1:20">
      <c r="O28" s="502"/>
      <c r="Q28" s="502"/>
      <c r="R28" s="502"/>
      <c r="T28" s="502"/>
    </row>
    <row r="29" spans="1:20">
      <c r="O29" s="502"/>
      <c r="Q29" s="502"/>
      <c r="R29" s="502"/>
      <c r="T29" s="502"/>
    </row>
  </sheetData>
  <hyperlinks>
    <hyperlink ref="B1" location="Forside!A1" display="Forside" xr:uid="{00000000-0004-0000-27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41"/>
  <sheetViews>
    <sheetView topLeftCell="A15" zoomScale="80" zoomScaleNormal="80" workbookViewId="0">
      <selection activeCell="A23" sqref="A23"/>
    </sheetView>
  </sheetViews>
  <sheetFormatPr baseColWidth="10" defaultColWidth="8.83203125" defaultRowHeight="20.25" customHeight="1"/>
  <cols>
    <col min="1" max="1" width="22.83203125" style="316" customWidth="1"/>
    <col min="2" max="2" width="13.1640625" style="316" bestFit="1" customWidth="1"/>
    <col min="3" max="3" width="22.33203125" style="316" customWidth="1"/>
    <col min="4" max="4" width="15.6640625" style="316" bestFit="1" customWidth="1"/>
    <col min="5" max="8" width="11.5" style="316" bestFit="1" customWidth="1"/>
    <col min="9" max="11" width="10.33203125" style="316" bestFit="1" customWidth="1"/>
    <col min="12" max="16384" width="8.83203125" style="316"/>
  </cols>
  <sheetData>
    <row r="1" spans="1:5" ht="20.25" customHeight="1">
      <c r="A1" s="316" t="s">
        <v>691</v>
      </c>
      <c r="D1" s="315" t="s">
        <v>158</v>
      </c>
    </row>
    <row r="2" spans="1:5" ht="20.25" customHeight="1">
      <c r="E2" s="315"/>
    </row>
    <row r="3" spans="1:5" ht="20.25" customHeight="1">
      <c r="A3" s="316" t="s">
        <v>640</v>
      </c>
    </row>
    <row r="5" spans="1:5" ht="20.25" customHeight="1">
      <c r="A5" s="357" t="s">
        <v>360</v>
      </c>
      <c r="B5" s="356"/>
      <c r="C5" s="356"/>
      <c r="D5" s="357" t="s">
        <v>376</v>
      </c>
      <c r="E5" s="505"/>
    </row>
    <row r="6" spans="1:5" ht="20.25" customHeight="1">
      <c r="A6" s="503" t="s">
        <v>635</v>
      </c>
      <c r="B6" s="504">
        <v>80000</v>
      </c>
      <c r="C6" s="503"/>
      <c r="D6" s="503" t="s">
        <v>227</v>
      </c>
      <c r="E6" s="504">
        <v>80000</v>
      </c>
    </row>
    <row r="7" spans="1:5" ht="20.25" customHeight="1">
      <c r="A7" s="503" t="s">
        <v>445</v>
      </c>
      <c r="B7" s="504">
        <v>20000</v>
      </c>
      <c r="C7" s="503"/>
      <c r="D7" s="503" t="s">
        <v>226</v>
      </c>
      <c r="E7" s="504">
        <v>16000</v>
      </c>
    </row>
    <row r="8" spans="1:5" ht="20.25" customHeight="1">
      <c r="A8" s="503" t="s">
        <v>274</v>
      </c>
      <c r="B8" s="504">
        <v>14000</v>
      </c>
      <c r="C8" s="503"/>
      <c r="D8" s="503" t="s">
        <v>276</v>
      </c>
      <c r="E8" s="504">
        <v>20000</v>
      </c>
    </row>
    <row r="9" spans="1:5" ht="20.25" customHeight="1">
      <c r="A9" s="356" t="s">
        <v>435</v>
      </c>
      <c r="B9" s="508">
        <v>10000</v>
      </c>
      <c r="C9" s="356"/>
      <c r="D9" s="356" t="s">
        <v>277</v>
      </c>
      <c r="E9" s="505">
        <v>8000</v>
      </c>
    </row>
    <row r="10" spans="1:5" ht="20.25" customHeight="1">
      <c r="A10" s="319" t="s">
        <v>112</v>
      </c>
      <c r="B10" s="509">
        <f>SUM(B6:B9)</f>
        <v>124000</v>
      </c>
      <c r="C10" s="319"/>
      <c r="D10" s="319" t="s">
        <v>115</v>
      </c>
      <c r="E10" s="509">
        <f>SUM(E6:E9)</f>
        <v>124000</v>
      </c>
    </row>
    <row r="12" spans="1:5" ht="20.25" customHeight="1">
      <c r="A12" s="316" t="s">
        <v>636</v>
      </c>
    </row>
    <row r="14" spans="1:5" ht="20.25" customHeight="1">
      <c r="A14" s="316" t="s">
        <v>637</v>
      </c>
    </row>
    <row r="16" spans="1:5" ht="20.25" customHeight="1">
      <c r="A16" s="503" t="s">
        <v>635</v>
      </c>
      <c r="B16" s="358">
        <v>30000</v>
      </c>
    </row>
    <row r="17" spans="1:16" ht="20.25" customHeight="1">
      <c r="A17" s="503" t="s">
        <v>445</v>
      </c>
      <c r="B17" s="358">
        <v>50000</v>
      </c>
    </row>
    <row r="18" spans="1:16" ht="20.25" customHeight="1">
      <c r="A18" s="503" t="s">
        <v>274</v>
      </c>
      <c r="B18" s="358">
        <v>14000</v>
      </c>
    </row>
    <row r="19" spans="1:16" ht="20.25" customHeight="1">
      <c r="A19" s="356" t="s">
        <v>435</v>
      </c>
      <c r="B19" s="508">
        <v>10000</v>
      </c>
    </row>
    <row r="20" spans="1:16" ht="20.25" customHeight="1">
      <c r="A20" s="319" t="s">
        <v>638</v>
      </c>
      <c r="B20" s="509">
        <f>SUM(B16:B19)</f>
        <v>104000</v>
      </c>
    </row>
    <row r="22" spans="1:16" ht="20.25" customHeight="1">
      <c r="A22" s="317" t="s">
        <v>639</v>
      </c>
    </row>
    <row r="23" spans="1:16" ht="20.25" customHeight="1">
      <c r="A23" s="318" t="s">
        <v>893</v>
      </c>
      <c r="B23" s="511"/>
      <c r="C23" s="502">
        <f>E6+E7</f>
        <v>96000</v>
      </c>
    </row>
    <row r="24" spans="1:16" ht="20.25" customHeight="1">
      <c r="A24" s="365"/>
      <c r="B24" s="365"/>
      <c r="C24" s="510"/>
    </row>
    <row r="25" spans="1:16" ht="20.25" customHeight="1">
      <c r="A25" s="317" t="s">
        <v>641</v>
      </c>
    </row>
    <row r="26" spans="1:16" ht="20.25" customHeight="1">
      <c r="A26" s="316" t="s">
        <v>879</v>
      </c>
      <c r="B26" s="677">
        <v>0.1</v>
      </c>
      <c r="D26" s="318"/>
      <c r="E26" s="316">
        <v>1</v>
      </c>
      <c r="F26" s="316">
        <v>2</v>
      </c>
      <c r="G26" s="316">
        <v>3</v>
      </c>
      <c r="H26" s="316">
        <v>4</v>
      </c>
      <c r="I26" s="316">
        <v>5</v>
      </c>
      <c r="J26" s="316">
        <v>6</v>
      </c>
      <c r="K26" s="316">
        <v>7</v>
      </c>
      <c r="L26" s="316">
        <v>8</v>
      </c>
      <c r="M26" s="316">
        <v>9</v>
      </c>
      <c r="N26" s="316">
        <v>10</v>
      </c>
    </row>
    <row r="27" spans="1:16" ht="20.25" customHeight="1">
      <c r="A27" s="316" t="s">
        <v>884</v>
      </c>
      <c r="B27" s="316">
        <v>10</v>
      </c>
      <c r="D27" s="318">
        <v>20000</v>
      </c>
      <c r="E27" s="680">
        <f t="shared" ref="E27:N27" si="0">$D27*1/1.1^E26</f>
        <v>18181.81818181818</v>
      </c>
      <c r="F27" s="680">
        <f t="shared" si="0"/>
        <v>16528.925619834707</v>
      </c>
      <c r="G27" s="680">
        <f t="shared" si="0"/>
        <v>15026.296018031551</v>
      </c>
      <c r="H27" s="680">
        <f t="shared" si="0"/>
        <v>13660.26910730141</v>
      </c>
      <c r="I27" s="680">
        <f t="shared" si="0"/>
        <v>12418.426461183099</v>
      </c>
      <c r="J27" s="680">
        <f t="shared" si="0"/>
        <v>11289.478601075543</v>
      </c>
      <c r="K27" s="680">
        <f t="shared" si="0"/>
        <v>10263.162364614129</v>
      </c>
      <c r="L27" s="680">
        <f t="shared" si="0"/>
        <v>9330.1476041946626</v>
      </c>
      <c r="M27" s="680">
        <f t="shared" si="0"/>
        <v>8481.9523674496941</v>
      </c>
      <c r="N27" s="680">
        <f t="shared" si="0"/>
        <v>7710.8657885906296</v>
      </c>
      <c r="O27" s="316">
        <f>SUM(E27:N27)</f>
        <v>122891.3421140936</v>
      </c>
      <c r="P27" s="316">
        <f>O27+O28</f>
        <v>153734.80526845611</v>
      </c>
    </row>
    <row r="28" spans="1:16" ht="20.25" customHeight="1">
      <c r="A28" s="316" t="s">
        <v>885</v>
      </c>
      <c r="B28" s="316">
        <v>20000</v>
      </c>
      <c r="D28" s="318"/>
      <c r="E28" s="512"/>
      <c r="O28" s="316">
        <f>80000/1.1^10</f>
        <v>30843.463154362518</v>
      </c>
    </row>
    <row r="29" spans="1:16" ht="20.25" customHeight="1">
      <c r="A29" s="506" t="s">
        <v>886</v>
      </c>
      <c r="B29" s="681">
        <v>80000</v>
      </c>
    </row>
    <row r="30" spans="1:16" ht="20.25" customHeight="1">
      <c r="A30" s="319" t="s">
        <v>433</v>
      </c>
      <c r="B30" s="682">
        <f>PV(B26,B27,-B28,-B29)</f>
        <v>153734.80526845623</v>
      </c>
    </row>
    <row r="31" spans="1:16" ht="20.25" customHeight="1">
      <c r="A31" s="317" t="s">
        <v>642</v>
      </c>
    </row>
    <row r="32" spans="1:16" ht="20.25" customHeight="1">
      <c r="A32" s="318" t="s">
        <v>432</v>
      </c>
      <c r="B32" s="511">
        <f>B20</f>
        <v>104000</v>
      </c>
      <c r="C32" s="359"/>
    </row>
    <row r="33" spans="1:2" ht="20.25" customHeight="1">
      <c r="A33" s="318" t="s">
        <v>98</v>
      </c>
      <c r="B33" s="511">
        <f>SUM(E8:E9)</f>
        <v>28000</v>
      </c>
    </row>
    <row r="34" spans="1:2" ht="20.25" customHeight="1">
      <c r="A34" s="319" t="s">
        <v>888</v>
      </c>
      <c r="B34" s="360">
        <f>B32-B33</f>
        <v>76000</v>
      </c>
    </row>
    <row r="35" spans="1:2" ht="20.25" customHeight="1">
      <c r="A35" s="317" t="s">
        <v>643</v>
      </c>
    </row>
    <row r="36" spans="1:2" s="318" customFormat="1" ht="20.25" customHeight="1">
      <c r="A36" s="318" t="s">
        <v>889</v>
      </c>
    </row>
    <row r="37" spans="1:2" s="318" customFormat="1" ht="20.25" customHeight="1">
      <c r="A37" s="318" t="s">
        <v>890</v>
      </c>
    </row>
    <row r="38" spans="1:2" s="318" customFormat="1" ht="20.25" customHeight="1">
      <c r="A38" s="318" t="s">
        <v>891</v>
      </c>
    </row>
    <row r="39" spans="1:2" s="318" customFormat="1" ht="20.25" customHeight="1">
      <c r="A39" s="318" t="s">
        <v>892</v>
      </c>
      <c r="B39" s="511">
        <f>C23</f>
        <v>96000</v>
      </c>
    </row>
    <row r="40" spans="1:2" s="318" customFormat="1" ht="20.25" customHeight="1">
      <c r="A40" s="318" t="s">
        <v>433</v>
      </c>
      <c r="B40" s="511">
        <f>B30</f>
        <v>153734.80526845623</v>
      </c>
    </row>
    <row r="41" spans="1:2" s="318" customFormat="1" ht="20.25" customHeight="1">
      <c r="A41" s="513" t="s">
        <v>232</v>
      </c>
      <c r="B41" s="514">
        <f>B40-B39</f>
        <v>57734.805268456228</v>
      </c>
    </row>
  </sheetData>
  <hyperlinks>
    <hyperlink ref="D1" location="Forside!A1" display="Forside" xr:uid="{00000000-0004-0000-2800-000000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Forside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R16</vt:lpstr>
      <vt:lpstr>R17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R39</vt:lpstr>
      <vt:lpstr>R40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Przybyszewski</dc:creator>
  <cp:lastModifiedBy>Jeppe Vanderhaegen</cp:lastModifiedBy>
  <dcterms:created xsi:type="dcterms:W3CDTF">2013-09-02T15:29:12Z</dcterms:created>
  <dcterms:modified xsi:type="dcterms:W3CDTF">2021-06-01T14:10:18Z</dcterms:modified>
</cp:coreProperties>
</file>