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pee/Documents/University/2. Sem /EØ/Opgaver/"/>
    </mc:Choice>
  </mc:AlternateContent>
  <xr:revisionPtr revIDLastSave="0" documentId="8_{9A6214FE-5E55-6745-B0C7-E7D97E3402AC}" xr6:coauthVersionLast="46" xr6:coauthVersionMax="46" xr10:uidLastSave="{00000000-0000-0000-0000-000000000000}"/>
  <bookViews>
    <workbookView xWindow="0" yWindow="460" windowWidth="25600" windowHeight="14200" xr2:uid="{8069DC96-20CD-8B43-8BAB-9571D36017F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" i="1" l="1"/>
  <c r="D26" i="1"/>
  <c r="D42" i="1"/>
  <c r="D41" i="1"/>
  <c r="H34" i="1"/>
  <c r="I34" i="1"/>
  <c r="J34" i="1"/>
  <c r="H35" i="1"/>
  <c r="I35" i="1"/>
  <c r="J35" i="1"/>
  <c r="H36" i="1"/>
  <c r="I36" i="1"/>
  <c r="J36" i="1"/>
  <c r="H37" i="1"/>
  <c r="I37" i="1"/>
  <c r="J37" i="1"/>
  <c r="C66" i="1"/>
  <c r="D66" i="1" s="1"/>
  <c r="D68" i="1" s="1"/>
  <c r="G67" i="1"/>
  <c r="F67" i="1"/>
  <c r="E67" i="1"/>
  <c r="D67" i="1"/>
  <c r="C67" i="1"/>
  <c r="G65" i="1"/>
  <c r="F65" i="1"/>
  <c r="E65" i="1"/>
  <c r="D65" i="1"/>
  <c r="C65" i="1"/>
  <c r="G64" i="1"/>
  <c r="F64" i="1"/>
  <c r="E64" i="1"/>
  <c r="D64" i="1"/>
  <c r="C64" i="1"/>
  <c r="C54" i="1"/>
  <c r="G57" i="1"/>
  <c r="F57" i="1"/>
  <c r="E57" i="1"/>
  <c r="D57" i="1"/>
  <c r="C57" i="1"/>
  <c r="G55" i="1"/>
  <c r="F55" i="1"/>
  <c r="E55" i="1"/>
  <c r="D55" i="1"/>
  <c r="C55" i="1"/>
  <c r="G54" i="1"/>
  <c r="F54" i="1"/>
  <c r="E54" i="1"/>
  <c r="D54" i="1"/>
  <c r="B32" i="1"/>
  <c r="B63" i="1" s="1"/>
  <c r="B68" i="1" s="1"/>
  <c r="D37" i="1"/>
  <c r="E37" i="1"/>
  <c r="F37" i="1"/>
  <c r="G37" i="1"/>
  <c r="C37" i="1"/>
  <c r="C36" i="1"/>
  <c r="D36" i="1"/>
  <c r="E36" i="1"/>
  <c r="F36" i="1"/>
  <c r="G36" i="1"/>
  <c r="D35" i="1"/>
  <c r="E35" i="1"/>
  <c r="F35" i="1"/>
  <c r="G35" i="1"/>
  <c r="C35" i="1"/>
  <c r="D34" i="1"/>
  <c r="E34" i="1"/>
  <c r="F34" i="1"/>
  <c r="G34" i="1"/>
  <c r="C34" i="1"/>
  <c r="C10" i="1"/>
  <c r="C19" i="1"/>
  <c r="I38" i="1" l="1"/>
  <c r="I39" i="1" s="1"/>
  <c r="J33" i="1"/>
  <c r="J38" i="1" s="1"/>
  <c r="J39" i="1" s="1"/>
  <c r="C68" i="1"/>
  <c r="I33" i="1"/>
  <c r="H33" i="1"/>
  <c r="H38" i="1" s="1"/>
  <c r="H39" i="1" s="1"/>
  <c r="E66" i="1"/>
  <c r="F66" i="1" s="1"/>
  <c r="G66" i="1" s="1"/>
  <c r="G68" i="1"/>
  <c r="H19" i="1"/>
  <c r="I19" i="1"/>
  <c r="H20" i="1"/>
  <c r="I20" i="1"/>
  <c r="H22" i="1"/>
  <c r="I22" i="1"/>
  <c r="B5" i="1"/>
  <c r="B38" i="1"/>
  <c r="A13" i="1"/>
  <c r="C22" i="1"/>
  <c r="C20" i="1"/>
  <c r="C33" i="1"/>
  <c r="C38" i="1" s="1"/>
  <c r="D22" i="1"/>
  <c r="E22" i="1"/>
  <c r="F22" i="1"/>
  <c r="G22" i="1"/>
  <c r="D20" i="1"/>
  <c r="E20" i="1"/>
  <c r="F20" i="1"/>
  <c r="G20" i="1"/>
  <c r="D19" i="1"/>
  <c r="E19" i="1"/>
  <c r="F19" i="1"/>
  <c r="G19" i="1"/>
  <c r="B6" i="1"/>
  <c r="F68" i="1" l="1"/>
  <c r="G21" i="1"/>
  <c r="C56" i="1"/>
  <c r="E68" i="1"/>
  <c r="B17" i="1"/>
  <c r="B53" i="1" s="1"/>
  <c r="B58" i="1" s="1"/>
  <c r="B69" i="1"/>
  <c r="G33" i="1"/>
  <c r="F33" i="1"/>
  <c r="F38" i="1" s="1"/>
  <c r="F39" i="1" s="1"/>
  <c r="E33" i="1"/>
  <c r="E38" i="1" s="1"/>
  <c r="E39" i="1" s="1"/>
  <c r="G38" i="1"/>
  <c r="G39" i="1" s="1"/>
  <c r="D33" i="1"/>
  <c r="D38" i="1" s="1"/>
  <c r="D39" i="1" s="1"/>
  <c r="I21" i="1"/>
  <c r="I18" i="1" s="1"/>
  <c r="I23" i="1" s="1"/>
  <c r="I24" i="1" s="1"/>
  <c r="H21" i="1"/>
  <c r="H18" i="1" s="1"/>
  <c r="H23" i="1" s="1"/>
  <c r="H24" i="1" s="1"/>
  <c r="F21" i="1"/>
  <c r="E21" i="1"/>
  <c r="C21" i="1"/>
  <c r="D21" i="1"/>
  <c r="D18" i="1" s="1"/>
  <c r="D23" i="1" s="1"/>
  <c r="D24" i="1" s="1"/>
  <c r="B39" i="1"/>
  <c r="F18" i="1"/>
  <c r="F23" i="1" s="1"/>
  <c r="F24" i="1" s="1"/>
  <c r="B23" i="1" l="1"/>
  <c r="B24" i="1" s="1"/>
  <c r="B43" i="1"/>
  <c r="C41" i="1"/>
  <c r="C42" i="1" s="1"/>
  <c r="C43" i="1"/>
  <c r="B41" i="1"/>
  <c r="B42" i="1" s="1"/>
  <c r="D56" i="1"/>
  <c r="C58" i="1"/>
  <c r="C18" i="1"/>
  <c r="C23" i="1" s="1"/>
  <c r="B75" i="1"/>
  <c r="B40" i="1"/>
  <c r="B25" i="1"/>
  <c r="G18" i="1"/>
  <c r="G23" i="1" s="1"/>
  <c r="G24" i="1" s="1"/>
  <c r="C39" i="1"/>
  <c r="E56" i="1" l="1"/>
  <c r="D58" i="1"/>
  <c r="C40" i="1"/>
  <c r="D40" i="1" s="1"/>
  <c r="E40" i="1" s="1"/>
  <c r="F40" i="1" s="1"/>
  <c r="G40" i="1" s="1"/>
  <c r="H40" i="1" s="1"/>
  <c r="I40" i="1" s="1"/>
  <c r="J40" i="1" s="1"/>
  <c r="F75" i="1"/>
  <c r="C75" i="1"/>
  <c r="H75" i="1"/>
  <c r="G75" i="1"/>
  <c r="I75" i="1"/>
  <c r="D75" i="1"/>
  <c r="J75" i="1"/>
  <c r="E75" i="1"/>
  <c r="F56" i="1" l="1"/>
  <c r="E58" i="1"/>
  <c r="E18" i="1"/>
  <c r="E23" i="1" s="1"/>
  <c r="B26" i="1" s="1"/>
  <c r="B27" i="1" s="1"/>
  <c r="G56" i="1" l="1"/>
  <c r="G58" i="1" s="1"/>
  <c r="F58" i="1"/>
  <c r="B28" i="1"/>
  <c r="C26" i="1"/>
  <c r="C27" i="1" s="1"/>
  <c r="C74" i="1"/>
  <c r="H74" i="1"/>
  <c r="E74" i="1"/>
  <c r="G74" i="1"/>
  <c r="D74" i="1"/>
  <c r="F74" i="1"/>
  <c r="I74" i="1"/>
  <c r="J74" i="1"/>
  <c r="B74" i="1"/>
  <c r="E24" i="1"/>
  <c r="B59" i="1" l="1"/>
  <c r="B48" i="1" s="1"/>
  <c r="C24" i="1"/>
  <c r="C25" i="1" l="1"/>
  <c r="D25" i="1" s="1"/>
  <c r="E25" i="1" s="1"/>
  <c r="F25" i="1" s="1"/>
  <c r="G25" i="1" s="1"/>
  <c r="H25" i="1" s="1"/>
  <c r="I25" i="1" s="1"/>
  <c r="C28" i="1"/>
</calcChain>
</file>

<file path=xl/sharedStrings.xml><?xml version="1.0" encoding="utf-8"?>
<sst xmlns="http://schemas.openxmlformats.org/spreadsheetml/2006/main" count="63" uniqueCount="30">
  <si>
    <t>Investeringsbeløb</t>
  </si>
  <si>
    <t>Energiforbrug</t>
  </si>
  <si>
    <t>Vareforbrug</t>
  </si>
  <si>
    <t>Mandskab</t>
  </si>
  <si>
    <t>Lønninger</t>
  </si>
  <si>
    <t>Prisen på energi</t>
  </si>
  <si>
    <t>Anlæg b</t>
  </si>
  <si>
    <t>Anlæg a</t>
  </si>
  <si>
    <t>ÅR</t>
  </si>
  <si>
    <t>Driftsudgifter</t>
  </si>
  <si>
    <t>Annuitetsværdi</t>
  </si>
  <si>
    <t>Antal dingenoter</t>
  </si>
  <si>
    <t>Leverings pris pr. dingenot</t>
  </si>
  <si>
    <t>Medarbejderomkostninger</t>
  </si>
  <si>
    <t>Produktionsomkostninger</t>
  </si>
  <si>
    <t>Energiudgifter</t>
  </si>
  <si>
    <t>Omsætning</t>
  </si>
  <si>
    <t>Nettobetalingsstrøm</t>
  </si>
  <si>
    <t>Nutidsværdi af nettobetalingsstrøm</t>
  </si>
  <si>
    <t>Nutidsværdi af nettobetalingsstrøm akk.</t>
  </si>
  <si>
    <t>Nutidsværdi i excel</t>
  </si>
  <si>
    <t>Internrente</t>
  </si>
  <si>
    <t>Nutidsværdi af nettobetalingsstrøm, netto</t>
  </si>
  <si>
    <t>Anlæg A</t>
  </si>
  <si>
    <t>Anlæg B</t>
  </si>
  <si>
    <t xml:space="preserve"> </t>
  </si>
  <si>
    <t>Tabel 1. Diskonteringsrenten</t>
  </si>
  <si>
    <t>Goal seek</t>
  </si>
  <si>
    <t>Variabel/%-vis fald i energi prisen</t>
  </si>
  <si>
    <t>NPV forskel: Anlæg a's NPV - Anlæg b's 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</si>
</sst>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_-* #,##0_-;\-* #,##0_-;_-* &quot;-&quot;??_-;_-@_-"/>
    <numFmt numFmtId="166" formatCode="#,##0_ ;[Red]\-#,##0\ "/>
    <numFmt numFmtId="167" formatCode="0.00000"/>
    <numFmt numFmtId="168" formatCode="0.00000000000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Helvetica"/>
      <family val="2"/>
    </font>
    <font>
      <b/>
      <sz val="12"/>
      <name val="Calibri"/>
      <family val="2"/>
    </font>
    <font>
      <sz val="12"/>
      <name val="Calibri"/>
      <family val="2"/>
    </font>
    <font>
      <i/>
      <sz val="12"/>
      <name val="Calibri"/>
      <family val="2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0" fontId="8" fillId="0" borderId="0"/>
  </cellStyleXfs>
  <cellXfs count="80">
    <xf numFmtId="0" fontId="0" fillId="0" borderId="0" xfId="0"/>
    <xf numFmtId="0" fontId="0" fillId="0" borderId="1" xfId="0" applyBorder="1"/>
    <xf numFmtId="0" fontId="0" fillId="0" borderId="1" xfId="0" applyFill="1" applyBorder="1"/>
    <xf numFmtId="3" fontId="0" fillId="0" borderId="0" xfId="0" applyNumberFormat="1"/>
    <xf numFmtId="0" fontId="13" fillId="0" borderId="0" xfId="0" applyFont="1"/>
    <xf numFmtId="9" fontId="0" fillId="0" borderId="0" xfId="2" applyFont="1"/>
    <xf numFmtId="10" fontId="0" fillId="0" borderId="0" xfId="2" applyNumberFormat="1" applyFont="1"/>
    <xf numFmtId="167" fontId="0" fillId="0" borderId="0" xfId="0" applyNumberFormat="1"/>
    <xf numFmtId="168" fontId="0" fillId="0" borderId="0" xfId="0" applyNumberFormat="1"/>
    <xf numFmtId="0" fontId="5" fillId="3" borderId="1" xfId="3" applyFont="1" applyFill="1" applyBorder="1"/>
    <xf numFmtId="0" fontId="5" fillId="3" borderId="1" xfId="3" applyFont="1" applyFill="1" applyBorder="1" applyAlignment="1">
      <alignment horizontal="left"/>
    </xf>
    <xf numFmtId="0" fontId="7" fillId="3" borderId="1" xfId="3" applyFont="1" applyFill="1" applyBorder="1" applyAlignment="1">
      <alignment horizontal="left"/>
    </xf>
    <xf numFmtId="0" fontId="3" fillId="3" borderId="0" xfId="0" applyFont="1" applyFill="1"/>
    <xf numFmtId="0" fontId="5" fillId="3" borderId="1" xfId="3" applyFont="1" applyFill="1" applyBorder="1" applyAlignment="1">
      <alignment horizontal="left" wrapText="1"/>
    </xf>
    <xf numFmtId="0" fontId="3" fillId="3" borderId="1" xfId="0" applyFont="1" applyFill="1" applyBorder="1"/>
    <xf numFmtId="3" fontId="5" fillId="3" borderId="1" xfId="4" applyNumberFormat="1" applyFont="1" applyFill="1" applyBorder="1"/>
    <xf numFmtId="0" fontId="5" fillId="3" borderId="1" xfId="3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0" fillId="3" borderId="1" xfId="0" applyFill="1" applyBorder="1"/>
    <xf numFmtId="0" fontId="9" fillId="4" borderId="1" xfId="0" applyFont="1" applyFill="1" applyBorder="1"/>
    <xf numFmtId="0" fontId="9" fillId="4" borderId="1" xfId="0" applyFont="1" applyFill="1" applyBorder="1" applyAlignment="1">
      <alignment horizontal="left" wrapText="1"/>
    </xf>
    <xf numFmtId="0" fontId="9" fillId="4" borderId="1" xfId="0" applyFont="1" applyFill="1" applyBorder="1" applyAlignment="1">
      <alignment horizontal="left"/>
    </xf>
    <xf numFmtId="0" fontId="11" fillId="4" borderId="1" xfId="0" applyFont="1" applyFill="1" applyBorder="1" applyAlignment="1">
      <alignment horizontal="left"/>
    </xf>
    <xf numFmtId="0" fontId="12" fillId="3" borderId="1" xfId="0" applyFont="1" applyFill="1" applyBorder="1"/>
    <xf numFmtId="3" fontId="9" fillId="4" borderId="1" xfId="0" applyNumberFormat="1" applyFont="1" applyFill="1" applyBorder="1"/>
    <xf numFmtId="0" fontId="0" fillId="0" borderId="0" xfId="0" applyFill="1"/>
    <xf numFmtId="3" fontId="14" fillId="5" borderId="1" xfId="3" applyNumberFormat="1" applyFont="1" applyFill="1" applyBorder="1" applyAlignment="1">
      <alignment horizontal="center" vertical="center"/>
    </xf>
    <xf numFmtId="3" fontId="6" fillId="5" borderId="1" xfId="3" applyNumberFormat="1" applyFont="1" applyFill="1" applyBorder="1" applyAlignment="1">
      <alignment horizontal="center" vertical="center"/>
    </xf>
    <xf numFmtId="3" fontId="6" fillId="0" borderId="1" xfId="3" applyNumberFormat="1" applyFont="1" applyFill="1" applyBorder="1" applyAlignment="1">
      <alignment horizontal="center" vertical="center"/>
    </xf>
    <xf numFmtId="3" fontId="6" fillId="2" borderId="1" xfId="3" applyNumberFormat="1" applyFont="1" applyFill="1" applyBorder="1" applyAlignment="1">
      <alignment horizontal="center" vertical="center"/>
    </xf>
    <xf numFmtId="3" fontId="14" fillId="0" borderId="1" xfId="3" applyNumberFormat="1" applyFont="1" applyFill="1" applyBorder="1" applyAlignment="1">
      <alignment horizontal="center" vertical="center"/>
    </xf>
    <xf numFmtId="165" fontId="3" fillId="5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3" fontId="2" fillId="5" borderId="3" xfId="0" applyNumberFormat="1" applyFont="1" applyFill="1" applyBorder="1" applyAlignment="1">
      <alignment horizontal="center" vertical="center"/>
    </xf>
    <xf numFmtId="3" fontId="10" fillId="0" borderId="3" xfId="0" applyNumberFormat="1" applyFont="1" applyFill="1" applyBorder="1" applyAlignment="1">
      <alignment horizontal="center" vertical="center"/>
    </xf>
    <xf numFmtId="3" fontId="10" fillId="5" borderId="3" xfId="0" applyNumberFormat="1" applyFont="1" applyFill="1" applyBorder="1" applyAlignment="1">
      <alignment horizontal="center" vertical="center"/>
    </xf>
    <xf numFmtId="3" fontId="2" fillId="0" borderId="3" xfId="0" applyNumberFormat="1" applyFont="1" applyFill="1" applyBorder="1" applyAlignment="1">
      <alignment horizontal="center" vertical="center"/>
    </xf>
    <xf numFmtId="166" fontId="10" fillId="0" borderId="3" xfId="0" applyNumberFormat="1" applyFont="1" applyFill="1" applyBorder="1" applyAlignment="1">
      <alignment horizontal="center" vertical="center"/>
    </xf>
    <xf numFmtId="166" fontId="13" fillId="5" borderId="3" xfId="0" applyNumberFormat="1" applyFont="1" applyFill="1" applyBorder="1" applyAlignment="1">
      <alignment horizontal="center" vertical="center"/>
    </xf>
    <xf numFmtId="3" fontId="12" fillId="0" borderId="3" xfId="0" applyNumberFormat="1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12" fillId="5" borderId="3" xfId="0" applyNumberFormat="1" applyFont="1" applyFill="1" applyBorder="1" applyAlignment="1">
      <alignment horizontal="center" vertical="center"/>
    </xf>
    <xf numFmtId="9" fontId="12" fillId="0" borderId="3" xfId="0" applyNumberFormat="1" applyFont="1" applyFill="1" applyBorder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3" fontId="10" fillId="6" borderId="3" xfId="0" applyNumberFormat="1" applyFont="1" applyFill="1" applyBorder="1" applyAlignment="1">
      <alignment horizontal="center" vertical="center"/>
    </xf>
    <xf numFmtId="3" fontId="2" fillId="6" borderId="3" xfId="0" applyNumberFormat="1" applyFont="1" applyFill="1" applyBorder="1" applyAlignment="1">
      <alignment horizontal="center" vertical="center"/>
    </xf>
    <xf numFmtId="0" fontId="6" fillId="6" borderId="1" xfId="3" applyFont="1" applyFill="1" applyBorder="1" applyAlignment="1">
      <alignment horizontal="center" vertical="center"/>
    </xf>
    <xf numFmtId="3" fontId="6" fillId="6" borderId="1" xfId="3" applyNumberFormat="1" applyFont="1" applyFill="1" applyBorder="1" applyAlignment="1">
      <alignment horizontal="center" vertical="center"/>
    </xf>
    <xf numFmtId="2" fontId="6" fillId="6" borderId="1" xfId="3" applyNumberFormat="1" applyFont="1" applyFill="1" applyBorder="1" applyAlignment="1">
      <alignment horizontal="center" vertical="center"/>
    </xf>
    <xf numFmtId="165" fontId="13" fillId="0" borderId="1" xfId="0" applyNumberFormat="1" applyFont="1" applyFill="1" applyBorder="1" applyAlignment="1">
      <alignment horizontal="center" vertical="center"/>
    </xf>
    <xf numFmtId="165" fontId="13" fillId="5" borderId="1" xfId="1" applyNumberFormat="1" applyFont="1" applyFill="1" applyBorder="1" applyAlignment="1">
      <alignment horizontal="center" vertical="center"/>
    </xf>
    <xf numFmtId="0" fontId="0" fillId="0" borderId="0" xfId="0" applyFill="1" applyBorder="1"/>
    <xf numFmtId="2" fontId="6" fillId="0" borderId="0" xfId="3" applyNumberFormat="1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0" borderId="0" xfId="0" applyBorder="1"/>
    <xf numFmtId="165" fontId="0" fillId="0" borderId="0" xfId="1" applyNumberFormat="1" applyFont="1" applyBorder="1"/>
    <xf numFmtId="165" fontId="0" fillId="0" borderId="0" xfId="1" applyNumberFormat="1" applyFont="1" applyFill="1" applyBorder="1"/>
    <xf numFmtId="9" fontId="0" fillId="0" borderId="0" xfId="2" applyFont="1" applyFill="1" applyBorder="1"/>
    <xf numFmtId="165" fontId="0" fillId="5" borderId="1" xfId="1" applyNumberFormat="1" applyFont="1" applyFill="1" applyBorder="1"/>
    <xf numFmtId="0" fontId="0" fillId="5" borderId="1" xfId="0" applyFill="1" applyBorder="1"/>
    <xf numFmtId="9" fontId="0" fillId="5" borderId="1" xfId="2" applyFont="1" applyFill="1" applyBorder="1"/>
    <xf numFmtId="0" fontId="0" fillId="3" borderId="4" xfId="0" applyFill="1" applyBorder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/>
    <xf numFmtId="3" fontId="0" fillId="0" borderId="1" xfId="0" applyNumberFormat="1" applyBorder="1"/>
    <xf numFmtId="3" fontId="0" fillId="5" borderId="1" xfId="0" applyNumberFormat="1" applyFill="1" applyBorder="1"/>
    <xf numFmtId="0" fontId="9" fillId="0" borderId="0" xfId="0" applyFont="1" applyFill="1" applyBorder="1" applyAlignment="1">
      <alignment horizontal="center"/>
    </xf>
    <xf numFmtId="2" fontId="6" fillId="0" borderId="0" xfId="3" applyNumberFormat="1" applyFont="1" applyFill="1" applyBorder="1" applyAlignment="1">
      <alignment horizontal="center" vertical="center"/>
    </xf>
    <xf numFmtId="3" fontId="6" fillId="0" borderId="0" xfId="3" applyNumberFormat="1" applyFont="1" applyFill="1" applyBorder="1" applyAlignment="1">
      <alignment horizontal="center" vertical="center"/>
    </xf>
    <xf numFmtId="166" fontId="6" fillId="0" borderId="1" xfId="3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9" fontId="0" fillId="0" borderId="0" xfId="0" applyNumberFormat="1" applyFill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166" fontId="0" fillId="5" borderId="1" xfId="0" applyNumberFormat="1" applyFill="1" applyBorder="1" applyAlignment="1">
      <alignment horizontal="center" vertical="center"/>
    </xf>
    <xf numFmtId="165" fontId="0" fillId="5" borderId="1" xfId="1" applyNumberFormat="1" applyFont="1" applyFill="1" applyBorder="1" applyAlignment="1">
      <alignment horizontal="center" vertical="center"/>
    </xf>
    <xf numFmtId="10" fontId="3" fillId="0" borderId="1" xfId="0" applyNumberFormat="1" applyFont="1" applyBorder="1"/>
  </cellXfs>
  <cellStyles count="5">
    <cellStyle name="Comma" xfId="1" builtinId="3"/>
    <cellStyle name="Normal" xfId="0" builtinId="0"/>
    <cellStyle name="Normal 2" xfId="3" xr:uid="{B7A1CB4B-E91C-9542-B1E4-160FE1C484B9}"/>
    <cellStyle name="Normal 2 2" xfId="4" xr:uid="{F6DB80CF-9BC5-C94D-BCC3-A13C209A0985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Figur 1. Ændring</a:t>
            </a:r>
            <a:r>
              <a:rPr lang="da-DK" baseline="0"/>
              <a:t> i diskonteringsrentens påvirkning på NPV</a:t>
            </a:r>
            <a:r>
              <a:rPr lang="da-DK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000567255856209E-2"/>
          <c:y val="0.11124446632918507"/>
          <c:w val="0.89425254934339826"/>
          <c:h val="0.7505670942456909"/>
        </c:manualLayout>
      </c:layout>
      <c:lineChart>
        <c:grouping val="standard"/>
        <c:varyColors val="0"/>
        <c:ser>
          <c:idx val="0"/>
          <c:order val="0"/>
          <c:tx>
            <c:strRef>
              <c:f>'Ark1'!$A$74</c:f>
              <c:strCache>
                <c:ptCount val="1"/>
                <c:pt idx="0">
                  <c:v>Anlæg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'Ark1'!$B$73:$J$73</c:f>
              <c:numCache>
                <c:formatCode>0.00%</c:formatCode>
                <c:ptCount val="9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</c:numCache>
            </c:numRef>
          </c:cat>
          <c:val>
            <c:numRef>
              <c:f>'Ark1'!$B$74:$J$74</c:f>
              <c:numCache>
                <c:formatCode>#,##0</c:formatCode>
                <c:ptCount val="9"/>
                <c:pt idx="0">
                  <c:v>17765480</c:v>
                </c:pt>
                <c:pt idx="1">
                  <c:v>12857318.963443846</c:v>
                </c:pt>
                <c:pt idx="2">
                  <c:v>8914164.9102458134</c:v>
                </c:pt>
                <c:pt idx="3">
                  <c:v>5703426.6933132745</c:v>
                </c:pt>
                <c:pt idx="4">
                  <c:v>3056969.8405349776</c:v>
                </c:pt>
                <c:pt idx="5">
                  <c:v>851249.91488000005</c:v>
                </c:pt>
                <c:pt idx="6">
                  <c:v>-1005882.7132210955</c:v>
                </c:pt>
                <c:pt idx="7">
                  <c:v>-2584113.2607577723</c:v>
                </c:pt>
                <c:pt idx="8">
                  <c:v>-3936811.7641458921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3D-AC43-9D85-D824A4B3020A}"/>
            </c:ext>
          </c:extLst>
        </c:ser>
        <c:ser>
          <c:idx val="1"/>
          <c:order val="1"/>
          <c:tx>
            <c:strRef>
              <c:f>'Ark1'!$A$75</c:f>
              <c:strCache>
                <c:ptCount val="1"/>
                <c:pt idx="0">
                  <c:v>Anlæg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'Ark1'!$B$73:$J$73</c:f>
              <c:numCache>
                <c:formatCode>0.00%</c:formatCode>
                <c:ptCount val="9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</c:numCache>
            </c:numRef>
          </c:cat>
          <c:val>
            <c:numRef>
              <c:f>'Ark1'!$B$75:$J$75</c:f>
              <c:numCache>
                <c:formatCode>#,##0</c:formatCode>
                <c:ptCount val="9"/>
                <c:pt idx="0">
                  <c:v>14088540</c:v>
                </c:pt>
                <c:pt idx="1">
                  <c:v>10733034.738651171</c:v>
                </c:pt>
                <c:pt idx="2">
                  <c:v>8037264.5564448461</c:v>
                </c:pt>
                <c:pt idx="3">
                  <c:v>5842216.5742192455</c:v>
                </c:pt>
                <c:pt idx="4">
                  <c:v>4032944.2566872463</c:v>
                </c:pt>
                <c:pt idx="5">
                  <c:v>2524985.4182399996</c:v>
                </c:pt>
                <c:pt idx="6">
                  <c:v>1255341.195444027</c:v>
                </c:pt>
                <c:pt idx="7">
                  <c:v>176370.70803789794</c:v>
                </c:pt>
                <c:pt idx="8">
                  <c:v>-748412.91485690512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3D-AC43-9D85-D824A4B30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175392"/>
        <c:axId val="52812480"/>
      </c:lineChart>
      <c:catAx>
        <c:axId val="5417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12480"/>
        <c:crosses val="autoZero"/>
        <c:auto val="1"/>
        <c:lblAlgn val="ctr"/>
        <c:lblOffset val="100"/>
        <c:noMultiLvlLbl val="0"/>
      </c:catAx>
      <c:valAx>
        <c:axId val="52812480"/>
        <c:scaling>
          <c:orientation val="minMax"/>
          <c:min val="-5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5392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174688340074556E-2"/>
                <c:y val="3.6261676945803394E-2"/>
              </c:manualLayout>
            </c:layout>
            <c:tx>
              <c:rich>
                <a:bodyPr rot="0" spcFirstLastPara="1" vertOverflow="ellipsis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da-DK"/>
                    <a:t>Millioner DKK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695802</xdr:colOff>
      <xdr:row>75</xdr:row>
      <xdr:rowOff>113928</xdr:rowOff>
    </xdr:from>
    <xdr:to>
      <xdr:col>7</xdr:col>
      <xdr:colOff>387151</xdr:colOff>
      <xdr:row>96</xdr:row>
      <xdr:rowOff>15138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CF0854CE-5DEC-1746-BC96-9F564414B0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5DC59-87E2-8446-A808-7C5E72697B71}">
  <dimension ref="A4:P75"/>
  <sheetViews>
    <sheetView tabSelected="1" zoomScale="88" workbookViewId="0">
      <selection activeCell="A13" sqref="A13"/>
    </sheetView>
  </sheetViews>
  <sheetFormatPr baseColWidth="10" defaultRowHeight="16" x14ac:dyDescent="0.2"/>
  <cols>
    <col min="1" max="1" width="39.5" customWidth="1"/>
    <col min="2" max="2" width="14.5" customWidth="1"/>
    <col min="3" max="3" width="16.1640625" bestFit="1" customWidth="1"/>
    <col min="4" max="4" width="18.5" customWidth="1"/>
    <col min="5" max="5" width="13.33203125" customWidth="1"/>
    <col min="6" max="6" width="12.5" customWidth="1"/>
    <col min="7" max="7" width="13" customWidth="1"/>
    <col min="8" max="8" width="11.6640625" customWidth="1"/>
    <col min="9" max="9" width="11.83203125" bestFit="1" customWidth="1"/>
    <col min="10" max="10" width="16.83203125" bestFit="1" customWidth="1"/>
    <col min="11" max="11" width="11.6640625" customWidth="1"/>
    <col min="12" max="12" width="11.1640625" customWidth="1"/>
    <col min="13" max="13" width="12" customWidth="1"/>
    <col min="14" max="14" width="11.83203125" customWidth="1"/>
    <col min="15" max="15" width="12.1640625" customWidth="1"/>
  </cols>
  <sheetData>
    <row r="4" spans="1:16" x14ac:dyDescent="0.2">
      <c r="A4" s="25"/>
      <c r="B4" s="64" t="s">
        <v>7</v>
      </c>
      <c r="C4" s="64" t="s">
        <v>6</v>
      </c>
      <c r="D4" s="56"/>
      <c r="E4" s="56"/>
    </row>
    <row r="5" spans="1:16" x14ac:dyDescent="0.2">
      <c r="A5" s="63" t="s">
        <v>0</v>
      </c>
      <c r="B5" s="60">
        <f>18834000</f>
        <v>18834000</v>
      </c>
      <c r="C5" s="60">
        <v>10933000</v>
      </c>
      <c r="D5" s="56"/>
      <c r="E5" s="57"/>
    </row>
    <row r="6" spans="1:16" x14ac:dyDescent="0.2">
      <c r="A6" s="63" t="s">
        <v>1</v>
      </c>
      <c r="B6" s="1">
        <f>852</f>
        <v>852</v>
      </c>
      <c r="C6" s="1">
        <v>1621</v>
      </c>
      <c r="D6" s="56"/>
      <c r="E6" s="56"/>
      <c r="J6" s="8"/>
      <c r="K6" s="7"/>
      <c r="L6" s="7"/>
      <c r="M6" s="7"/>
      <c r="N6" s="7"/>
      <c r="O6" s="7"/>
      <c r="P6" s="7"/>
    </row>
    <row r="7" spans="1:16" x14ac:dyDescent="0.2">
      <c r="A7" s="63" t="s">
        <v>2</v>
      </c>
      <c r="B7" s="61">
        <v>35.5</v>
      </c>
      <c r="C7" s="61">
        <v>50.25</v>
      </c>
      <c r="D7" s="56"/>
      <c r="E7" s="56"/>
      <c r="K7" s="7"/>
      <c r="L7" s="7"/>
      <c r="M7" s="7"/>
      <c r="N7" s="7"/>
      <c r="O7" s="7"/>
    </row>
    <row r="8" spans="1:16" x14ac:dyDescent="0.2">
      <c r="A8" s="63" t="s">
        <v>3</v>
      </c>
      <c r="B8" s="1">
        <v>3</v>
      </c>
      <c r="C8" s="1">
        <v>5</v>
      </c>
      <c r="D8" s="56"/>
      <c r="E8" s="56"/>
    </row>
    <row r="9" spans="1:16" x14ac:dyDescent="0.2">
      <c r="A9" s="63" t="s">
        <v>4</v>
      </c>
      <c r="B9" s="60">
        <v>423000</v>
      </c>
      <c r="C9" s="60">
        <v>423000</v>
      </c>
      <c r="D9" s="56"/>
      <c r="E9" s="57"/>
    </row>
    <row r="10" spans="1:16" x14ac:dyDescent="0.2">
      <c r="A10" s="63" t="s">
        <v>5</v>
      </c>
      <c r="B10" s="1">
        <v>952</v>
      </c>
      <c r="C10" s="1">
        <f>B10</f>
        <v>952</v>
      </c>
      <c r="D10" s="56"/>
      <c r="E10" s="56"/>
    </row>
    <row r="11" spans="1:16" x14ac:dyDescent="0.2">
      <c r="A11" s="63" t="s">
        <v>11</v>
      </c>
      <c r="B11" s="60">
        <v>50000</v>
      </c>
      <c r="C11" s="60">
        <v>50000</v>
      </c>
      <c r="D11" s="53"/>
      <c r="E11" s="58"/>
    </row>
    <row r="12" spans="1:16" x14ac:dyDescent="0.2">
      <c r="A12" s="63" t="s">
        <v>12</v>
      </c>
      <c r="B12" s="2">
        <v>223.5</v>
      </c>
      <c r="C12" s="2">
        <v>223.5</v>
      </c>
      <c r="D12" s="53"/>
      <c r="E12" s="53"/>
      <c r="L12" s="4"/>
    </row>
    <row r="13" spans="1:16" x14ac:dyDescent="0.2">
      <c r="A13" s="63" t="str">
        <f>A73</f>
        <v>Tabel 1. Diskonteringsrenten</v>
      </c>
      <c r="B13" s="62">
        <v>0.1</v>
      </c>
      <c r="C13" s="62">
        <v>0.1</v>
      </c>
      <c r="D13" s="53"/>
      <c r="E13" s="59"/>
      <c r="F13" t="s">
        <v>25</v>
      </c>
      <c r="L13" s="6"/>
    </row>
    <row r="15" spans="1:16" x14ac:dyDescent="0.2">
      <c r="A15" s="18" t="s">
        <v>7</v>
      </c>
      <c r="J15" s="53"/>
    </row>
    <row r="16" spans="1:16" x14ac:dyDescent="0.2">
      <c r="A16" s="9" t="s">
        <v>8</v>
      </c>
      <c r="B16" s="16">
        <v>2021</v>
      </c>
      <c r="C16" s="17">
        <v>2022</v>
      </c>
      <c r="D16" s="17">
        <v>2023</v>
      </c>
      <c r="E16" s="17">
        <v>2024</v>
      </c>
      <c r="F16" s="17">
        <v>2025</v>
      </c>
      <c r="G16" s="17">
        <v>2026</v>
      </c>
      <c r="H16" s="17">
        <v>2027</v>
      </c>
      <c r="I16" s="55">
        <v>2028</v>
      </c>
      <c r="J16" s="54"/>
    </row>
    <row r="17" spans="1:14" x14ac:dyDescent="0.2">
      <c r="A17" s="10" t="s">
        <v>0</v>
      </c>
      <c r="B17" s="26">
        <f>-B5</f>
        <v>-18834000</v>
      </c>
      <c r="C17" s="49"/>
      <c r="D17" s="49"/>
      <c r="E17" s="49"/>
      <c r="F17" s="49"/>
      <c r="G17" s="49"/>
      <c r="H17" s="50"/>
      <c r="I17" s="50"/>
      <c r="J17" s="54"/>
      <c r="L17" s="5"/>
      <c r="N17" s="3"/>
    </row>
    <row r="18" spans="1:14" x14ac:dyDescent="0.2">
      <c r="A18" s="10" t="s">
        <v>9</v>
      </c>
      <c r="B18" s="48"/>
      <c r="C18" s="28">
        <f>SUM(C19:C21)</f>
        <v>-3855104</v>
      </c>
      <c r="D18" s="28">
        <f t="shared" ref="D18:G18" si="0">SUM(D19:D21)</f>
        <v>-3855104</v>
      </c>
      <c r="E18" s="28">
        <f t="shared" si="0"/>
        <v>-3855104</v>
      </c>
      <c r="F18" s="28">
        <f t="shared" si="0"/>
        <v>-3855104</v>
      </c>
      <c r="G18" s="28">
        <f t="shared" si="0"/>
        <v>-3855104</v>
      </c>
      <c r="H18" s="28">
        <f t="shared" ref="H18" si="1">SUM(H19:H21)</f>
        <v>-3855104</v>
      </c>
      <c r="I18" s="28">
        <f t="shared" ref="I18" si="2">SUM(I19:I21)</f>
        <v>-3855104</v>
      </c>
      <c r="J18" s="54"/>
      <c r="L18" s="5"/>
    </row>
    <row r="19" spans="1:14" x14ac:dyDescent="0.2">
      <c r="A19" s="11" t="s">
        <v>14</v>
      </c>
      <c r="B19" s="48"/>
      <c r="C19" s="27">
        <f>-$B$11*$B$7</f>
        <v>-1775000</v>
      </c>
      <c r="D19" s="27">
        <f t="shared" ref="D19:I19" si="3">-$B$11*$B$7</f>
        <v>-1775000</v>
      </c>
      <c r="E19" s="27">
        <f t="shared" si="3"/>
        <v>-1775000</v>
      </c>
      <c r="F19" s="27">
        <f t="shared" si="3"/>
        <v>-1775000</v>
      </c>
      <c r="G19" s="27">
        <f t="shared" si="3"/>
        <v>-1775000</v>
      </c>
      <c r="H19" s="27">
        <f t="shared" si="3"/>
        <v>-1775000</v>
      </c>
      <c r="I19" s="27">
        <f t="shared" si="3"/>
        <v>-1775000</v>
      </c>
      <c r="J19" s="54"/>
      <c r="K19" s="54"/>
      <c r="L19" s="54"/>
    </row>
    <row r="20" spans="1:14" x14ac:dyDescent="0.2">
      <c r="A20" s="11" t="s">
        <v>13</v>
      </c>
      <c r="B20" s="49"/>
      <c r="C20" s="29">
        <f t="shared" ref="C20:I20" si="4">-$B$8*$B$9</f>
        <v>-1269000</v>
      </c>
      <c r="D20" s="29">
        <f t="shared" si="4"/>
        <v>-1269000</v>
      </c>
      <c r="E20" s="29">
        <f t="shared" si="4"/>
        <v>-1269000</v>
      </c>
      <c r="F20" s="29">
        <f t="shared" si="4"/>
        <v>-1269000</v>
      </c>
      <c r="G20" s="29">
        <f t="shared" si="4"/>
        <v>-1269000</v>
      </c>
      <c r="H20" s="29">
        <f t="shared" si="4"/>
        <v>-1269000</v>
      </c>
      <c r="I20" s="29">
        <f t="shared" si="4"/>
        <v>-1269000</v>
      </c>
      <c r="J20" s="54"/>
      <c r="K20" s="54"/>
      <c r="L20" s="54"/>
    </row>
    <row r="21" spans="1:14" x14ac:dyDescent="0.2">
      <c r="A21" s="11" t="s">
        <v>15</v>
      </c>
      <c r="B21" s="49"/>
      <c r="C21" s="27">
        <f>-$B$6*$B$10</f>
        <v>-811104</v>
      </c>
      <c r="D21" s="27">
        <f t="shared" ref="D21:I21" si="5">-$B$6*$B$10</f>
        <v>-811104</v>
      </c>
      <c r="E21" s="27">
        <f t="shared" si="5"/>
        <v>-811104</v>
      </c>
      <c r="F21" s="27">
        <f t="shared" si="5"/>
        <v>-811104</v>
      </c>
      <c r="G21" s="27">
        <f t="shared" si="5"/>
        <v>-811104</v>
      </c>
      <c r="H21" s="27">
        <f t="shared" si="5"/>
        <v>-811104</v>
      </c>
      <c r="I21" s="27">
        <f t="shared" si="5"/>
        <v>-811104</v>
      </c>
      <c r="J21" s="54"/>
      <c r="K21" s="54"/>
      <c r="L21" s="54"/>
    </row>
    <row r="22" spans="1:14" x14ac:dyDescent="0.2">
      <c r="A22" s="12" t="s">
        <v>16</v>
      </c>
      <c r="B22" s="49"/>
      <c r="C22" s="29">
        <f>$B$12*$B$11</f>
        <v>11175000</v>
      </c>
      <c r="D22" s="29">
        <f t="shared" ref="D22:I22" si="6">$B$12*$B$11</f>
        <v>11175000</v>
      </c>
      <c r="E22" s="29">
        <f t="shared" si="6"/>
        <v>11175000</v>
      </c>
      <c r="F22" s="29">
        <f t="shared" si="6"/>
        <v>11175000</v>
      </c>
      <c r="G22" s="29">
        <f t="shared" si="6"/>
        <v>11175000</v>
      </c>
      <c r="H22" s="29">
        <f t="shared" si="6"/>
        <v>11175000</v>
      </c>
      <c r="I22" s="29">
        <f t="shared" si="6"/>
        <v>11175000</v>
      </c>
      <c r="J22" s="54"/>
      <c r="K22" s="54"/>
      <c r="L22" s="54"/>
    </row>
    <row r="23" spans="1:14" ht="17" x14ac:dyDescent="0.2">
      <c r="A23" s="13" t="s">
        <v>17</v>
      </c>
      <c r="B23" s="26">
        <f>SUM(B17:B22)</f>
        <v>-18834000</v>
      </c>
      <c r="C23" s="27">
        <f>C22+C18</f>
        <v>7319896</v>
      </c>
      <c r="D23" s="27">
        <f t="shared" ref="D23:G23" si="7">D22+D18</f>
        <v>7319896</v>
      </c>
      <c r="E23" s="27">
        <f t="shared" si="7"/>
        <v>7319896</v>
      </c>
      <c r="F23" s="27">
        <f t="shared" si="7"/>
        <v>7319896</v>
      </c>
      <c r="G23" s="27">
        <f t="shared" si="7"/>
        <v>7319896</v>
      </c>
      <c r="H23" s="27">
        <f t="shared" ref="H23" si="8">H22+H18</f>
        <v>7319896</v>
      </c>
      <c r="I23" s="27">
        <f t="shared" ref="I23" si="9">I22+I18</f>
        <v>7319896</v>
      </c>
      <c r="J23" s="54"/>
      <c r="K23" s="54"/>
      <c r="L23" s="54"/>
    </row>
    <row r="24" spans="1:14" x14ac:dyDescent="0.2">
      <c r="A24" s="10" t="s">
        <v>18</v>
      </c>
      <c r="B24" s="30">
        <f>SUM(B18:B23)</f>
        <v>-18834000</v>
      </c>
      <c r="C24" s="71">
        <f>C23/1.1^(C16-2021)</f>
        <v>6654450.9090909082</v>
      </c>
      <c r="D24" s="71">
        <f t="shared" ref="D24:G24" si="10">D23/1.1^(D16-2021)</f>
        <v>6049500.8264462799</v>
      </c>
      <c r="E24" s="71">
        <f t="shared" si="10"/>
        <v>5499546.2058602534</v>
      </c>
      <c r="F24" s="71">
        <f t="shared" si="10"/>
        <v>4999587.4598729583</v>
      </c>
      <c r="G24" s="71">
        <f t="shared" si="10"/>
        <v>4545079.5089754164</v>
      </c>
      <c r="H24" s="71">
        <f t="shared" ref="H24" si="11">H23/1.1^(H16-2021)</f>
        <v>4131890.4627049235</v>
      </c>
      <c r="I24" s="71">
        <f t="shared" ref="I24" si="12">I23/1.1^(I16-2021)</f>
        <v>3756264.057004475</v>
      </c>
      <c r="J24" s="54"/>
      <c r="K24" s="54"/>
      <c r="L24" s="54"/>
    </row>
    <row r="25" spans="1:14" x14ac:dyDescent="0.2">
      <c r="A25" s="10" t="s">
        <v>19</v>
      </c>
      <c r="B25" s="76">
        <f>B24</f>
        <v>-18834000</v>
      </c>
      <c r="C25" s="77">
        <f>B25+C24</f>
        <v>-12179549.090909092</v>
      </c>
      <c r="D25" s="77">
        <f>C25+D24</f>
        <v>-6130048.2644628119</v>
      </c>
      <c r="E25" s="77">
        <f>D25+E24</f>
        <v>-630502.05860255845</v>
      </c>
      <c r="F25" s="77">
        <f t="shared" ref="F25:G25" si="13">E25+F24</f>
        <v>4369085.4012703998</v>
      </c>
      <c r="G25" s="77">
        <f t="shared" si="13"/>
        <v>8914164.9102458172</v>
      </c>
      <c r="H25" s="77">
        <f t="shared" ref="H25" si="14">G25+H24</f>
        <v>13046055.37295074</v>
      </c>
      <c r="I25" s="77">
        <f t="shared" ref="I25" si="15">H25+I24</f>
        <v>16802319.429955214</v>
      </c>
    </row>
    <row r="26" spans="1:14" x14ac:dyDescent="0.2">
      <c r="A26" s="14" t="s">
        <v>20</v>
      </c>
      <c r="B26" s="72">
        <f>NPV(B13,C23:G23)+B23</f>
        <v>8914164.9102458134</v>
      </c>
      <c r="C26" s="32">
        <f>NPV(B13,C23:I23)+B23</f>
        <v>16802319.429955207</v>
      </c>
      <c r="D26" s="73">
        <f>B27/$B$13</f>
        <v>23515342.467117634</v>
      </c>
      <c r="E26" s="41"/>
      <c r="F26" s="41"/>
      <c r="G26" s="41"/>
      <c r="H26" s="41"/>
      <c r="I26" s="41"/>
    </row>
    <row r="27" spans="1:14" x14ac:dyDescent="0.2">
      <c r="A27" s="15" t="s">
        <v>10</v>
      </c>
      <c r="B27" s="31">
        <f>-PMT(B13,5,B26)</f>
        <v>2351534.2467117636</v>
      </c>
      <c r="C27" s="31">
        <f>-PMT(B13,7,C26)</f>
        <v>3451288.8186389776</v>
      </c>
      <c r="D27" s="78">
        <f>C27/$B$13</f>
        <v>34512888.186389774</v>
      </c>
      <c r="E27" s="41"/>
      <c r="F27" s="41"/>
      <c r="G27" s="41"/>
      <c r="H27" s="41"/>
      <c r="I27" s="74"/>
    </row>
    <row r="28" spans="1:14" x14ac:dyDescent="0.2">
      <c r="A28" s="14" t="s">
        <v>21</v>
      </c>
      <c r="B28" s="44">
        <f>IRR(B23:G23)</f>
        <v>0.2718858899059442</v>
      </c>
      <c r="C28" s="44">
        <f>IRR(B24:I24)</f>
        <v>0.21639796393863908</v>
      </c>
      <c r="D28" s="41"/>
      <c r="E28" s="41"/>
      <c r="F28" s="41"/>
      <c r="G28" s="41"/>
      <c r="H28" s="41"/>
      <c r="I28" s="75"/>
    </row>
    <row r="30" spans="1:14" x14ac:dyDescent="0.2">
      <c r="A30" s="18" t="s">
        <v>6</v>
      </c>
    </row>
    <row r="31" spans="1:14" x14ac:dyDescent="0.2">
      <c r="A31" s="19" t="s">
        <v>8</v>
      </c>
      <c r="B31" s="17">
        <v>2021</v>
      </c>
      <c r="C31" s="17">
        <v>2022</v>
      </c>
      <c r="D31" s="17">
        <v>2023</v>
      </c>
      <c r="E31" s="17">
        <v>2024</v>
      </c>
      <c r="F31" s="17">
        <v>2025</v>
      </c>
      <c r="G31" s="17">
        <v>2026</v>
      </c>
      <c r="H31" s="17">
        <v>2027</v>
      </c>
      <c r="I31" s="17">
        <v>2028</v>
      </c>
      <c r="J31" s="17">
        <v>2029</v>
      </c>
    </row>
    <row r="32" spans="1:14" x14ac:dyDescent="0.2">
      <c r="A32" s="21" t="s">
        <v>0</v>
      </c>
      <c r="B32" s="33">
        <f>-C5</f>
        <v>-10933000</v>
      </c>
      <c r="C32" s="47"/>
      <c r="D32" s="47"/>
      <c r="E32" s="47"/>
      <c r="F32" s="47"/>
      <c r="G32" s="47"/>
      <c r="H32" s="47"/>
      <c r="I32" s="47"/>
      <c r="J32" s="47"/>
    </row>
    <row r="33" spans="1:10" x14ac:dyDescent="0.2">
      <c r="A33" s="21" t="s">
        <v>9</v>
      </c>
      <c r="B33" s="45"/>
      <c r="C33" s="34">
        <f>SUM(C34:C36)</f>
        <v>-6170692</v>
      </c>
      <c r="D33" s="34">
        <f t="shared" ref="D33:J33" si="16">SUM(D34:D36)</f>
        <v>-6170692</v>
      </c>
      <c r="E33" s="34">
        <f t="shared" si="16"/>
        <v>-6170692</v>
      </c>
      <c r="F33" s="34">
        <f t="shared" si="16"/>
        <v>-6170692</v>
      </c>
      <c r="G33" s="34">
        <f t="shared" si="16"/>
        <v>-6170692</v>
      </c>
      <c r="H33" s="34">
        <f t="shared" si="16"/>
        <v>-6170692</v>
      </c>
      <c r="I33" s="34">
        <f t="shared" si="16"/>
        <v>-6170692</v>
      </c>
      <c r="J33" s="34">
        <f t="shared" si="16"/>
        <v>-6170692</v>
      </c>
    </row>
    <row r="34" spans="1:10" x14ac:dyDescent="0.2">
      <c r="A34" s="22" t="s">
        <v>14</v>
      </c>
      <c r="B34" s="45"/>
      <c r="C34" s="35">
        <f>-$C$7*$C$11</f>
        <v>-2512500</v>
      </c>
      <c r="D34" s="35">
        <f t="shared" ref="D34:J34" si="17">-$C$7*$C$11</f>
        <v>-2512500</v>
      </c>
      <c r="E34" s="35">
        <f t="shared" si="17"/>
        <v>-2512500</v>
      </c>
      <c r="F34" s="35">
        <f t="shared" si="17"/>
        <v>-2512500</v>
      </c>
      <c r="G34" s="35">
        <f t="shared" si="17"/>
        <v>-2512500</v>
      </c>
      <c r="H34" s="35">
        <f t="shared" si="17"/>
        <v>-2512500</v>
      </c>
      <c r="I34" s="35">
        <f t="shared" si="17"/>
        <v>-2512500</v>
      </c>
      <c r="J34" s="35">
        <f t="shared" si="17"/>
        <v>-2512500</v>
      </c>
    </row>
    <row r="35" spans="1:10" x14ac:dyDescent="0.2">
      <c r="A35" s="22" t="s">
        <v>13</v>
      </c>
      <c r="B35" s="46"/>
      <c r="C35" s="34">
        <f>-$C$9*$C$8</f>
        <v>-2115000</v>
      </c>
      <c r="D35" s="34">
        <f t="shared" ref="D35:J35" si="18">-$C$9*$C$8</f>
        <v>-2115000</v>
      </c>
      <c r="E35" s="34">
        <f t="shared" si="18"/>
        <v>-2115000</v>
      </c>
      <c r="F35" s="34">
        <f t="shared" si="18"/>
        <v>-2115000</v>
      </c>
      <c r="G35" s="34">
        <f t="shared" si="18"/>
        <v>-2115000</v>
      </c>
      <c r="H35" s="34">
        <f t="shared" si="18"/>
        <v>-2115000</v>
      </c>
      <c r="I35" s="34">
        <f t="shared" si="18"/>
        <v>-2115000</v>
      </c>
      <c r="J35" s="34">
        <f t="shared" si="18"/>
        <v>-2115000</v>
      </c>
    </row>
    <row r="36" spans="1:10" x14ac:dyDescent="0.2">
      <c r="A36" s="22" t="s">
        <v>15</v>
      </c>
      <c r="B36" s="46"/>
      <c r="C36" s="35">
        <f>-$C$6*$B$10</f>
        <v>-1543192</v>
      </c>
      <c r="D36" s="35">
        <f t="shared" ref="D36:J36" si="19">-$C$6*$B$10</f>
        <v>-1543192</v>
      </c>
      <c r="E36" s="35">
        <f t="shared" si="19"/>
        <v>-1543192</v>
      </c>
      <c r="F36" s="35">
        <f t="shared" si="19"/>
        <v>-1543192</v>
      </c>
      <c r="G36" s="35">
        <f t="shared" si="19"/>
        <v>-1543192</v>
      </c>
      <c r="H36" s="35">
        <f t="shared" si="19"/>
        <v>-1543192</v>
      </c>
      <c r="I36" s="35">
        <f t="shared" si="19"/>
        <v>-1543192</v>
      </c>
      <c r="J36" s="35">
        <f t="shared" si="19"/>
        <v>-1543192</v>
      </c>
    </row>
    <row r="37" spans="1:10" x14ac:dyDescent="0.2">
      <c r="A37" s="23" t="s">
        <v>16</v>
      </c>
      <c r="B37" s="46"/>
      <c r="C37" s="34">
        <f>$C$11*$C$12</f>
        <v>11175000</v>
      </c>
      <c r="D37" s="34">
        <f t="shared" ref="D37:J37" si="20">$C$11*$C$12</f>
        <v>11175000</v>
      </c>
      <c r="E37" s="34">
        <f t="shared" si="20"/>
        <v>11175000</v>
      </c>
      <c r="F37" s="34">
        <f t="shared" si="20"/>
        <v>11175000</v>
      </c>
      <c r="G37" s="34">
        <f t="shared" si="20"/>
        <v>11175000</v>
      </c>
      <c r="H37" s="34">
        <f t="shared" si="20"/>
        <v>11175000</v>
      </c>
      <c r="I37" s="34">
        <f t="shared" si="20"/>
        <v>11175000</v>
      </c>
      <c r="J37" s="34">
        <f t="shared" si="20"/>
        <v>11175000</v>
      </c>
    </row>
    <row r="38" spans="1:10" ht="17" x14ac:dyDescent="0.2">
      <c r="A38" s="20" t="s">
        <v>17</v>
      </c>
      <c r="B38" s="33">
        <f>B32</f>
        <v>-10933000</v>
      </c>
      <c r="C38" s="35">
        <f>C37+C33</f>
        <v>5004308</v>
      </c>
      <c r="D38" s="35">
        <f t="shared" ref="D38:J38" si="21">D37+D33</f>
        <v>5004308</v>
      </c>
      <c r="E38" s="35">
        <f t="shared" si="21"/>
        <v>5004308</v>
      </c>
      <c r="F38" s="35">
        <f t="shared" si="21"/>
        <v>5004308</v>
      </c>
      <c r="G38" s="35">
        <f t="shared" si="21"/>
        <v>5004308</v>
      </c>
      <c r="H38" s="35">
        <f t="shared" si="21"/>
        <v>5004308</v>
      </c>
      <c r="I38" s="35">
        <f t="shared" si="21"/>
        <v>5004308</v>
      </c>
      <c r="J38" s="35">
        <f t="shared" si="21"/>
        <v>5004308</v>
      </c>
    </row>
    <row r="39" spans="1:10" x14ac:dyDescent="0.2">
      <c r="A39" s="21" t="s">
        <v>22</v>
      </c>
      <c r="B39" s="36">
        <f>B32</f>
        <v>-10933000</v>
      </c>
      <c r="C39" s="37">
        <f>C38/1.1^(C31-2021)</f>
        <v>4549370.9090909092</v>
      </c>
      <c r="D39" s="37">
        <f t="shared" ref="D39:J39" si="22">D38/1.1^(D31-2021)</f>
        <v>4135791.7355371895</v>
      </c>
      <c r="E39" s="37">
        <f t="shared" si="22"/>
        <v>3759810.6686701719</v>
      </c>
      <c r="F39" s="37">
        <f t="shared" si="22"/>
        <v>3418009.6987910653</v>
      </c>
      <c r="G39" s="37">
        <f t="shared" si="22"/>
        <v>3107281.5443555135</v>
      </c>
      <c r="H39" s="37">
        <f t="shared" si="22"/>
        <v>2824801.4039595574</v>
      </c>
      <c r="I39" s="37">
        <f t="shared" si="22"/>
        <v>2568001.2763268701</v>
      </c>
      <c r="J39" s="37">
        <f t="shared" si="22"/>
        <v>2334546.6148426095</v>
      </c>
    </row>
    <row r="40" spans="1:10" x14ac:dyDescent="0.2">
      <c r="A40" s="21" t="s">
        <v>19</v>
      </c>
      <c r="B40" s="33">
        <f>B39</f>
        <v>-10933000</v>
      </c>
      <c r="C40" s="38">
        <f>B40+C39</f>
        <v>-6383629.0909090908</v>
      </c>
      <c r="D40" s="38">
        <f t="shared" ref="D40:J40" si="23">C40+D39</f>
        <v>-2247837.3553719013</v>
      </c>
      <c r="E40" s="38">
        <f t="shared" si="23"/>
        <v>1511973.3132982706</v>
      </c>
      <c r="F40" s="38">
        <f t="shared" si="23"/>
        <v>4929983.0120893363</v>
      </c>
      <c r="G40" s="38">
        <f t="shared" si="23"/>
        <v>8037264.5564448498</v>
      </c>
      <c r="H40" s="38">
        <f t="shared" si="23"/>
        <v>10862065.960404407</v>
      </c>
      <c r="I40" s="38">
        <f t="shared" si="23"/>
        <v>13430067.236731278</v>
      </c>
      <c r="J40" s="38">
        <f t="shared" si="23"/>
        <v>15764613.851573888</v>
      </c>
    </row>
    <row r="41" spans="1:10" x14ac:dyDescent="0.2">
      <c r="A41" s="23" t="s">
        <v>20</v>
      </c>
      <c r="B41" s="39">
        <f>NPV(C13,C38:G38)+B38</f>
        <v>8037264.5564448461</v>
      </c>
      <c r="C41" s="32">
        <f>NPV(B13,C38:J38)+B38</f>
        <v>15764613.851573881</v>
      </c>
      <c r="D41" s="51">
        <f>B42/$C$13</f>
        <v>21202101.424710471</v>
      </c>
      <c r="E41" s="40"/>
      <c r="F41" s="40"/>
      <c r="G41" s="40"/>
      <c r="H41" s="41"/>
      <c r="I41" s="41"/>
      <c r="J41" s="41"/>
    </row>
    <row r="42" spans="1:10" x14ac:dyDescent="0.2">
      <c r="A42" s="24" t="s">
        <v>10</v>
      </c>
      <c r="B42" s="42">
        <f>-PMT(C13,5,B41)</f>
        <v>2120210.1424710471</v>
      </c>
      <c r="C42" s="31">
        <f>-PMT(B13,8,C41)</f>
        <v>2954982.5558545627</v>
      </c>
      <c r="D42" s="52">
        <f>C42/$C$13</f>
        <v>29549825.558545627</v>
      </c>
      <c r="E42" s="40"/>
      <c r="F42" s="40"/>
      <c r="G42" s="40"/>
      <c r="H42" s="41"/>
      <c r="I42" s="41"/>
      <c r="J42" s="41"/>
    </row>
    <row r="43" spans="1:10" x14ac:dyDescent="0.2">
      <c r="A43" s="23" t="s">
        <v>21</v>
      </c>
      <c r="B43" s="43">
        <f>IRR(B38:G38)</f>
        <v>0.35897142476979904</v>
      </c>
      <c r="C43" s="44">
        <f>IRR(B39:I39)</f>
        <v>0.28911090881458379</v>
      </c>
      <c r="D43" s="40"/>
      <c r="E43" s="40"/>
      <c r="F43" s="40"/>
      <c r="G43" s="40"/>
      <c r="H43" s="41"/>
      <c r="I43" s="41"/>
      <c r="J43" s="41"/>
    </row>
    <row r="46" spans="1:10" x14ac:dyDescent="0.2">
      <c r="A46" s="14" t="s">
        <v>27</v>
      </c>
    </row>
    <row r="47" spans="1:10" x14ac:dyDescent="0.2">
      <c r="A47" s="18" t="s">
        <v>28</v>
      </c>
      <c r="B47" s="79">
        <v>-0.21428342630365674</v>
      </c>
    </row>
    <row r="48" spans="1:10" x14ac:dyDescent="0.2">
      <c r="A48" s="18" t="s">
        <v>29</v>
      </c>
      <c r="B48" s="66">
        <f>B59-B69</f>
        <v>1.0598450899124146E-5</v>
      </c>
    </row>
    <row r="51" spans="1:9" x14ac:dyDescent="0.2">
      <c r="A51" s="18" t="s">
        <v>7</v>
      </c>
    </row>
    <row r="52" spans="1:9" x14ac:dyDescent="0.2">
      <c r="A52" s="9" t="s">
        <v>8</v>
      </c>
      <c r="B52" s="16">
        <v>2021</v>
      </c>
      <c r="C52" s="17">
        <v>2022</v>
      </c>
      <c r="D52" s="17">
        <v>2023</v>
      </c>
      <c r="E52" s="17">
        <v>2024</v>
      </c>
      <c r="F52" s="17">
        <v>2025</v>
      </c>
      <c r="G52" s="55">
        <v>2026</v>
      </c>
      <c r="H52" s="68"/>
      <c r="I52" s="68"/>
    </row>
    <row r="53" spans="1:9" x14ac:dyDescent="0.2">
      <c r="A53" s="10" t="s">
        <v>0</v>
      </c>
      <c r="B53" s="26">
        <f>B17</f>
        <v>-18834000</v>
      </c>
      <c r="C53" s="49"/>
      <c r="D53" s="49"/>
      <c r="E53" s="49"/>
      <c r="F53" s="49"/>
      <c r="G53" s="49"/>
      <c r="H53" s="69"/>
      <c r="I53" s="69"/>
    </row>
    <row r="54" spans="1:9" x14ac:dyDescent="0.2">
      <c r="A54" s="10" t="s">
        <v>14</v>
      </c>
      <c r="B54" s="48"/>
      <c r="C54" s="27">
        <f>-$B$11*$B$7</f>
        <v>-1775000</v>
      </c>
      <c r="D54" s="27">
        <f t="shared" ref="D54:G54" si="24">-$B$11*$B$7</f>
        <v>-1775000</v>
      </c>
      <c r="E54" s="27">
        <f t="shared" si="24"/>
        <v>-1775000</v>
      </c>
      <c r="F54" s="27">
        <f t="shared" si="24"/>
        <v>-1775000</v>
      </c>
      <c r="G54" s="27">
        <f t="shared" si="24"/>
        <v>-1775000</v>
      </c>
      <c r="H54" s="70"/>
      <c r="I54" s="70"/>
    </row>
    <row r="55" spans="1:9" x14ac:dyDescent="0.2">
      <c r="A55" s="10" t="s">
        <v>13</v>
      </c>
      <c r="B55" s="49"/>
      <c r="C55" s="29">
        <f t="shared" ref="C55:G55" si="25">-$B$8*$B$9</f>
        <v>-1269000</v>
      </c>
      <c r="D55" s="29">
        <f t="shared" si="25"/>
        <v>-1269000</v>
      </c>
      <c r="E55" s="29">
        <f t="shared" si="25"/>
        <v>-1269000</v>
      </c>
      <c r="F55" s="29">
        <f t="shared" si="25"/>
        <v>-1269000</v>
      </c>
      <c r="G55" s="29">
        <f t="shared" si="25"/>
        <v>-1269000</v>
      </c>
      <c r="H55" s="70"/>
      <c r="I55" s="70"/>
    </row>
    <row r="56" spans="1:9" x14ac:dyDescent="0.2">
      <c r="A56" s="10" t="s">
        <v>15</v>
      </c>
      <c r="B56" s="49"/>
      <c r="C56" s="27">
        <f>-$B$6*$B$10</f>
        <v>-811104</v>
      </c>
      <c r="D56" s="27">
        <f>C56*($B$47+1)</f>
        <v>-637297.85579139879</v>
      </c>
      <c r="E56" s="27">
        <f t="shared" ref="E56:G56" si="26">D56*($B$47+1)</f>
        <v>-500735.48767644417</v>
      </c>
      <c r="F56" s="27">
        <f t="shared" si="26"/>
        <v>-393436.17170530325</v>
      </c>
      <c r="G56" s="27">
        <f t="shared" si="26"/>
        <v>-309129.32080049708</v>
      </c>
      <c r="H56" s="70"/>
      <c r="I56" s="70"/>
    </row>
    <row r="57" spans="1:9" x14ac:dyDescent="0.2">
      <c r="A57" s="12" t="s">
        <v>16</v>
      </c>
      <c r="B57" s="49"/>
      <c r="C57" s="29">
        <f>$B$12*$B$11</f>
        <v>11175000</v>
      </c>
      <c r="D57" s="29">
        <f t="shared" ref="D57:G57" si="27">$B$12*$B$11</f>
        <v>11175000</v>
      </c>
      <c r="E57" s="29">
        <f t="shared" si="27"/>
        <v>11175000</v>
      </c>
      <c r="F57" s="29">
        <f t="shared" si="27"/>
        <v>11175000</v>
      </c>
      <c r="G57" s="29">
        <f t="shared" si="27"/>
        <v>11175000</v>
      </c>
      <c r="H57" s="70"/>
      <c r="I57" s="70"/>
    </row>
    <row r="58" spans="1:9" ht="17" x14ac:dyDescent="0.2">
      <c r="A58" s="13" t="s">
        <v>17</v>
      </c>
      <c r="B58" s="30">
        <f>SUM(B52:B57)</f>
        <v>-18831979</v>
      </c>
      <c r="C58" s="29">
        <f>C57+SUM(C54:C56)</f>
        <v>7319896</v>
      </c>
      <c r="D58" s="29">
        <f t="shared" ref="D58:G58" si="28">D57+SUM(D54:D56)</f>
        <v>7493702.1442086007</v>
      </c>
      <c r="E58" s="29">
        <f t="shared" si="28"/>
        <v>7630264.5123235565</v>
      </c>
      <c r="F58" s="29">
        <f t="shared" si="28"/>
        <v>7737563.8282946963</v>
      </c>
      <c r="G58" s="29">
        <f t="shared" si="28"/>
        <v>7821870.6791995028</v>
      </c>
      <c r="H58" s="70"/>
      <c r="I58" s="70"/>
    </row>
    <row r="59" spans="1:9" x14ac:dyDescent="0.2">
      <c r="A59" s="23" t="s">
        <v>20</v>
      </c>
      <c r="B59" s="39">
        <f>NPV(B13,C58:G58)+B58</f>
        <v>9889971.3373321518</v>
      </c>
    </row>
    <row r="61" spans="1:9" x14ac:dyDescent="0.2">
      <c r="A61" s="18" t="s">
        <v>6</v>
      </c>
    </row>
    <row r="62" spans="1:9" x14ac:dyDescent="0.2">
      <c r="A62" s="19" t="s">
        <v>8</v>
      </c>
      <c r="B62" s="17">
        <v>2021</v>
      </c>
      <c r="C62" s="17">
        <v>2022</v>
      </c>
      <c r="D62" s="17">
        <v>2023</v>
      </c>
      <c r="E62" s="17">
        <v>2024</v>
      </c>
      <c r="F62" s="17">
        <v>2025</v>
      </c>
      <c r="G62" s="17">
        <v>2026</v>
      </c>
    </row>
    <row r="63" spans="1:9" x14ac:dyDescent="0.2">
      <c r="A63" s="21" t="s">
        <v>0</v>
      </c>
      <c r="B63" s="33">
        <f>B32</f>
        <v>-10933000</v>
      </c>
      <c r="C63" s="47"/>
      <c r="D63" s="47"/>
      <c r="E63" s="47"/>
      <c r="F63" s="47"/>
      <c r="G63" s="47"/>
    </row>
    <row r="64" spans="1:9" x14ac:dyDescent="0.2">
      <c r="A64" s="21" t="s">
        <v>14</v>
      </c>
      <c r="B64" s="45"/>
      <c r="C64" s="35">
        <f>-$C$7*$C$11</f>
        <v>-2512500</v>
      </c>
      <c r="D64" s="35">
        <f t="shared" ref="D64:G64" si="29">-$C$7*$C$11</f>
        <v>-2512500</v>
      </c>
      <c r="E64" s="35">
        <f t="shared" si="29"/>
        <v>-2512500</v>
      </c>
      <c r="F64" s="35">
        <f t="shared" si="29"/>
        <v>-2512500</v>
      </c>
      <c r="G64" s="35">
        <f t="shared" si="29"/>
        <v>-2512500</v>
      </c>
    </row>
    <row r="65" spans="1:10" x14ac:dyDescent="0.2">
      <c r="A65" s="21" t="s">
        <v>13</v>
      </c>
      <c r="B65" s="46"/>
      <c r="C65" s="34">
        <f>-$C$9*$C$8</f>
        <v>-2115000</v>
      </c>
      <c r="D65" s="34">
        <f t="shared" ref="D65:G65" si="30">-$C$9*$C$8</f>
        <v>-2115000</v>
      </c>
      <c r="E65" s="34">
        <f t="shared" si="30"/>
        <v>-2115000</v>
      </c>
      <c r="F65" s="34">
        <f t="shared" si="30"/>
        <v>-2115000</v>
      </c>
      <c r="G65" s="34">
        <f t="shared" si="30"/>
        <v>-2115000</v>
      </c>
    </row>
    <row r="66" spans="1:10" x14ac:dyDescent="0.2">
      <c r="A66" s="21" t="s">
        <v>15</v>
      </c>
      <c r="B66" s="46"/>
      <c r="C66" s="35">
        <f>-$C$6*$B$10</f>
        <v>-1543192</v>
      </c>
      <c r="D66" s="35">
        <f>C66*($B$47+1)</f>
        <v>-1212511.5307956075</v>
      </c>
      <c r="E66" s="35">
        <f t="shared" ref="E66:G66" si="31">D66*($B$47+1)</f>
        <v>-952690.40554403292</v>
      </c>
      <c r="F66" s="35">
        <f t="shared" si="31"/>
        <v>-748544.64123743738</v>
      </c>
      <c r="G66" s="35">
        <f t="shared" si="31"/>
        <v>-588143.93077183783</v>
      </c>
    </row>
    <row r="67" spans="1:10" x14ac:dyDescent="0.2">
      <c r="A67" s="23" t="s">
        <v>16</v>
      </c>
      <c r="B67" s="46"/>
      <c r="C67" s="34">
        <f>$C$11*$C$12</f>
        <v>11175000</v>
      </c>
      <c r="D67" s="34">
        <f t="shared" ref="D67:G67" si="32">$C$11*$C$12</f>
        <v>11175000</v>
      </c>
      <c r="E67" s="34">
        <f t="shared" si="32"/>
        <v>11175000</v>
      </c>
      <c r="F67" s="34">
        <f t="shared" si="32"/>
        <v>11175000</v>
      </c>
      <c r="G67" s="34">
        <f t="shared" si="32"/>
        <v>11175000</v>
      </c>
    </row>
    <row r="68" spans="1:10" ht="17" x14ac:dyDescent="0.2">
      <c r="A68" s="20" t="s">
        <v>17</v>
      </c>
      <c r="B68" s="33">
        <f>B63</f>
        <v>-10933000</v>
      </c>
      <c r="C68" s="35">
        <f>C67+SUM(C64:C66)</f>
        <v>5004308</v>
      </c>
      <c r="D68" s="35">
        <f t="shared" ref="D68:G68" si="33">D67+SUM(D64:D66)</f>
        <v>5334988.4692043923</v>
      </c>
      <c r="E68" s="35">
        <f t="shared" si="33"/>
        <v>5594809.5944559667</v>
      </c>
      <c r="F68" s="35">
        <f t="shared" si="33"/>
        <v>5798955.3587625623</v>
      </c>
      <c r="G68" s="35">
        <f t="shared" si="33"/>
        <v>5959356.0692281621</v>
      </c>
    </row>
    <row r="69" spans="1:10" x14ac:dyDescent="0.2">
      <c r="A69" s="23" t="s">
        <v>20</v>
      </c>
      <c r="B69" s="39">
        <f>NPV(C13,C68:G68)+B68</f>
        <v>9889971.3373215534</v>
      </c>
    </row>
    <row r="73" spans="1:10" x14ac:dyDescent="0.2">
      <c r="A73" s="18" t="s">
        <v>26</v>
      </c>
      <c r="B73" s="65">
        <v>0</v>
      </c>
      <c r="C73" s="65">
        <v>0.05</v>
      </c>
      <c r="D73" s="65">
        <v>0.1</v>
      </c>
      <c r="E73" s="65">
        <v>0.15</v>
      </c>
      <c r="F73" s="65">
        <v>0.2</v>
      </c>
      <c r="G73" s="65">
        <v>0.25</v>
      </c>
      <c r="H73" s="65">
        <v>0.3</v>
      </c>
      <c r="I73" s="65">
        <v>0.35</v>
      </c>
      <c r="J73" s="65">
        <v>0.4</v>
      </c>
    </row>
    <row r="74" spans="1:10" x14ac:dyDescent="0.2">
      <c r="A74" s="18" t="s">
        <v>23</v>
      </c>
      <c r="B74" s="67">
        <f>NPV(B73,$C$23:$G$23)+$B$23</f>
        <v>17765480</v>
      </c>
      <c r="C74" s="67">
        <f>NPV(C73,$C$23:$G$23)+$B$23</f>
        <v>12857318.963443846</v>
      </c>
      <c r="D74" s="67">
        <f t="shared" ref="D74:F74" si="34">NPV(D73,$C$23:$G$23)+$B$23</f>
        <v>8914164.9102458134</v>
      </c>
      <c r="E74" s="67">
        <f t="shared" si="34"/>
        <v>5703426.6933132745</v>
      </c>
      <c r="F74" s="67">
        <f t="shared" si="34"/>
        <v>3056969.8405349776</v>
      </c>
      <c r="G74" s="67">
        <f t="shared" ref="G74" si="35">NPV(G73,$C$23:$G$23)+$B$23</f>
        <v>851249.91488000005</v>
      </c>
      <c r="H74" s="67">
        <f>NPV(H73,$C$23:$G$23)+$B$23</f>
        <v>-1005882.7132210955</v>
      </c>
      <c r="I74" s="67">
        <f>NPV(I73,$C$23:$G$23)+$B$23</f>
        <v>-2584113.2607577723</v>
      </c>
      <c r="J74" s="67">
        <f>NPV(J73,$C$23:$G$23)+$B$23</f>
        <v>-3936811.7641458921</v>
      </c>
    </row>
    <row r="75" spans="1:10" x14ac:dyDescent="0.2">
      <c r="A75" s="18" t="s">
        <v>24</v>
      </c>
      <c r="B75" s="66">
        <f>NPV(B73,$C$38:$G$38)+$B$38</f>
        <v>14088540</v>
      </c>
      <c r="C75" s="66">
        <f t="shared" ref="C75:G75" si="36">NPV(C73,$C$38:$G$38)+$B$38</f>
        <v>10733034.738651171</v>
      </c>
      <c r="D75" s="66">
        <f t="shared" si="36"/>
        <v>8037264.5564448461</v>
      </c>
      <c r="E75" s="66">
        <f t="shared" si="36"/>
        <v>5842216.5742192455</v>
      </c>
      <c r="F75" s="66">
        <f t="shared" si="36"/>
        <v>4032944.2566872463</v>
      </c>
      <c r="G75" s="66">
        <f t="shared" si="36"/>
        <v>2524985.4182399996</v>
      </c>
      <c r="H75" s="66">
        <f>NPV(H73,$C$38:$G$38)+$B$38</f>
        <v>1255341.195444027</v>
      </c>
      <c r="I75" s="66">
        <f>NPV(I73,$C$38:$G$38)+$B$38</f>
        <v>176370.70803789794</v>
      </c>
      <c r="J75" s="66">
        <f>NPV(J73,$C$38:$G$38)+$B$38</f>
        <v>-748412.91485690512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Jeppe Vanderhaegen</cp:lastModifiedBy>
  <dcterms:created xsi:type="dcterms:W3CDTF">2021-03-30T13:04:59Z</dcterms:created>
  <dcterms:modified xsi:type="dcterms:W3CDTF">2021-03-31T13:46:03Z</dcterms:modified>
</cp:coreProperties>
</file>