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ander/Documents/#University/7. Sem/FDM/Problem Sets /"/>
    </mc:Choice>
  </mc:AlternateContent>
  <xr:revisionPtr revIDLastSave="0" documentId="13_ncr:1_{69F99B9C-92ED-ED4E-BB82-715AEA5A8162}" xr6:coauthVersionLast="47" xr6:coauthVersionMax="47" xr10:uidLastSave="{00000000-0000-0000-0000-000000000000}"/>
  <bookViews>
    <workbookView xWindow="0" yWindow="500" windowWidth="26300" windowHeight="15720" activeTab="4" xr2:uid="{999A575F-61AB-DD44-9D43-E443F1A5935B}"/>
  </bookViews>
  <sheets>
    <sheet name="PS3" sheetId="1" r:id="rId1"/>
    <sheet name="PS4" sheetId="2" r:id="rId2"/>
    <sheet name="PS5" sheetId="3" r:id="rId3"/>
    <sheet name="PS6 " sheetId="5" r:id="rId4"/>
    <sheet name="PS7" sheetId="6" r:id="rId5"/>
    <sheet name="PS8" sheetId="4" r:id="rId6"/>
    <sheet name="PS11 - P1" sheetId="7" r:id="rId7"/>
    <sheet name="PS11 - P2" sheetId="8" r:id="rId8"/>
    <sheet name="PS12" sheetId="9" r:id="rId9"/>
    <sheet name="PS12 - Ex2" sheetId="10" r:id="rId10"/>
    <sheet name="PS13 - Ex1" sheetId="11" r:id="rId11"/>
    <sheet name="PS13 - Ex3" sheetId="12" r:id="rId12"/>
    <sheet name="Jakki" sheetId="13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6" l="1"/>
  <c r="F33" i="6"/>
  <c r="E33" i="6"/>
  <c r="F36" i="6"/>
  <c r="H41" i="6" a="1"/>
  <c r="H41" i="6" s="1"/>
  <c r="K42" i="6" a="1"/>
  <c r="K42" i="6" s="1"/>
  <c r="O4" i="3"/>
  <c r="P4" i="3" l="1"/>
  <c r="E8" i="12"/>
  <c r="G6" i="12"/>
  <c r="E10" i="11"/>
  <c r="E6" i="11"/>
  <c r="L35" i="13" l="1"/>
  <c r="K35" i="1" l="1"/>
  <c r="J35" i="1" a="1"/>
  <c r="J35" i="1" s="1"/>
  <c r="I54" i="1" l="1" a="1"/>
  <c r="I54" i="1" s="1"/>
  <c r="F54" i="1"/>
  <c r="E18" i="9" l="1"/>
  <c r="E16" i="9"/>
  <c r="E37" i="13"/>
  <c r="C38" i="13"/>
  <c r="G34" i="13" a="1"/>
  <c r="G34" i="13" s="1"/>
  <c r="B35" i="13"/>
  <c r="B34" i="13"/>
  <c r="J34" i="13" s="1" a="1"/>
  <c r="J34" i="13" s="1"/>
  <c r="B9" i="9"/>
  <c r="B10" i="9"/>
  <c r="E35" i="13"/>
  <c r="E34" i="13"/>
  <c r="E41" i="13"/>
  <c r="E43" i="13" s="1"/>
  <c r="C42" i="13"/>
  <c r="E39" i="13"/>
  <c r="D35" i="13"/>
  <c r="D34" i="13"/>
  <c r="E13" i="13"/>
  <c r="B13" i="13"/>
  <c r="E15" i="13"/>
  <c r="E11" i="13"/>
  <c r="I12" i="13"/>
  <c r="I14" i="13"/>
  <c r="I16" i="13"/>
  <c r="I10" i="13"/>
  <c r="G14" i="13"/>
  <c r="D17" i="11"/>
  <c r="E17" i="11"/>
  <c r="B67" i="9"/>
  <c r="D56" i="9"/>
  <c r="D32" i="9"/>
  <c r="C7" i="11"/>
  <c r="E26" i="12"/>
  <c r="E25" i="12"/>
  <c r="E21" i="12"/>
  <c r="E20" i="12"/>
  <c r="G23" i="12"/>
  <c r="G18" i="12"/>
  <c r="E14" i="12"/>
  <c r="E9" i="12"/>
  <c r="E13" i="12"/>
  <c r="G11" i="12"/>
  <c r="D54" i="11"/>
  <c r="D50" i="11"/>
  <c r="D28" i="11"/>
  <c r="C54" i="11"/>
  <c r="C50" i="11"/>
  <c r="E54" i="11"/>
  <c r="E50" i="11"/>
  <c r="F51" i="11"/>
  <c r="F53" i="11"/>
  <c r="F49" i="11"/>
  <c r="C44" i="11"/>
  <c r="D40" i="11"/>
  <c r="C40" i="11" s="1"/>
  <c r="B42" i="11" s="1"/>
  <c r="H39" i="11" s="1"/>
  <c r="F41" i="11"/>
  <c r="F39" i="11"/>
  <c r="C32" i="11"/>
  <c r="C28" i="11"/>
  <c r="B30" i="11" s="1"/>
  <c r="H27" i="11" s="1"/>
  <c r="D32" i="11"/>
  <c r="E32" i="11"/>
  <c r="E28" i="11"/>
  <c r="F29" i="11"/>
  <c r="F31" i="11"/>
  <c r="F33" i="11"/>
  <c r="F27" i="11"/>
  <c r="H16" i="11"/>
  <c r="B19" i="11"/>
  <c r="C21" i="11"/>
  <c r="C17" i="11"/>
  <c r="D21" i="11"/>
  <c r="E21" i="11"/>
  <c r="F18" i="11"/>
  <c r="F20" i="11"/>
  <c r="F22" i="11"/>
  <c r="F16" i="11"/>
  <c r="E8" i="11"/>
  <c r="E12" i="11"/>
  <c r="C11" i="11"/>
  <c r="L34" i="13" l="1"/>
  <c r="G10" i="13"/>
  <c r="G12" i="13" s="1"/>
  <c r="G16" i="13"/>
  <c r="D11" i="13"/>
  <c r="B52" i="11"/>
  <c r="H49" i="11" s="1"/>
  <c r="D15" i="13" l="1"/>
  <c r="J69" i="9" l="1"/>
  <c r="J68" i="9"/>
  <c r="J67" i="9"/>
  <c r="M69" i="9"/>
  <c r="M67" i="9"/>
  <c r="M66" i="9"/>
  <c r="J66" i="9"/>
  <c r="D69" i="9"/>
  <c r="D65" i="9"/>
  <c r="F66" i="9"/>
  <c r="F68" i="9"/>
  <c r="F70" i="9"/>
  <c r="F64" i="9"/>
  <c r="F57" i="9"/>
  <c r="F59" i="9"/>
  <c r="D60" i="9" s="1"/>
  <c r="F61" i="9"/>
  <c r="F55" i="9"/>
  <c r="E57" i="9"/>
  <c r="E59" i="9"/>
  <c r="E61" i="9"/>
  <c r="E55" i="9"/>
  <c r="C60" i="9"/>
  <c r="C56" i="9"/>
  <c r="E49" i="9"/>
  <c r="I47" i="9"/>
  <c r="I45" i="9"/>
  <c r="I44" i="9"/>
  <c r="E47" i="9"/>
  <c r="E45" i="9"/>
  <c r="E44" i="9"/>
  <c r="I42" i="9"/>
  <c r="I40" i="9"/>
  <c r="I39" i="9"/>
  <c r="E42" i="9"/>
  <c r="E40" i="9"/>
  <c r="E39" i="9"/>
  <c r="B34" i="9"/>
  <c r="D36" i="9"/>
  <c r="F37" i="9"/>
  <c r="F33" i="9"/>
  <c r="F35" i="9"/>
  <c r="F31" i="9"/>
  <c r="G8" i="10"/>
  <c r="G9" i="10"/>
  <c r="G10" i="10"/>
  <c r="G11" i="10"/>
  <c r="G12" i="10"/>
  <c r="G13" i="10"/>
  <c r="G14" i="10"/>
  <c r="G15" i="10"/>
  <c r="G16" i="10"/>
  <c r="G17" i="10"/>
  <c r="G18" i="10"/>
  <c r="G19" i="10"/>
  <c r="G7" i="10"/>
  <c r="E8" i="10"/>
  <c r="F8" i="10"/>
  <c r="E9" i="10"/>
  <c r="F9" i="10"/>
  <c r="E10" i="10"/>
  <c r="F10" i="10"/>
  <c r="E11" i="10"/>
  <c r="F11" i="10"/>
  <c r="E12" i="10"/>
  <c r="F12" i="10"/>
  <c r="E13" i="10"/>
  <c r="F13" i="10"/>
  <c r="E14" i="10"/>
  <c r="F14" i="10"/>
  <c r="E15" i="10"/>
  <c r="F15" i="10"/>
  <c r="E16" i="10"/>
  <c r="F16" i="10"/>
  <c r="E17" i="10"/>
  <c r="F17" i="10"/>
  <c r="E18" i="10"/>
  <c r="F18" i="10"/>
  <c r="E19" i="10"/>
  <c r="F19" i="10"/>
  <c r="F7" i="10"/>
  <c r="E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7" i="10"/>
  <c r="G4" i="10"/>
  <c r="B8" i="10"/>
  <c r="B24" i="9"/>
  <c r="D26" i="9"/>
  <c r="F23" i="9"/>
  <c r="F25" i="9"/>
  <c r="F27" i="9"/>
  <c r="F21" i="9"/>
  <c r="D22" i="9"/>
  <c r="E14" i="9"/>
  <c r="E12" i="9"/>
  <c r="C17" i="9"/>
  <c r="C13" i="9"/>
  <c r="J9" i="9" a="1"/>
  <c r="J9" i="9" s="1"/>
  <c r="L9" i="9" s="1"/>
  <c r="I22" i="9" s="1"/>
  <c r="G9" i="9" a="1"/>
  <c r="G9" i="9" s="1"/>
  <c r="E10" i="9"/>
  <c r="E9" i="9"/>
  <c r="D10" i="9"/>
  <c r="D9" i="9"/>
  <c r="B58" i="9" l="1"/>
  <c r="E46" i="9"/>
  <c r="E41" i="9"/>
  <c r="B9" i="10"/>
  <c r="B10" i="10" l="1"/>
  <c r="B11" i="10" l="1"/>
  <c r="B12" i="10" l="1"/>
  <c r="B13" i="10" l="1"/>
  <c r="B14" i="10" l="1"/>
  <c r="B15" i="10" l="1"/>
  <c r="B16" i="10" l="1"/>
  <c r="B17" i="10" l="1"/>
  <c r="B18" i="10" l="1"/>
  <c r="B19" i="10" l="1"/>
  <c r="B29" i="8" l="1"/>
  <c r="F27" i="8"/>
  <c r="E27" i="8"/>
  <c r="D27" i="8"/>
  <c r="C27" i="8"/>
  <c r="B27" i="8"/>
  <c r="C20" i="8" a="1"/>
  <c r="C20" i="8" s="1"/>
  <c r="D18" i="8"/>
  <c r="E18" i="8"/>
  <c r="F18" i="8"/>
  <c r="G18" i="8"/>
  <c r="C18" i="8"/>
  <c r="C14" i="8" a="1"/>
  <c r="C14" i="8" s="1"/>
  <c r="D12" i="8"/>
  <c r="E12" i="8"/>
  <c r="F12" i="8"/>
  <c r="G12" i="8"/>
  <c r="C12" i="8"/>
  <c r="C8" i="8" a="1"/>
  <c r="C8" i="8" s="1"/>
  <c r="D18" i="7"/>
  <c r="C18" i="7"/>
  <c r="D16" i="7"/>
  <c r="C16" i="7"/>
  <c r="B13" i="7" a="1"/>
  <c r="B13" i="7" s="1"/>
  <c r="D13" i="7"/>
  <c r="C13" i="7"/>
  <c r="B9" i="7" a="1"/>
  <c r="B9" i="7" s="1"/>
  <c r="F88" i="4" l="1"/>
  <c r="F89" i="4"/>
  <c r="F90" i="4"/>
  <c r="F91" i="4"/>
  <c r="F92" i="4"/>
  <c r="H92" i="4" s="1" a="1"/>
  <c r="H92" i="4" s="1"/>
  <c r="I92" i="4" s="1"/>
  <c r="F93" i="4"/>
  <c r="H93" i="4" s="1" a="1"/>
  <c r="H93" i="4" s="1"/>
  <c r="I93" i="4" s="1"/>
  <c r="F94" i="4"/>
  <c r="H94" i="4" s="1" a="1"/>
  <c r="H94" i="4" s="1"/>
  <c r="I94" i="4" s="1"/>
  <c r="F95" i="4"/>
  <c r="H95" i="4" s="1" a="1"/>
  <c r="H95" i="4" s="1"/>
  <c r="I95" i="4" s="1"/>
  <c r="F96" i="4"/>
  <c r="F97" i="4"/>
  <c r="F98" i="4"/>
  <c r="F99" i="4"/>
  <c r="F100" i="4"/>
  <c r="F101" i="4"/>
  <c r="H101" i="4" s="1" a="1"/>
  <c r="H101" i="4" s="1"/>
  <c r="I101" i="4" s="1"/>
  <c r="F87" i="4"/>
  <c r="H88" i="4" a="1"/>
  <c r="H88" i="4" s="1"/>
  <c r="I88" i="4" s="1"/>
  <c r="H89" i="4" a="1"/>
  <c r="H89" i="4" s="1"/>
  <c r="I89" i="4" s="1"/>
  <c r="H90" i="4" a="1"/>
  <c r="H90" i="4" s="1"/>
  <c r="I90" i="4" s="1"/>
  <c r="H91" i="4" a="1"/>
  <c r="H91" i="4" s="1"/>
  <c r="I91" i="4" s="1"/>
  <c r="H96" i="4" a="1"/>
  <c r="H96" i="4" s="1"/>
  <c r="I96" i="4" s="1"/>
  <c r="H97" i="4" a="1"/>
  <c r="H97" i="4" s="1"/>
  <c r="I97" i="4" s="1"/>
  <c r="H98" i="4" a="1"/>
  <c r="H98" i="4" s="1"/>
  <c r="I98" i="4" s="1"/>
  <c r="H99" i="4" a="1"/>
  <c r="H99" i="4"/>
  <c r="I99" i="4" s="1"/>
  <c r="H100" i="4" a="1"/>
  <c r="H100" i="4" s="1"/>
  <c r="I100" i="4" s="1"/>
  <c r="H87" i="4" a="1"/>
  <c r="H87" i="4" s="1"/>
  <c r="I87" i="4" s="1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87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88" i="4"/>
  <c r="E87" i="4"/>
  <c r="C88" i="4"/>
  <c r="D88" i="4" s="1"/>
  <c r="C89" i="4"/>
  <c r="D89" i="4"/>
  <c r="C90" i="4"/>
  <c r="D90" i="4"/>
  <c r="C91" i="4"/>
  <c r="D91" i="4" s="1"/>
  <c r="C92" i="4"/>
  <c r="D92" i="4"/>
  <c r="C93" i="4"/>
  <c r="D93" i="4"/>
  <c r="C94" i="4"/>
  <c r="D94" i="4"/>
  <c r="C95" i="4"/>
  <c r="D95" i="4" s="1"/>
  <c r="C96" i="4"/>
  <c r="D96" i="4"/>
  <c r="C97" i="4"/>
  <c r="D97" i="4"/>
  <c r="C98" i="4"/>
  <c r="D98" i="4" s="1"/>
  <c r="C99" i="4"/>
  <c r="D99" i="4" s="1"/>
  <c r="C100" i="4"/>
  <c r="D100" i="4"/>
  <c r="C101" i="4"/>
  <c r="D101" i="4"/>
  <c r="D87" i="4"/>
  <c r="C87" i="4"/>
  <c r="C53" i="4"/>
  <c r="C54" i="4"/>
  <c r="D79" i="4"/>
  <c r="D54" i="4"/>
  <c r="C55" i="4"/>
  <c r="D55" i="4"/>
  <c r="C56" i="4"/>
  <c r="D56" i="4"/>
  <c r="C57" i="4"/>
  <c r="D57" i="4"/>
  <c r="C58" i="4"/>
  <c r="D58" i="4"/>
  <c r="C59" i="4"/>
  <c r="D59" i="4"/>
  <c r="C60" i="4"/>
  <c r="D60" i="4"/>
  <c r="C61" i="4"/>
  <c r="D61" i="4"/>
  <c r="C62" i="4"/>
  <c r="D62" i="4"/>
  <c r="C63" i="4"/>
  <c r="D63" i="4"/>
  <c r="C64" i="4"/>
  <c r="D64" i="4"/>
  <c r="C65" i="4"/>
  <c r="D65" i="4"/>
  <c r="C66" i="4"/>
  <c r="D66" i="4"/>
  <c r="C67" i="4"/>
  <c r="D67" i="4"/>
  <c r="C68" i="4"/>
  <c r="D68" i="4"/>
  <c r="C69" i="4"/>
  <c r="D69" i="4"/>
  <c r="C70" i="4"/>
  <c r="D70" i="4"/>
  <c r="C71" i="4"/>
  <c r="D71" i="4"/>
  <c r="C72" i="4"/>
  <c r="D72" i="4"/>
  <c r="C73" i="4"/>
  <c r="D73" i="4"/>
  <c r="C74" i="4"/>
  <c r="D74" i="4"/>
  <c r="C75" i="4"/>
  <c r="D75" i="4"/>
  <c r="C76" i="4"/>
  <c r="D76" i="4"/>
  <c r="C77" i="4"/>
  <c r="D77" i="4"/>
  <c r="C78" i="4"/>
  <c r="D78" i="4"/>
  <c r="C79" i="4"/>
  <c r="D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53" i="4"/>
  <c r="X20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21" i="4"/>
  <c r="Q22" i="4" a="1"/>
  <c r="Q22" i="4" s="1"/>
  <c r="R22" i="4" s="1"/>
  <c r="S22" i="4" a="1"/>
  <c r="S22" i="4" s="1"/>
  <c r="T22" i="4" s="1"/>
  <c r="Q23" i="4" a="1"/>
  <c r="Q23" i="4"/>
  <c r="R23" i="4" s="1"/>
  <c r="S23" i="4" a="1"/>
  <c r="S23" i="4" s="1"/>
  <c r="T23" i="4" s="1"/>
  <c r="Q24" i="4" a="1"/>
  <c r="Q24" i="4"/>
  <c r="R24" i="4" s="1"/>
  <c r="S24" i="4" a="1"/>
  <c r="S24" i="4" s="1"/>
  <c r="T24" i="4" s="1"/>
  <c r="Q25" i="4" a="1"/>
  <c r="Q25" i="4"/>
  <c r="R25" i="4"/>
  <c r="S25" i="4" a="1"/>
  <c r="S25" i="4" s="1"/>
  <c r="T25" i="4" s="1"/>
  <c r="Q26" i="4" a="1"/>
  <c r="Q26" i="4" s="1"/>
  <c r="R26" i="4" s="1"/>
  <c r="S26" i="4" a="1"/>
  <c r="S26" i="4"/>
  <c r="T26" i="4"/>
  <c r="Q27" i="4" a="1"/>
  <c r="Q27" i="4"/>
  <c r="R27" i="4" s="1"/>
  <c r="S27" i="4" a="1"/>
  <c r="S27" i="4" s="1"/>
  <c r="T27" i="4" s="1"/>
  <c r="Q28" i="4" a="1"/>
  <c r="Q28" i="4"/>
  <c r="R28" i="4" s="1"/>
  <c r="S28" i="4" a="1"/>
  <c r="S28" i="4" s="1"/>
  <c r="T28" i="4" s="1"/>
  <c r="Q29" i="4" a="1"/>
  <c r="Q29" i="4"/>
  <c r="R29" i="4"/>
  <c r="S29" i="4" a="1"/>
  <c r="S29" i="4" s="1"/>
  <c r="T29" i="4" s="1"/>
  <c r="Q30" i="4" a="1"/>
  <c r="Q30" i="4" s="1"/>
  <c r="R30" i="4" s="1"/>
  <c r="S30" i="4" a="1"/>
  <c r="S30" i="4"/>
  <c r="T30" i="4"/>
  <c r="Q31" i="4" a="1"/>
  <c r="Q31" i="4"/>
  <c r="R31" i="4" s="1"/>
  <c r="S31" i="4" a="1"/>
  <c r="S31" i="4" s="1"/>
  <c r="T31" i="4" s="1"/>
  <c r="Q32" i="4" a="1"/>
  <c r="Q32" i="4"/>
  <c r="R32" i="4" s="1"/>
  <c r="S32" i="4" a="1"/>
  <c r="S32" i="4" s="1"/>
  <c r="T32" i="4" s="1"/>
  <c r="Q33" i="4" a="1"/>
  <c r="Q33" i="4"/>
  <c r="R33" i="4"/>
  <c r="S33" i="4" a="1"/>
  <c r="S33" i="4" s="1"/>
  <c r="T33" i="4" s="1"/>
  <c r="Q34" i="4" a="1"/>
  <c r="Q34" i="4" s="1"/>
  <c r="R34" i="4" s="1"/>
  <c r="S34" i="4" a="1"/>
  <c r="S34" i="4"/>
  <c r="T34" i="4"/>
  <c r="Q35" i="4" a="1"/>
  <c r="Q35" i="4"/>
  <c r="R35" i="4" s="1"/>
  <c r="S35" i="4" a="1"/>
  <c r="S35" i="4" s="1"/>
  <c r="T35" i="4" s="1"/>
  <c r="Q36" i="4" a="1"/>
  <c r="Q36" i="4"/>
  <c r="R36" i="4" s="1"/>
  <c r="S36" i="4" a="1"/>
  <c r="S36" i="4" s="1"/>
  <c r="T36" i="4" s="1"/>
  <c r="Q37" i="4" a="1"/>
  <c r="Q37" i="4"/>
  <c r="R37" i="4"/>
  <c r="S37" i="4" a="1"/>
  <c r="S37" i="4" s="1"/>
  <c r="T37" i="4" s="1"/>
  <c r="Q38" i="4" a="1"/>
  <c r="Q38" i="4" s="1"/>
  <c r="R38" i="4" s="1"/>
  <c r="S38" i="4" a="1"/>
  <c r="S38" i="4"/>
  <c r="T38" i="4"/>
  <c r="Q39" i="4" a="1"/>
  <c r="Q39" i="4"/>
  <c r="R39" i="4" s="1"/>
  <c r="S39" i="4" a="1"/>
  <c r="S39" i="4" s="1"/>
  <c r="T39" i="4" s="1"/>
  <c r="Q40" i="4" a="1"/>
  <c r="Q40" i="4"/>
  <c r="R40" i="4" s="1"/>
  <c r="S40" i="4" a="1"/>
  <c r="S40" i="4" s="1"/>
  <c r="T40" i="4" s="1"/>
  <c r="Q41" i="4" a="1"/>
  <c r="Q41" i="4"/>
  <c r="R41" i="4"/>
  <c r="S41" i="4" a="1"/>
  <c r="S41" i="4" s="1"/>
  <c r="T41" i="4" s="1"/>
  <c r="Q42" i="4" a="1"/>
  <c r="Q42" i="4" s="1"/>
  <c r="R42" i="4" s="1"/>
  <c r="S42" i="4" a="1"/>
  <c r="S42" i="4"/>
  <c r="T42" i="4"/>
  <c r="Q43" i="4" a="1"/>
  <c r="Q43" i="4"/>
  <c r="R43" i="4" s="1"/>
  <c r="S43" i="4" a="1"/>
  <c r="S43" i="4" s="1"/>
  <c r="T43" i="4" s="1"/>
  <c r="Q44" i="4" a="1"/>
  <c r="Q44" i="4"/>
  <c r="R44" i="4" s="1"/>
  <c r="S44" i="4" a="1"/>
  <c r="S44" i="4" s="1"/>
  <c r="T44" i="4" s="1"/>
  <c r="Q45" i="4" a="1"/>
  <c r="Q45" i="4"/>
  <c r="R45" i="4"/>
  <c r="S45" i="4" a="1"/>
  <c r="S45" i="4" s="1"/>
  <c r="T45" i="4" s="1"/>
  <c r="Q46" i="4" a="1"/>
  <c r="Q46" i="4"/>
  <c r="R46" i="4" s="1"/>
  <c r="S46" i="4" a="1"/>
  <c r="S46" i="4"/>
  <c r="T46" i="4"/>
  <c r="Q47" i="4" a="1"/>
  <c r="Q47" i="4"/>
  <c r="R47" i="4" s="1"/>
  <c r="S47" i="4" a="1"/>
  <c r="S47" i="4" s="1"/>
  <c r="T47" i="4" s="1"/>
  <c r="T21" i="4"/>
  <c r="R21" i="4"/>
  <c r="S21" i="4" a="1"/>
  <c r="S21" i="4"/>
  <c r="Q21" i="4" a="1"/>
  <c r="Q21" i="4" s="1"/>
  <c r="L22" i="4"/>
  <c r="M22" i="4"/>
  <c r="N22" i="4"/>
  <c r="O22" i="4"/>
  <c r="L23" i="4"/>
  <c r="M23" i="4"/>
  <c r="N23" i="4"/>
  <c r="O23" i="4"/>
  <c r="L24" i="4"/>
  <c r="M24" i="4"/>
  <c r="N24" i="4"/>
  <c r="O24" i="4"/>
  <c r="L25" i="4"/>
  <c r="M25" i="4"/>
  <c r="N25" i="4"/>
  <c r="O25" i="4"/>
  <c r="L26" i="4"/>
  <c r="M26" i="4"/>
  <c r="N26" i="4"/>
  <c r="O26" i="4"/>
  <c r="L27" i="4"/>
  <c r="M27" i="4"/>
  <c r="N27" i="4"/>
  <c r="O27" i="4"/>
  <c r="L28" i="4"/>
  <c r="M28" i="4"/>
  <c r="N28" i="4"/>
  <c r="O28" i="4"/>
  <c r="L29" i="4"/>
  <c r="M29" i="4"/>
  <c r="N29" i="4"/>
  <c r="O29" i="4"/>
  <c r="L30" i="4"/>
  <c r="M30" i="4"/>
  <c r="N30" i="4"/>
  <c r="O30" i="4"/>
  <c r="L31" i="4"/>
  <c r="M31" i="4"/>
  <c r="N31" i="4"/>
  <c r="O31" i="4"/>
  <c r="L32" i="4"/>
  <c r="M32" i="4"/>
  <c r="N32" i="4"/>
  <c r="O32" i="4"/>
  <c r="L33" i="4"/>
  <c r="M33" i="4"/>
  <c r="N33" i="4"/>
  <c r="O33" i="4"/>
  <c r="L34" i="4"/>
  <c r="M34" i="4"/>
  <c r="N34" i="4"/>
  <c r="O34" i="4"/>
  <c r="L35" i="4"/>
  <c r="M35" i="4"/>
  <c r="N35" i="4"/>
  <c r="O35" i="4"/>
  <c r="L36" i="4"/>
  <c r="M36" i="4"/>
  <c r="N36" i="4"/>
  <c r="O36" i="4"/>
  <c r="L37" i="4"/>
  <c r="M37" i="4"/>
  <c r="N37" i="4"/>
  <c r="O37" i="4"/>
  <c r="L38" i="4"/>
  <c r="M38" i="4"/>
  <c r="N38" i="4"/>
  <c r="O38" i="4"/>
  <c r="L39" i="4"/>
  <c r="M39" i="4"/>
  <c r="N39" i="4"/>
  <c r="O39" i="4"/>
  <c r="L40" i="4"/>
  <c r="M40" i="4"/>
  <c r="N40" i="4"/>
  <c r="O40" i="4"/>
  <c r="L41" i="4"/>
  <c r="M41" i="4"/>
  <c r="N41" i="4"/>
  <c r="O41" i="4"/>
  <c r="L42" i="4"/>
  <c r="M42" i="4"/>
  <c r="N42" i="4"/>
  <c r="O42" i="4"/>
  <c r="L43" i="4"/>
  <c r="M43" i="4"/>
  <c r="N43" i="4"/>
  <c r="O43" i="4"/>
  <c r="L44" i="4"/>
  <c r="M44" i="4"/>
  <c r="N44" i="4"/>
  <c r="O44" i="4"/>
  <c r="L45" i="4"/>
  <c r="M45" i="4"/>
  <c r="N45" i="4"/>
  <c r="O45" i="4"/>
  <c r="L46" i="4"/>
  <c r="M46" i="4"/>
  <c r="N46" i="4"/>
  <c r="O46" i="4"/>
  <c r="L47" i="4"/>
  <c r="M47" i="4"/>
  <c r="N47" i="4"/>
  <c r="O47" i="4"/>
  <c r="O21" i="4"/>
  <c r="N21" i="4"/>
  <c r="M21" i="4"/>
  <c r="L21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H22" i="4" a="1"/>
  <c r="H22" i="4" s="1"/>
  <c r="I22" i="4" a="1"/>
  <c r="I22" i="4"/>
  <c r="H23" i="4" a="1"/>
  <c r="H23" i="4" s="1"/>
  <c r="I23" i="4" a="1"/>
  <c r="I23" i="4" s="1"/>
  <c r="H24" i="4" a="1"/>
  <c r="H24" i="4" s="1"/>
  <c r="I24" i="4" a="1"/>
  <c r="I24" i="4"/>
  <c r="H25" i="4" a="1"/>
  <c r="H25" i="4"/>
  <c r="I25" i="4" a="1"/>
  <c r="I25" i="4"/>
  <c r="H26" i="4" a="1"/>
  <c r="H26" i="4" s="1"/>
  <c r="I26" i="4" a="1"/>
  <c r="I26" i="4"/>
  <c r="H27" i="4" a="1"/>
  <c r="H27" i="4"/>
  <c r="I27" i="4" a="1"/>
  <c r="I27" i="4"/>
  <c r="H28" i="4" a="1"/>
  <c r="H28" i="4" s="1"/>
  <c r="I28" i="4" a="1"/>
  <c r="I28" i="4"/>
  <c r="H29" i="4" a="1"/>
  <c r="H29" i="4"/>
  <c r="I29" i="4" a="1"/>
  <c r="I29" i="4"/>
  <c r="H30" i="4" a="1"/>
  <c r="H30" i="4" s="1"/>
  <c r="I30" i="4" a="1"/>
  <c r="I30" i="4"/>
  <c r="H31" i="4" a="1"/>
  <c r="H31" i="4"/>
  <c r="I31" i="4" a="1"/>
  <c r="I31" i="4"/>
  <c r="H32" i="4" a="1"/>
  <c r="H32" i="4" s="1"/>
  <c r="I32" i="4" a="1"/>
  <c r="I32" i="4"/>
  <c r="H33" i="4" a="1"/>
  <c r="H33" i="4"/>
  <c r="I33" i="4" a="1"/>
  <c r="I33" i="4"/>
  <c r="H34" i="4" a="1"/>
  <c r="H34" i="4" s="1"/>
  <c r="I34" i="4" a="1"/>
  <c r="I34" i="4"/>
  <c r="H35" i="4" a="1"/>
  <c r="H35" i="4"/>
  <c r="I35" i="4" a="1"/>
  <c r="I35" i="4"/>
  <c r="H36" i="4" a="1"/>
  <c r="H36" i="4" s="1"/>
  <c r="I36" i="4" a="1"/>
  <c r="I36" i="4"/>
  <c r="H37" i="4" a="1"/>
  <c r="H37" i="4"/>
  <c r="I37" i="4" a="1"/>
  <c r="I37" i="4"/>
  <c r="H38" i="4" a="1"/>
  <c r="H38" i="4" s="1"/>
  <c r="I38" i="4" a="1"/>
  <c r="I38" i="4"/>
  <c r="H39" i="4" a="1"/>
  <c r="H39" i="4"/>
  <c r="I39" i="4" a="1"/>
  <c r="I39" i="4"/>
  <c r="H40" i="4" a="1"/>
  <c r="H40" i="4" s="1"/>
  <c r="I40" i="4" a="1"/>
  <c r="I40" i="4"/>
  <c r="H41" i="4" a="1"/>
  <c r="H41" i="4"/>
  <c r="I41" i="4" a="1"/>
  <c r="I41" i="4" s="1"/>
  <c r="H42" i="4" a="1"/>
  <c r="H42" i="4" s="1"/>
  <c r="I42" i="4" a="1"/>
  <c r="I42" i="4"/>
  <c r="H43" i="4" a="1"/>
  <c r="H43" i="4"/>
  <c r="I43" i="4" a="1"/>
  <c r="I43" i="4"/>
  <c r="H44" i="4" a="1"/>
  <c r="H44" i="4" s="1"/>
  <c r="I44" i="4" a="1"/>
  <c r="I44" i="4"/>
  <c r="H45" i="4" a="1"/>
  <c r="H45" i="4"/>
  <c r="I45" i="4" a="1"/>
  <c r="I45" i="4"/>
  <c r="H46" i="4" a="1"/>
  <c r="H46" i="4" s="1"/>
  <c r="I46" i="4" a="1"/>
  <c r="I46" i="4"/>
  <c r="H47" i="4" a="1"/>
  <c r="H47" i="4"/>
  <c r="I47" i="4" a="1"/>
  <c r="I47" i="4"/>
  <c r="I21" i="4" a="1"/>
  <c r="I21" i="4" s="1"/>
  <c r="H21" i="4" a="1"/>
  <c r="H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E45" i="4"/>
  <c r="F45" i="4"/>
  <c r="E46" i="4"/>
  <c r="F46" i="4"/>
  <c r="E47" i="4"/>
  <c r="F47" i="4"/>
  <c r="F21" i="4"/>
  <c r="E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21" i="4"/>
  <c r="D10" i="4"/>
  <c r="D9" i="4"/>
  <c r="C9" i="4"/>
  <c r="C7" i="4"/>
  <c r="D5" i="4"/>
  <c r="C5" i="4"/>
  <c r="L48" i="6" l="1" a="1"/>
  <c r="L48" i="6" s="1"/>
  <c r="H48" i="6" a="1"/>
  <c r="H48" i="6" s="1"/>
  <c r="F41" i="6" a="1"/>
  <c r="F41" i="6" s="1"/>
  <c r="E41" i="6" a="1"/>
  <c r="E41" i="6" s="1"/>
  <c r="B41" i="6" a="1"/>
  <c r="B41" i="6" s="1"/>
  <c r="C36" i="6"/>
  <c r="D36" i="6"/>
  <c r="B36" i="6"/>
  <c r="B34" i="6" a="1"/>
  <c r="B34" i="6" s="1"/>
  <c r="L29" i="6"/>
  <c r="H29" i="6" a="1"/>
  <c r="H29" i="6" s="1"/>
  <c r="F21" i="6"/>
  <c r="C21" i="6"/>
  <c r="D21" i="6"/>
  <c r="B21" i="6"/>
  <c r="B19" i="6" a="1"/>
  <c r="B19" i="6" s="1"/>
  <c r="G18" i="6"/>
  <c r="F18" i="6"/>
  <c r="E18" i="6"/>
  <c r="L14" i="6" a="1"/>
  <c r="L14" i="6" s="1"/>
  <c r="H14" i="6" a="1"/>
  <c r="H14" i="6" s="1"/>
  <c r="F10" i="6"/>
  <c r="C10" i="6"/>
  <c r="D10" i="6"/>
  <c r="B10" i="6"/>
  <c r="B8" i="6" a="1"/>
  <c r="B8" i="6" s="1"/>
  <c r="H7" i="6"/>
  <c r="G7" i="6"/>
  <c r="F7" i="6"/>
  <c r="R4" i="6"/>
  <c r="P4" i="6"/>
  <c r="P5" i="6"/>
  <c r="P3" i="6"/>
  <c r="O3" i="6"/>
  <c r="N3" i="6"/>
  <c r="L3" i="6" a="1"/>
  <c r="L3" i="6" s="1"/>
  <c r="H3" i="6" a="1"/>
  <c r="H3" i="6" s="1"/>
  <c r="T51" i="5" l="1" a="1"/>
  <c r="T51" i="5" s="1"/>
  <c r="P51" i="5" a="1"/>
  <c r="P51" i="5" s="1"/>
  <c r="R45" i="5" a="1"/>
  <c r="R45" i="5" s="1"/>
  <c r="O39" i="5" a="1"/>
  <c r="O39" i="5" s="1"/>
  <c r="S39" i="5" s="1" a="1"/>
  <c r="S39" i="5" s="1"/>
  <c r="O36" i="5" a="1"/>
  <c r="O36" i="5" s="1"/>
  <c r="S36" i="5" s="1" a="1"/>
  <c r="S36" i="5" s="1"/>
  <c r="O33" i="5" a="1"/>
  <c r="O33" i="5" s="1"/>
  <c r="S33" i="5" s="1" a="1"/>
  <c r="S33" i="5" s="1"/>
  <c r="S18" i="5" a="1"/>
  <c r="S18" i="5" s="1"/>
  <c r="U18" i="5" s="1"/>
  <c r="U15" i="5"/>
  <c r="S15" i="5" a="1"/>
  <c r="S15" i="5" s="1"/>
  <c r="S12" i="5" a="1"/>
  <c r="S12" i="5" s="1"/>
  <c r="K28" i="5" a="1"/>
  <c r="K28" i="5" s="1"/>
  <c r="O19" i="5"/>
  <c r="O16" i="5"/>
  <c r="O13" i="5"/>
  <c r="O18" i="5" a="1"/>
  <c r="O18" i="5" s="1"/>
  <c r="O15" i="5" a="1"/>
  <c r="O15" i="5" s="1"/>
  <c r="O12" i="5" a="1"/>
  <c r="O12" i="5" s="1"/>
  <c r="O7" i="5" a="1"/>
  <c r="O7" i="5" s="1"/>
  <c r="P3" i="5" a="1"/>
  <c r="P3" i="5" s="1"/>
  <c r="K2" i="5" a="1"/>
  <c r="K2" i="5" s="1"/>
  <c r="B88" i="4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22" i="4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E15" i="4"/>
  <c r="H14" i="4" s="1" a="1"/>
  <c r="E14" i="4"/>
  <c r="D14" i="4"/>
  <c r="T33" i="5" l="1"/>
  <c r="T36" i="5"/>
  <c r="I14" i="4"/>
  <c r="H14" i="4"/>
  <c r="H13" i="4"/>
  <c r="H5" i="3" l="1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H14" i="3"/>
  <c r="I14" i="3"/>
  <c r="J14" i="3"/>
  <c r="K14" i="3"/>
  <c r="H15" i="3"/>
  <c r="I15" i="3"/>
  <c r="J15" i="3"/>
  <c r="K15" i="3"/>
  <c r="H16" i="3"/>
  <c r="I16" i="3"/>
  <c r="J16" i="3"/>
  <c r="K16" i="3"/>
  <c r="H17" i="3"/>
  <c r="I17" i="3"/>
  <c r="J17" i="3"/>
  <c r="K17" i="3"/>
  <c r="H18" i="3"/>
  <c r="I18" i="3"/>
  <c r="J18" i="3"/>
  <c r="K18" i="3"/>
  <c r="H19" i="3"/>
  <c r="I19" i="3"/>
  <c r="J19" i="3"/>
  <c r="K19" i="3"/>
  <c r="H20" i="3"/>
  <c r="I20" i="3"/>
  <c r="J20" i="3"/>
  <c r="K20" i="3"/>
  <c r="H21" i="3"/>
  <c r="I21" i="3"/>
  <c r="J21" i="3"/>
  <c r="K21" i="3"/>
  <c r="H22" i="3"/>
  <c r="I22" i="3"/>
  <c r="J22" i="3"/>
  <c r="K22" i="3"/>
  <c r="H23" i="3"/>
  <c r="I23" i="3"/>
  <c r="J23" i="3"/>
  <c r="K23" i="3"/>
  <c r="H24" i="3"/>
  <c r="I24" i="3"/>
  <c r="J24" i="3"/>
  <c r="K24" i="3"/>
  <c r="H25" i="3"/>
  <c r="I25" i="3"/>
  <c r="J25" i="3"/>
  <c r="K25" i="3"/>
  <c r="H26" i="3"/>
  <c r="I26" i="3"/>
  <c r="J26" i="3"/>
  <c r="K26" i="3"/>
  <c r="H27" i="3"/>
  <c r="I27" i="3"/>
  <c r="J27" i="3"/>
  <c r="K27" i="3"/>
  <c r="H28" i="3"/>
  <c r="I28" i="3"/>
  <c r="J28" i="3"/>
  <c r="K28" i="3"/>
  <c r="H29" i="3"/>
  <c r="I29" i="3"/>
  <c r="J29" i="3"/>
  <c r="K29" i="3"/>
  <c r="H30" i="3"/>
  <c r="I30" i="3"/>
  <c r="J30" i="3"/>
  <c r="K30" i="3"/>
  <c r="H31" i="3"/>
  <c r="I31" i="3"/>
  <c r="J31" i="3"/>
  <c r="K31" i="3"/>
  <c r="H32" i="3"/>
  <c r="I32" i="3"/>
  <c r="J32" i="3"/>
  <c r="K32" i="3"/>
  <c r="H33" i="3"/>
  <c r="I33" i="3"/>
  <c r="J33" i="3"/>
  <c r="K33" i="3"/>
  <c r="H34" i="3"/>
  <c r="I34" i="3"/>
  <c r="J34" i="3"/>
  <c r="K34" i="3"/>
  <c r="H35" i="3"/>
  <c r="I35" i="3"/>
  <c r="J35" i="3"/>
  <c r="K35" i="3"/>
  <c r="H36" i="3"/>
  <c r="I36" i="3"/>
  <c r="J36" i="3"/>
  <c r="K36" i="3"/>
  <c r="H37" i="3"/>
  <c r="I37" i="3"/>
  <c r="J37" i="3"/>
  <c r="K37" i="3"/>
  <c r="H38" i="3"/>
  <c r="I38" i="3"/>
  <c r="J38" i="3"/>
  <c r="K38" i="3"/>
  <c r="H39" i="3"/>
  <c r="I39" i="3"/>
  <c r="J39" i="3"/>
  <c r="K39" i="3"/>
  <c r="H40" i="3"/>
  <c r="I40" i="3"/>
  <c r="J40" i="3"/>
  <c r="K40" i="3"/>
  <c r="H41" i="3"/>
  <c r="I41" i="3"/>
  <c r="J41" i="3"/>
  <c r="K41" i="3"/>
  <c r="H42" i="3"/>
  <c r="I42" i="3"/>
  <c r="J42" i="3"/>
  <c r="K42" i="3"/>
  <c r="H43" i="3"/>
  <c r="I43" i="3"/>
  <c r="J43" i="3"/>
  <c r="K43" i="3"/>
  <c r="H44" i="3"/>
  <c r="I44" i="3"/>
  <c r="J44" i="3"/>
  <c r="K44" i="3"/>
  <c r="H45" i="3"/>
  <c r="I45" i="3"/>
  <c r="J45" i="3"/>
  <c r="K45" i="3"/>
  <c r="H46" i="3"/>
  <c r="I46" i="3"/>
  <c r="J46" i="3"/>
  <c r="K46" i="3"/>
  <c r="H4" i="3"/>
  <c r="J4" i="3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26" i="2"/>
  <c r="J26" i="2" a="1"/>
  <c r="J26" i="2" s="1"/>
  <c r="F26" i="2" s="1" a="1"/>
  <c r="F26" i="2" s="1"/>
  <c r="G26" i="2" s="1"/>
  <c r="F27" i="2" a="1"/>
  <c r="F27" i="2" s="1"/>
  <c r="G27" i="2" s="1"/>
  <c r="F28" i="2" a="1"/>
  <c r="F28" i="2"/>
  <c r="G28" i="2" s="1"/>
  <c r="F29" i="2" a="1"/>
  <c r="F29" i="2"/>
  <c r="G29" i="2" s="1"/>
  <c r="F30" i="2" a="1"/>
  <c r="F30" i="2"/>
  <c r="G30" i="2" s="1"/>
  <c r="F31" i="2" a="1"/>
  <c r="F31" i="2" s="1"/>
  <c r="G31" i="2" s="1"/>
  <c r="F32" i="2" a="1"/>
  <c r="F32" i="2"/>
  <c r="F33" i="2" a="1"/>
  <c r="F33" i="2"/>
  <c r="F34" i="2" a="1"/>
  <c r="F34" i="2"/>
  <c r="F35" i="2" a="1"/>
  <c r="F35" i="2" s="1"/>
  <c r="G35" i="2" s="1"/>
  <c r="F36" i="2" a="1"/>
  <c r="F36" i="2"/>
  <c r="G36" i="2" s="1"/>
  <c r="F37" i="2" a="1"/>
  <c r="F37" i="2"/>
  <c r="G37" i="2" s="1"/>
  <c r="F38" i="2" a="1"/>
  <c r="F38" i="2"/>
  <c r="G38" i="2" s="1"/>
  <c r="F39" i="2" a="1"/>
  <c r="F39" i="2" s="1"/>
  <c r="G39" i="2" s="1"/>
  <c r="F40" i="2" a="1"/>
  <c r="F40" i="2"/>
  <c r="F41" i="2" a="1"/>
  <c r="F41" i="2"/>
  <c r="F42" i="2" a="1"/>
  <c r="F42" i="2"/>
  <c r="F43" i="2" a="1"/>
  <c r="F43" i="2" s="1"/>
  <c r="G43" i="2" s="1"/>
  <c r="F44" i="2" a="1"/>
  <c r="F44" i="2"/>
  <c r="G44" i="2" s="1"/>
  <c r="F45" i="2" a="1"/>
  <c r="F45" i="2"/>
  <c r="G45" i="2" s="1"/>
  <c r="F46" i="2" a="1"/>
  <c r="F46" i="2"/>
  <c r="G46" i="2" s="1"/>
  <c r="J27" i="2" a="1"/>
  <c r="J27" i="2" s="1"/>
  <c r="J28" i="2" a="1"/>
  <c r="J28" i="2" s="1"/>
  <c r="J29" i="2" a="1"/>
  <c r="J29" i="2"/>
  <c r="J30" i="2" a="1"/>
  <c r="J30" i="2"/>
  <c r="J31" i="2" a="1"/>
  <c r="J31" i="2" s="1"/>
  <c r="J32" i="2" a="1"/>
  <c r="J32" i="2" s="1"/>
  <c r="J33" i="2" a="1"/>
  <c r="J33" i="2"/>
  <c r="J34" i="2" a="1"/>
  <c r="J34" i="2"/>
  <c r="J35" i="2" a="1"/>
  <c r="J35" i="2" s="1"/>
  <c r="J36" i="2" a="1"/>
  <c r="J36" i="2" s="1"/>
  <c r="J37" i="2" a="1"/>
  <c r="J37" i="2"/>
  <c r="J38" i="2" a="1"/>
  <c r="J38" i="2"/>
  <c r="J39" i="2" a="1"/>
  <c r="J39" i="2" s="1"/>
  <c r="J40" i="2" a="1"/>
  <c r="J40" i="2" s="1"/>
  <c r="J41" i="2" a="1"/>
  <c r="J41" i="2"/>
  <c r="J42" i="2" a="1"/>
  <c r="J42" i="2"/>
  <c r="J43" i="2" a="1"/>
  <c r="J43" i="2" s="1"/>
  <c r="J44" i="2" a="1"/>
  <c r="J44" i="2" s="1"/>
  <c r="J45" i="2" a="1"/>
  <c r="J45" i="2"/>
  <c r="J46" i="2" a="1"/>
  <c r="J46" i="2"/>
  <c r="G32" i="2"/>
  <c r="G33" i="2"/>
  <c r="G34" i="2"/>
  <c r="G40" i="2"/>
  <c r="G41" i="2"/>
  <c r="G42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26" i="2"/>
  <c r="C24" i="2"/>
  <c r="C23" i="2"/>
  <c r="C27" i="2"/>
  <c r="E27" i="2" s="1" a="1"/>
  <c r="E27" i="2" s="1"/>
  <c r="C28" i="2"/>
  <c r="E28" i="2" s="1" a="1"/>
  <c r="E28" i="2" s="1"/>
  <c r="C29" i="2"/>
  <c r="E29" i="2" s="1" a="1"/>
  <c r="E29" i="2" s="1"/>
  <c r="C30" i="2"/>
  <c r="E30" i="2" s="1" a="1"/>
  <c r="E30" i="2" s="1"/>
  <c r="C31" i="2"/>
  <c r="E31" i="2" s="1" a="1"/>
  <c r="E31" i="2" s="1"/>
  <c r="C32" i="2"/>
  <c r="E32" i="2" s="1" a="1"/>
  <c r="E32" i="2" s="1"/>
  <c r="C33" i="2"/>
  <c r="E33" i="2" s="1" a="1"/>
  <c r="E33" i="2" s="1"/>
  <c r="C34" i="2"/>
  <c r="E34" i="2" s="1" a="1"/>
  <c r="E34" i="2" s="1"/>
  <c r="C35" i="2"/>
  <c r="E35" i="2" s="1" a="1"/>
  <c r="E35" i="2" s="1"/>
  <c r="C36" i="2"/>
  <c r="E36" i="2" s="1" a="1"/>
  <c r="E36" i="2" s="1"/>
  <c r="C37" i="2"/>
  <c r="E37" i="2" s="1" a="1"/>
  <c r="E37" i="2" s="1"/>
  <c r="C38" i="2"/>
  <c r="E38" i="2" s="1" a="1"/>
  <c r="E38" i="2" s="1"/>
  <c r="C39" i="2"/>
  <c r="E39" i="2" s="1" a="1"/>
  <c r="E39" i="2" s="1"/>
  <c r="C40" i="2"/>
  <c r="E40" i="2" s="1" a="1"/>
  <c r="E40" i="2" s="1"/>
  <c r="C41" i="2"/>
  <c r="E41" i="2" s="1" a="1"/>
  <c r="E41" i="2" s="1"/>
  <c r="C42" i="2"/>
  <c r="E42" i="2" s="1" a="1"/>
  <c r="E42" i="2" s="1"/>
  <c r="C43" i="2"/>
  <c r="E43" i="2" s="1" a="1"/>
  <c r="E43" i="2" s="1"/>
  <c r="C44" i="2"/>
  <c r="E44" i="2" s="1" a="1"/>
  <c r="E44" i="2" s="1"/>
  <c r="C45" i="2"/>
  <c r="E45" i="2" s="1" a="1"/>
  <c r="E45" i="2" s="1"/>
  <c r="C46" i="2"/>
  <c r="E46" i="2" s="1" a="1"/>
  <c r="E46" i="2" s="1"/>
  <c r="C26" i="2"/>
  <c r="E26" i="2" s="1" a="1"/>
  <c r="E26" i="2" s="1"/>
  <c r="M18" i="2"/>
  <c r="M17" i="2" a="1"/>
  <c r="M17" i="2" s="1"/>
  <c r="M16" i="2" a="1"/>
  <c r="M16" i="2" s="1"/>
  <c r="H16" i="2" a="1"/>
  <c r="H16" i="2" s="1"/>
  <c r="F17" i="2"/>
  <c r="F18" i="2"/>
  <c r="F16" i="2"/>
  <c r="C16" i="2"/>
  <c r="B16" i="2" a="1"/>
  <c r="B16" i="2" s="1"/>
  <c r="S25" i="1" a="1"/>
  <c r="S25" i="1" s="1"/>
  <c r="O25" i="1" a="1"/>
  <c r="O25" i="1" s="1"/>
  <c r="Q25" i="1" a="1"/>
  <c r="Q25" i="1" s="1"/>
  <c r="M4" i="2" a="1"/>
  <c r="M4" i="2" s="1"/>
  <c r="K5" i="2"/>
  <c r="K6" i="2"/>
  <c r="K4" i="2"/>
  <c r="K4" i="3" l="1"/>
  <c r="I4" i="3"/>
  <c r="N4" i="2"/>
  <c r="Q4" i="2" s="1"/>
  <c r="O5" i="3" l="1"/>
  <c r="P5" i="3"/>
  <c r="Q5" i="3"/>
  <c r="Q4" i="3"/>
  <c r="Q5" i="2"/>
  <c r="S4" i="2" s="1" a="1"/>
  <c r="Q6" i="2"/>
  <c r="I25" i="1" a="1"/>
  <c r="I25" i="1" s="1"/>
  <c r="C9" i="2" a="1"/>
  <c r="C9" i="2" s="1"/>
  <c r="D89" i="1" a="1"/>
  <c r="D89" i="1" s="1"/>
  <c r="D93" i="1" a="1"/>
  <c r="D93" i="1" s="1"/>
  <c r="D111" i="1" a="1"/>
  <c r="D111" i="1" s="1"/>
  <c r="D112" i="1" a="1"/>
  <c r="D112" i="1" s="1"/>
  <c r="D116" i="1" a="1"/>
  <c r="D116" i="1" s="1"/>
  <c r="D125" i="1" a="1"/>
  <c r="D125" i="1" s="1"/>
  <c r="D130" i="1" a="1"/>
  <c r="D130" i="1" s="1"/>
  <c r="D134" i="1" a="1"/>
  <c r="D134" i="1" s="1"/>
  <c r="D143" i="1" a="1"/>
  <c r="D143" i="1" s="1"/>
  <c r="D144" i="1" a="1"/>
  <c r="D144" i="1" s="1"/>
  <c r="D148" i="1" a="1"/>
  <c r="D148" i="1"/>
  <c r="D162" i="1" a="1"/>
  <c r="D162" i="1" s="1"/>
  <c r="D165" i="1" a="1"/>
  <c r="D165" i="1" s="1"/>
  <c r="D166" i="1" a="1"/>
  <c r="D166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D153" i="1" s="1" a="1"/>
  <c r="D153" i="1" s="1"/>
  <c r="C152" i="1"/>
  <c r="C151" i="1"/>
  <c r="C150" i="1"/>
  <c r="C149" i="1"/>
  <c r="C148" i="1"/>
  <c r="C147" i="1"/>
  <c r="C146" i="1"/>
  <c r="C145" i="1"/>
  <c r="C144" i="1"/>
  <c r="C143" i="1"/>
  <c r="C142" i="1"/>
  <c r="C141" i="1"/>
  <c r="D141" i="1" s="1" a="1"/>
  <c r="D141" i="1" s="1"/>
  <c r="C140" i="1"/>
  <c r="C139" i="1"/>
  <c r="D139" i="1" s="1" a="1"/>
  <c r="D139" i="1" s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D121" i="1" s="1" a="1"/>
  <c r="D121" i="1" s="1"/>
  <c r="C120" i="1"/>
  <c r="C119" i="1"/>
  <c r="C118" i="1"/>
  <c r="C117" i="1"/>
  <c r="C116" i="1"/>
  <c r="C115" i="1"/>
  <c r="C114" i="1"/>
  <c r="C113" i="1"/>
  <c r="C112" i="1"/>
  <c r="C111" i="1"/>
  <c r="C110" i="1"/>
  <c r="C109" i="1"/>
  <c r="D109" i="1" s="1" a="1"/>
  <c r="D109" i="1" s="1"/>
  <c r="C108" i="1"/>
  <c r="C107" i="1"/>
  <c r="D107" i="1" s="1" a="1"/>
  <c r="D107" i="1" s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D80" i="1" s="1" a="1"/>
  <c r="D80" i="1" s="1"/>
  <c r="C79" i="1"/>
  <c r="C78" i="1"/>
  <c r="D78" i="1" s="1" a="1"/>
  <c r="D78" i="1" s="1"/>
  <c r="C77" i="1"/>
  <c r="D77" i="1" s="1" a="1"/>
  <c r="D77" i="1" s="1"/>
  <c r="C76" i="1"/>
  <c r="C75" i="1"/>
  <c r="D75" i="1" s="1" a="1"/>
  <c r="D75" i="1" s="1"/>
  <c r="C74" i="1"/>
  <c r="C73" i="1"/>
  <c r="C72" i="1"/>
  <c r="C71" i="1"/>
  <c r="C70" i="1"/>
  <c r="G55" i="1"/>
  <c r="F55" i="1"/>
  <c r="G54" i="1"/>
  <c r="G60" i="1"/>
  <c r="G59" i="1"/>
  <c r="D71" i="1" s="1" a="1"/>
  <c r="D71" i="1" s="1"/>
  <c r="S4" i="2" l="1"/>
  <c r="X5" i="2" a="1"/>
  <c r="X5" i="2" s="1"/>
  <c r="X6" i="2" s="1"/>
  <c r="X4" i="2" a="1"/>
  <c r="X4" i="2" s="1"/>
  <c r="D95" i="1" a="1"/>
  <c r="D95" i="1" s="1"/>
  <c r="D100" i="1" a="1"/>
  <c r="D100" i="1" s="1"/>
  <c r="D118" i="1" a="1"/>
  <c r="D118" i="1" s="1"/>
  <c r="D127" i="1" a="1"/>
  <c r="D127" i="1" s="1"/>
  <c r="D132" i="1" a="1"/>
  <c r="D132" i="1" s="1"/>
  <c r="D150" i="1" a="1"/>
  <c r="D150" i="1" s="1"/>
  <c r="D159" i="1" a="1"/>
  <c r="D159" i="1" s="1"/>
  <c r="D164" i="1" a="1"/>
  <c r="D164" i="1" s="1"/>
  <c r="D87" i="1" a="1"/>
  <c r="D87" i="1" s="1"/>
  <c r="D92" i="1" a="1"/>
  <c r="D92" i="1" s="1"/>
  <c r="D101" i="1" a="1"/>
  <c r="D101" i="1" s="1"/>
  <c r="D110" i="1" a="1"/>
  <c r="D110" i="1" s="1"/>
  <c r="D119" i="1" a="1"/>
  <c r="D119" i="1" s="1"/>
  <c r="D124" i="1" a="1"/>
  <c r="D124" i="1" s="1"/>
  <c r="D133" i="1" a="1"/>
  <c r="D133" i="1" s="1"/>
  <c r="D142" i="1" a="1"/>
  <c r="D142" i="1" s="1"/>
  <c r="D151" i="1" a="1"/>
  <c r="D151" i="1" s="1"/>
  <c r="D156" i="1" a="1"/>
  <c r="D156" i="1" s="1"/>
  <c r="D86" i="1" a="1"/>
  <c r="D86" i="1" s="1"/>
  <c r="D79" i="1" a="1"/>
  <c r="D79" i="1" s="1"/>
  <c r="D157" i="1" a="1"/>
  <c r="D157" i="1" s="1"/>
  <c r="D102" i="1" a="1"/>
  <c r="D102" i="1" s="1"/>
  <c r="D84" i="1" a="1"/>
  <c r="D84" i="1" s="1"/>
  <c r="E75" i="1"/>
  <c r="F75" i="1" s="1"/>
  <c r="D98" i="1" a="1"/>
  <c r="D98" i="1" s="1"/>
  <c r="E70" i="1"/>
  <c r="F70" i="1" s="1"/>
  <c r="E162" i="1"/>
  <c r="F162" i="1" s="1"/>
  <c r="E154" i="1"/>
  <c r="F154" i="1" s="1"/>
  <c r="E146" i="1"/>
  <c r="F146" i="1" s="1"/>
  <c r="E138" i="1"/>
  <c r="F138" i="1" s="1"/>
  <c r="E130" i="1"/>
  <c r="F130" i="1" s="1"/>
  <c r="E122" i="1"/>
  <c r="F122" i="1" s="1"/>
  <c r="E114" i="1"/>
  <c r="F114" i="1" s="1"/>
  <c r="E106" i="1"/>
  <c r="F106" i="1" s="1"/>
  <c r="E98" i="1"/>
  <c r="F98" i="1" s="1"/>
  <c r="E90" i="1"/>
  <c r="F90" i="1" s="1"/>
  <c r="E82" i="1"/>
  <c r="F82" i="1" s="1"/>
  <c r="E74" i="1"/>
  <c r="F74" i="1" s="1"/>
  <c r="E169" i="1"/>
  <c r="F169" i="1" s="1"/>
  <c r="E161" i="1"/>
  <c r="F161" i="1" s="1"/>
  <c r="E153" i="1"/>
  <c r="F153" i="1" s="1"/>
  <c r="E145" i="1"/>
  <c r="F145" i="1" s="1"/>
  <c r="E137" i="1"/>
  <c r="F137" i="1" s="1"/>
  <c r="E129" i="1"/>
  <c r="F129" i="1" s="1"/>
  <c r="E121" i="1"/>
  <c r="F121" i="1" s="1"/>
  <c r="E113" i="1"/>
  <c r="F113" i="1" s="1"/>
  <c r="E105" i="1"/>
  <c r="F105" i="1" s="1"/>
  <c r="E97" i="1"/>
  <c r="F97" i="1" s="1"/>
  <c r="E89" i="1"/>
  <c r="F89" i="1" s="1"/>
  <c r="E81" i="1"/>
  <c r="F81" i="1" s="1"/>
  <c r="E73" i="1"/>
  <c r="F73" i="1" s="1"/>
  <c r="D70" i="1" a="1"/>
  <c r="D70" i="1" s="1"/>
  <c r="D161" i="1" a="1"/>
  <c r="D161" i="1" s="1"/>
  <c r="D152" i="1" a="1"/>
  <c r="D152" i="1" s="1"/>
  <c r="D147" i="1" a="1"/>
  <c r="D147" i="1" s="1"/>
  <c r="D138" i="1" a="1"/>
  <c r="D138" i="1" s="1"/>
  <c r="D129" i="1" a="1"/>
  <c r="D129" i="1" s="1"/>
  <c r="D120" i="1" a="1"/>
  <c r="D120" i="1" s="1"/>
  <c r="D115" i="1" a="1"/>
  <c r="D115" i="1" s="1"/>
  <c r="D106" i="1" a="1"/>
  <c r="D106" i="1" s="1"/>
  <c r="D97" i="1" a="1"/>
  <c r="D97" i="1" s="1"/>
  <c r="D88" i="1" a="1"/>
  <c r="D88" i="1" s="1"/>
  <c r="D83" i="1" a="1"/>
  <c r="D83" i="1" s="1"/>
  <c r="D74" i="1" a="1"/>
  <c r="D74" i="1" s="1"/>
  <c r="E168" i="1"/>
  <c r="F168" i="1" s="1"/>
  <c r="E160" i="1"/>
  <c r="F160" i="1" s="1"/>
  <c r="E152" i="1"/>
  <c r="F152" i="1" s="1"/>
  <c r="E144" i="1"/>
  <c r="F144" i="1" s="1"/>
  <c r="E136" i="1"/>
  <c r="F136" i="1" s="1"/>
  <c r="E128" i="1"/>
  <c r="F128" i="1" s="1"/>
  <c r="E120" i="1"/>
  <c r="F120" i="1" s="1"/>
  <c r="E112" i="1"/>
  <c r="F112" i="1" s="1"/>
  <c r="E104" i="1"/>
  <c r="F104" i="1" s="1"/>
  <c r="E96" i="1"/>
  <c r="F96" i="1" s="1"/>
  <c r="E88" i="1"/>
  <c r="F88" i="1" s="1"/>
  <c r="E80" i="1"/>
  <c r="F80" i="1" s="1"/>
  <c r="E72" i="1"/>
  <c r="F72" i="1" s="1"/>
  <c r="E167" i="1"/>
  <c r="F167" i="1" s="1"/>
  <c r="E159" i="1"/>
  <c r="F159" i="1" s="1"/>
  <c r="E151" i="1"/>
  <c r="F151" i="1" s="1"/>
  <c r="E143" i="1"/>
  <c r="F143" i="1" s="1"/>
  <c r="E135" i="1"/>
  <c r="F135" i="1" s="1"/>
  <c r="E127" i="1"/>
  <c r="F127" i="1" s="1"/>
  <c r="E119" i="1"/>
  <c r="F119" i="1" s="1"/>
  <c r="E111" i="1"/>
  <c r="F111" i="1" s="1"/>
  <c r="E103" i="1"/>
  <c r="F103" i="1" s="1"/>
  <c r="E95" i="1"/>
  <c r="F95" i="1" s="1"/>
  <c r="E87" i="1"/>
  <c r="F87" i="1" s="1"/>
  <c r="E79" i="1"/>
  <c r="F79" i="1" s="1"/>
  <c r="E71" i="1"/>
  <c r="F71" i="1" s="1"/>
  <c r="D169" i="1" a="1"/>
  <c r="D169" i="1" s="1"/>
  <c r="D160" i="1" a="1"/>
  <c r="D160" i="1" s="1"/>
  <c r="D155" i="1" a="1"/>
  <c r="D155" i="1" s="1"/>
  <c r="D146" i="1" a="1"/>
  <c r="D146" i="1" s="1"/>
  <c r="D137" i="1" a="1"/>
  <c r="D137" i="1" s="1"/>
  <c r="D128" i="1" a="1"/>
  <c r="D128" i="1" s="1"/>
  <c r="D123" i="1" a="1"/>
  <c r="D123" i="1" s="1"/>
  <c r="D114" i="1" a="1"/>
  <c r="D114" i="1" s="1"/>
  <c r="D105" i="1" a="1"/>
  <c r="D105" i="1" s="1"/>
  <c r="D96" i="1" a="1"/>
  <c r="D96" i="1" s="1"/>
  <c r="D91" i="1" a="1"/>
  <c r="D91" i="1" s="1"/>
  <c r="D82" i="1" a="1"/>
  <c r="D82" i="1" s="1"/>
  <c r="D73" i="1" a="1"/>
  <c r="D73" i="1" s="1"/>
  <c r="E166" i="1"/>
  <c r="F166" i="1" s="1"/>
  <c r="E158" i="1"/>
  <c r="F158" i="1" s="1"/>
  <c r="E150" i="1"/>
  <c r="F150" i="1" s="1"/>
  <c r="E142" i="1"/>
  <c r="F142" i="1" s="1"/>
  <c r="E134" i="1"/>
  <c r="F134" i="1" s="1"/>
  <c r="E126" i="1"/>
  <c r="F126" i="1" s="1"/>
  <c r="E118" i="1"/>
  <c r="F118" i="1" s="1"/>
  <c r="E110" i="1"/>
  <c r="F110" i="1" s="1"/>
  <c r="E102" i="1"/>
  <c r="F102" i="1" s="1"/>
  <c r="E94" i="1"/>
  <c r="F94" i="1" s="1"/>
  <c r="E86" i="1"/>
  <c r="F86" i="1" s="1"/>
  <c r="E78" i="1"/>
  <c r="F78" i="1" s="1"/>
  <c r="E165" i="1"/>
  <c r="F165" i="1" s="1"/>
  <c r="E157" i="1"/>
  <c r="F157" i="1" s="1"/>
  <c r="E149" i="1"/>
  <c r="F149" i="1" s="1"/>
  <c r="E141" i="1"/>
  <c r="F141" i="1" s="1"/>
  <c r="E133" i="1"/>
  <c r="F133" i="1" s="1"/>
  <c r="E125" i="1"/>
  <c r="F125" i="1" s="1"/>
  <c r="E117" i="1"/>
  <c r="F117" i="1" s="1"/>
  <c r="E109" i="1"/>
  <c r="F109" i="1" s="1"/>
  <c r="E101" i="1"/>
  <c r="F101" i="1" s="1"/>
  <c r="E93" i="1"/>
  <c r="F93" i="1" s="1"/>
  <c r="E85" i="1"/>
  <c r="F85" i="1" s="1"/>
  <c r="E77" i="1"/>
  <c r="F77" i="1" s="1"/>
  <c r="D168" i="1" a="1"/>
  <c r="D168" i="1" s="1"/>
  <c r="D163" i="1" a="1"/>
  <c r="D163" i="1" s="1"/>
  <c r="D154" i="1" a="1"/>
  <c r="D154" i="1" s="1"/>
  <c r="D145" i="1" a="1"/>
  <c r="D145" i="1" s="1"/>
  <c r="D136" i="1" a="1"/>
  <c r="D136" i="1" s="1"/>
  <c r="D131" i="1" a="1"/>
  <c r="D131" i="1" s="1"/>
  <c r="D122" i="1" a="1"/>
  <c r="D122" i="1" s="1"/>
  <c r="D113" i="1" a="1"/>
  <c r="D113" i="1" s="1"/>
  <c r="D104" i="1" a="1"/>
  <c r="D104" i="1" s="1"/>
  <c r="D99" i="1" a="1"/>
  <c r="D99" i="1" s="1"/>
  <c r="D90" i="1" a="1"/>
  <c r="D90" i="1" s="1"/>
  <c r="D81" i="1" a="1"/>
  <c r="D81" i="1" s="1"/>
  <c r="D72" i="1" a="1"/>
  <c r="D72" i="1" s="1"/>
  <c r="E164" i="1"/>
  <c r="F164" i="1" s="1"/>
  <c r="E156" i="1"/>
  <c r="F156" i="1" s="1"/>
  <c r="E148" i="1"/>
  <c r="F148" i="1" s="1"/>
  <c r="E140" i="1"/>
  <c r="F140" i="1" s="1"/>
  <c r="E132" i="1"/>
  <c r="F132" i="1" s="1"/>
  <c r="E124" i="1"/>
  <c r="F124" i="1" s="1"/>
  <c r="E116" i="1"/>
  <c r="F116" i="1" s="1"/>
  <c r="E108" i="1"/>
  <c r="F108" i="1" s="1"/>
  <c r="E100" i="1"/>
  <c r="F100" i="1" s="1"/>
  <c r="E92" i="1"/>
  <c r="F92" i="1" s="1"/>
  <c r="E84" i="1"/>
  <c r="F84" i="1" s="1"/>
  <c r="E76" i="1"/>
  <c r="F76" i="1" s="1"/>
  <c r="D167" i="1" a="1"/>
  <c r="D167" i="1" s="1"/>
  <c r="D158" i="1" a="1"/>
  <c r="D158" i="1" s="1"/>
  <c r="D149" i="1" a="1"/>
  <c r="D149" i="1" s="1"/>
  <c r="D140" i="1" a="1"/>
  <c r="D140" i="1" s="1"/>
  <c r="D135" i="1" a="1"/>
  <c r="D135" i="1" s="1"/>
  <c r="D126" i="1" a="1"/>
  <c r="D126" i="1" s="1"/>
  <c r="D117" i="1" a="1"/>
  <c r="D117" i="1" s="1"/>
  <c r="D108" i="1" a="1"/>
  <c r="D108" i="1" s="1"/>
  <c r="D103" i="1" a="1"/>
  <c r="D103" i="1" s="1"/>
  <c r="D94" i="1" a="1"/>
  <c r="D94" i="1" s="1"/>
  <c r="D85" i="1" a="1"/>
  <c r="D85" i="1" s="1"/>
  <c r="D76" i="1" a="1"/>
  <c r="D76" i="1" s="1"/>
  <c r="E163" i="1"/>
  <c r="F163" i="1" s="1"/>
  <c r="E155" i="1"/>
  <c r="F155" i="1" s="1"/>
  <c r="E147" i="1"/>
  <c r="F147" i="1" s="1"/>
  <c r="E139" i="1"/>
  <c r="F139" i="1" s="1"/>
  <c r="E131" i="1"/>
  <c r="F131" i="1" s="1"/>
  <c r="E123" i="1"/>
  <c r="F123" i="1" s="1"/>
  <c r="E115" i="1"/>
  <c r="F115" i="1" s="1"/>
  <c r="E107" i="1"/>
  <c r="F107" i="1" s="1"/>
  <c r="E99" i="1"/>
  <c r="F99" i="1" s="1"/>
  <c r="E91" i="1"/>
  <c r="F91" i="1" s="1"/>
  <c r="E83" i="1"/>
  <c r="F83" i="1" s="1"/>
  <c r="K59" i="1" a="1"/>
  <c r="K59" i="1" s="1"/>
  <c r="L59" i="1" s="1"/>
  <c r="O60" i="1" l="1"/>
  <c r="O59" i="1" l="1"/>
  <c r="Q58" i="1" s="1" a="1"/>
  <c r="V59" i="1" s="1" a="1"/>
  <c r="V59" i="1" s="1"/>
  <c r="Q58" i="1" l="1"/>
  <c r="V60" i="1"/>
  <c r="V58" i="1" a="1"/>
  <c r="V58" i="1" s="1"/>
  <c r="C25" i="1" l="1" a="1"/>
  <c r="C25" i="1" s="1"/>
  <c r="I28" i="1" l="1"/>
  <c r="L25" i="1" s="1"/>
  <c r="K25" i="1" l="1"/>
  <c r="M25" i="1"/>
  <c r="F3" i="1"/>
  <c r="E3" i="1"/>
  <c r="D3" i="1"/>
  <c r="C3" i="1"/>
  <c r="F2" i="1"/>
  <c r="E2" i="1"/>
  <c r="D2" i="1"/>
  <c r="C2" i="1"/>
  <c r="J2" i="1" l="1" a="1"/>
  <c r="J2" i="1" s="1"/>
  <c r="D21" i="1" s="1" a="1"/>
  <c r="D21" i="1" s="1"/>
  <c r="I2" i="1" a="1"/>
  <c r="I2" i="1" s="1"/>
  <c r="C21" i="1" s="1" a="1"/>
  <c r="C21" i="1" s="1"/>
  <c r="G3" i="1"/>
  <c r="G2" i="1"/>
  <c r="T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<sst xmlns="http://schemas.openxmlformats.org/spreadsheetml/2006/main" count="560" uniqueCount="330">
  <si>
    <t xml:space="preserve">Covariance </t>
  </si>
  <si>
    <t>s1</t>
  </si>
  <si>
    <t>s2</t>
  </si>
  <si>
    <t>s3</t>
  </si>
  <si>
    <t>Mean return</t>
  </si>
  <si>
    <t>Portfolio 1</t>
  </si>
  <si>
    <t>Portfolio 2</t>
  </si>
  <si>
    <t>A1</t>
  </si>
  <si>
    <t>A2</t>
  </si>
  <si>
    <t>A3</t>
  </si>
  <si>
    <t>A4</t>
  </si>
  <si>
    <t>x1</t>
  </si>
  <si>
    <t>x2</t>
  </si>
  <si>
    <t>x3</t>
  </si>
  <si>
    <t>x4</t>
  </si>
  <si>
    <t>SUM</t>
  </si>
  <si>
    <t>Ex 1a</t>
  </si>
  <si>
    <t>P1</t>
  </si>
  <si>
    <t>P2</t>
  </si>
  <si>
    <t>Portfolio</t>
  </si>
  <si>
    <t>Var Calc</t>
  </si>
  <si>
    <t>Ex 2a</t>
  </si>
  <si>
    <t>Ones</t>
  </si>
  <si>
    <t>Finding z</t>
  </si>
  <si>
    <t>M-product</t>
  </si>
  <si>
    <t>Expected R</t>
  </si>
  <si>
    <t xml:space="preserve">Por-weights </t>
  </si>
  <si>
    <t>Por</t>
  </si>
  <si>
    <t>Variance</t>
  </si>
  <si>
    <t>Invers Cov</t>
  </si>
  <si>
    <t>Volatility</t>
  </si>
  <si>
    <t>Ex 2C</t>
  </si>
  <si>
    <t xml:space="preserve">Ex 3 </t>
  </si>
  <si>
    <t>Ex. 3</t>
  </si>
  <si>
    <t>Stock 1</t>
  </si>
  <si>
    <t>Stock 2</t>
  </si>
  <si>
    <t>Covariance</t>
  </si>
  <si>
    <t>Inverse</t>
  </si>
  <si>
    <t>Afkast</t>
  </si>
  <si>
    <t>Z</t>
  </si>
  <si>
    <t>Find z</t>
  </si>
  <si>
    <t xml:space="preserve">Weights </t>
  </si>
  <si>
    <t>Return</t>
  </si>
  <si>
    <t>Weights</t>
  </si>
  <si>
    <t>x_1</t>
  </si>
  <si>
    <t>x_2</t>
  </si>
  <si>
    <t xml:space="preserve">Varians </t>
  </si>
  <si>
    <t>Exercise 1</t>
  </si>
  <si>
    <t>Risk free rate</t>
  </si>
  <si>
    <t xml:space="preserve">Stocks </t>
  </si>
  <si>
    <t>S1</t>
  </si>
  <si>
    <t>S2</t>
  </si>
  <si>
    <t>S3</t>
  </si>
  <si>
    <t>b-rf</t>
  </si>
  <si>
    <t>BIG Z</t>
  </si>
  <si>
    <t>Value</t>
  </si>
  <si>
    <t>d)</t>
  </si>
  <si>
    <t>c)</t>
  </si>
  <si>
    <t>a)+b)</t>
  </si>
  <si>
    <t>Variable</t>
  </si>
  <si>
    <t>From above</t>
  </si>
  <si>
    <t>p1</t>
  </si>
  <si>
    <t>p2</t>
  </si>
  <si>
    <t xml:space="preserve">Return </t>
  </si>
  <si>
    <t>Enkelte vægte i de individuelle aktier i den nye poretefølje</t>
  </si>
  <si>
    <t>R_OMXC20</t>
  </si>
  <si>
    <t>R_Novo</t>
  </si>
  <si>
    <t>R_Demant</t>
  </si>
  <si>
    <t>R_Danske</t>
  </si>
  <si>
    <t>Risk-Free</t>
  </si>
  <si>
    <t>Marked</t>
  </si>
  <si>
    <t>Novo</t>
  </si>
  <si>
    <t>Demant</t>
  </si>
  <si>
    <t>Danske</t>
  </si>
  <si>
    <t>Alpha</t>
  </si>
  <si>
    <t>Beta</t>
  </si>
  <si>
    <t xml:space="preserve">Exercise 1 </t>
  </si>
  <si>
    <t>Ex 1</t>
  </si>
  <si>
    <t>L</t>
  </si>
  <si>
    <t>H</t>
  </si>
  <si>
    <t>Payoff</t>
  </si>
  <si>
    <t>Invest</t>
  </si>
  <si>
    <t>risk-free</t>
  </si>
  <si>
    <t>probs</t>
  </si>
  <si>
    <t>cost of c</t>
  </si>
  <si>
    <t>a)</t>
  </si>
  <si>
    <t>NPV</t>
  </si>
  <si>
    <t>b)</t>
  </si>
  <si>
    <t>PV</t>
  </si>
  <si>
    <t>To equity</t>
  </si>
  <si>
    <t>Ex 3</t>
  </si>
  <si>
    <t>Sums</t>
  </si>
  <si>
    <t>safe rate</t>
  </si>
  <si>
    <t>imp. probs</t>
  </si>
  <si>
    <t>d</t>
  </si>
  <si>
    <t>d) Realized returns</t>
  </si>
  <si>
    <t>e)</t>
  </si>
  <si>
    <t>f)</t>
  </si>
  <si>
    <t>g)</t>
  </si>
  <si>
    <t>Creditors</t>
  </si>
  <si>
    <t>Equity</t>
  </si>
  <si>
    <t>D</t>
  </si>
  <si>
    <t>E</t>
  </si>
  <si>
    <t>D+E</t>
  </si>
  <si>
    <t>Debt</t>
  </si>
  <si>
    <t>D/(D+E)</t>
  </si>
  <si>
    <t>Eqn 14.6</t>
  </si>
  <si>
    <t>P</t>
  </si>
  <si>
    <t>Exp. Ret</t>
  </si>
  <si>
    <t>Vol</t>
  </si>
  <si>
    <t>3 h)</t>
  </si>
  <si>
    <t>Figure data</t>
  </si>
  <si>
    <t>Ex 4</t>
  </si>
  <si>
    <t>Tax rate</t>
  </si>
  <si>
    <t>Initial Inv</t>
  </si>
  <si>
    <t>leverage</t>
  </si>
  <si>
    <t>r_D</t>
  </si>
  <si>
    <t>r_E</t>
  </si>
  <si>
    <t>For the curious: Implied by d</t>
  </si>
  <si>
    <t>Date</t>
  </si>
  <si>
    <t>R_Novo_pre</t>
  </si>
  <si>
    <t>Mkt-RF</t>
  </si>
  <si>
    <t>SMB</t>
  </si>
  <si>
    <t>HML</t>
  </si>
  <si>
    <t>RF</t>
  </si>
  <si>
    <t>Ex1</t>
  </si>
  <si>
    <t>beta</t>
  </si>
  <si>
    <t>alpha</t>
  </si>
  <si>
    <t>Ex2</t>
  </si>
  <si>
    <t>B</t>
  </si>
  <si>
    <t>ones</t>
  </si>
  <si>
    <t>[B | 1] inverse</t>
  </si>
  <si>
    <t>alpha (expected return)</t>
  </si>
  <si>
    <t>[0 | 1]</t>
  </si>
  <si>
    <t>risk-free X_t</t>
  </si>
  <si>
    <t>r_f</t>
  </si>
  <si>
    <t>Use this pf in part e)</t>
  </si>
  <si>
    <t>[e_1 | 1]</t>
  </si>
  <si>
    <t>F1 X_t</t>
  </si>
  <si>
    <t>r_f + lambda_1</t>
  </si>
  <si>
    <t>lambda_1</t>
  </si>
  <si>
    <t>[e_2 | 1]</t>
  </si>
  <si>
    <t>F2 X_t</t>
  </si>
  <si>
    <t>r_f + lambda_2</t>
  </si>
  <si>
    <t>lambda_2</t>
  </si>
  <si>
    <t>Pure P x_t 1</t>
  </si>
  <si>
    <t>Ex R</t>
  </si>
  <si>
    <t>RP</t>
  </si>
  <si>
    <t>Pure P x_t 2</t>
  </si>
  <si>
    <t>Rf P</t>
  </si>
  <si>
    <t>Here I only choose asset 2,3 and 4 in our new portfilio</t>
  </si>
  <si>
    <t>B|1 Inverse</t>
  </si>
  <si>
    <t>RF P</t>
  </si>
  <si>
    <t>RF rates</t>
  </si>
  <si>
    <t>which is much higher that the risk-free rate in previous case</t>
  </si>
  <si>
    <t>Economy 1</t>
  </si>
  <si>
    <t>V</t>
  </si>
  <si>
    <t>p</t>
  </si>
  <si>
    <t>inv V</t>
  </si>
  <si>
    <t>sum d</t>
  </si>
  <si>
    <t>Comment: rate r could also be found directly from asset 2 which is safe</t>
  </si>
  <si>
    <t>r is then</t>
  </si>
  <si>
    <t>a) 100 on each</t>
  </si>
  <si>
    <t>portfolio x^T becomes:</t>
  </si>
  <si>
    <t>payoffs x^T V:</t>
  </si>
  <si>
    <t>a) one each</t>
  </si>
  <si>
    <t>price:</t>
  </si>
  <si>
    <t>Economy 2</t>
  </si>
  <si>
    <t>portfolio becomes:</t>
  </si>
  <si>
    <t>payoffs:</t>
  </si>
  <si>
    <t>Second state is too cheap (d negative). Suppose we try to get cash in that state only (many other solutions are possible).</t>
  </si>
  <si>
    <t>target</t>
  </si>
  <si>
    <t>cost:</t>
  </si>
  <si>
    <t>So, this portfolio will deliver in state 2, nothing in other two states, yet we get paid 0.05 today for taking this position: arbitrage</t>
  </si>
  <si>
    <t>Economy 3</t>
  </si>
  <si>
    <t>det V</t>
  </si>
  <si>
    <t>Impossible to invert, so some asset can be replicated. Let us try replication of the third asset (other solutions are possible)</t>
  </si>
  <si>
    <t>Solve for portfolio to match payoffs in two first states</t>
  </si>
  <si>
    <t>portfolio</t>
  </si>
  <si>
    <t>Check of replication in third state</t>
  </si>
  <si>
    <t>Cost of repl. portfolio:</t>
  </si>
  <si>
    <t>more expensive than 32</t>
  </si>
  <si>
    <t>Arbitrage: Buy 1 of asset 3, sell 1 of asset 1 and 1/2 of asset 2. This gives zero in all future states, but you earn 1.5 today</t>
  </si>
  <si>
    <t>Exc 3</t>
  </si>
  <si>
    <t>3*3</t>
  </si>
  <si>
    <t>safe rate r</t>
  </si>
  <si>
    <t>1*3</t>
  </si>
  <si>
    <t>p 3*1</t>
  </si>
  <si>
    <t>target 1*3</t>
  </si>
  <si>
    <t>pf: 1*3</t>
  </si>
  <si>
    <t xml:space="preserve"> inv V * p</t>
  </si>
  <si>
    <t xml:space="preserve"> </t>
  </si>
  <si>
    <t>This is negative</t>
  </si>
  <si>
    <t>When the determant is 0. The Matrix cannot be inverted</t>
  </si>
  <si>
    <t>Present value of equity by MM:</t>
  </si>
  <si>
    <t xml:space="preserve">We find that the value of the firm rises with debt </t>
  </si>
  <si>
    <t xml:space="preserve">Strike </t>
  </si>
  <si>
    <t>Price today</t>
  </si>
  <si>
    <t xml:space="preserve">High </t>
  </si>
  <si>
    <t>Low</t>
  </si>
  <si>
    <t>Bond</t>
  </si>
  <si>
    <t>Stock</t>
  </si>
  <si>
    <t>b) d vector</t>
  </si>
  <si>
    <t>d_H</t>
  </si>
  <si>
    <t>d_L</t>
  </si>
  <si>
    <t>c+d) Call payoffs</t>
  </si>
  <si>
    <t>Payoff High</t>
  </si>
  <si>
    <t>Payoff Low</t>
  </si>
  <si>
    <t>Call option</t>
  </si>
  <si>
    <t>e) Two strategies</t>
  </si>
  <si>
    <t>Net return high</t>
  </si>
  <si>
    <t>Net return low</t>
  </si>
  <si>
    <t>Buy one stock</t>
  </si>
  <si>
    <t>Buy 20 worth of calls</t>
  </si>
  <si>
    <t>State</t>
  </si>
  <si>
    <t>Very bad</t>
  </si>
  <si>
    <t>Bad</t>
  </si>
  <si>
    <t>Neutral</t>
  </si>
  <si>
    <t>Good</t>
  </si>
  <si>
    <t>Very good</t>
  </si>
  <si>
    <t>Risk-free rate</t>
  </si>
  <si>
    <t>Probability</t>
  </si>
  <si>
    <t>Strike price</t>
  </si>
  <si>
    <t>Stock Value</t>
  </si>
  <si>
    <t>a) Today's market price for the stock</t>
  </si>
  <si>
    <t>Stock price</t>
  </si>
  <si>
    <t>b) Call option future payoffs</t>
  </si>
  <si>
    <t>Call payoff</t>
  </si>
  <si>
    <t>Call premium</t>
  </si>
  <si>
    <t>c) Put option future payoffs</t>
  </si>
  <si>
    <t>Put payoff</t>
  </si>
  <si>
    <t>Put premium</t>
  </si>
  <si>
    <t>d) Is the assumptions behind the put-call parity satisfied? Verify.</t>
  </si>
  <si>
    <t>C0</t>
  </si>
  <si>
    <t>P0</t>
  </si>
  <si>
    <t>S0</t>
  </si>
  <si>
    <t>K</t>
  </si>
  <si>
    <t>rf</t>
  </si>
  <si>
    <t>Put-Call-Parity</t>
  </si>
  <si>
    <t>strike</t>
  </si>
  <si>
    <t>Payoffs</t>
  </si>
  <si>
    <t>Replication: suppose safe bond costs 100 to get 100(1+r)</t>
  </si>
  <si>
    <t>option</t>
  </si>
  <si>
    <t>stock</t>
  </si>
  <si>
    <t>bond</t>
  </si>
  <si>
    <t>inverse</t>
  </si>
  <si>
    <t>premium</t>
  </si>
  <si>
    <t>c)+d)</t>
  </si>
  <si>
    <t>Consistency:</t>
  </si>
  <si>
    <t>Exercise 3</t>
  </si>
  <si>
    <t>If European put</t>
  </si>
  <si>
    <t>American call exc at up</t>
  </si>
  <si>
    <t>keep</t>
  </si>
  <si>
    <t>value at up:</t>
  </si>
  <si>
    <t>American call exc at down</t>
  </si>
  <si>
    <t>indiff</t>
  </si>
  <si>
    <t>value at down:</t>
  </si>
  <si>
    <t>American keep initial</t>
  </si>
  <si>
    <t>American call exc initial</t>
  </si>
  <si>
    <t>initial value:</t>
  </si>
  <si>
    <t>Same as European (as it should be)</t>
  </si>
  <si>
    <t>b)-c)</t>
  </si>
  <si>
    <t>American put exc at up</t>
  </si>
  <si>
    <t>American put exc at down</t>
  </si>
  <si>
    <t>exercise</t>
  </si>
  <si>
    <t>Better than European due to early exercise at down</t>
  </si>
  <si>
    <t>Parity fails due to early exercise</t>
  </si>
  <si>
    <t>Exercise 4</t>
  </si>
  <si>
    <t>Dividend</t>
  </si>
  <si>
    <t>Strike</t>
  </si>
  <si>
    <t>For time zero, don't forget about the value of the coming dividend!</t>
  </si>
  <si>
    <t>b)+c)+d)</t>
  </si>
  <si>
    <t>American call: if anything in middle period, exercise before dividend</t>
  </si>
  <si>
    <t>European</t>
  </si>
  <si>
    <t>Exercise call at up:</t>
  </si>
  <si>
    <t>val(up):</t>
  </si>
  <si>
    <t>Exercise call at down:</t>
  </si>
  <si>
    <t>Val(down):</t>
  </si>
  <si>
    <t>Keep initial</t>
  </si>
  <si>
    <t>Exercise call initially:</t>
  </si>
  <si>
    <t>Val(init):</t>
  </si>
  <si>
    <t>Exercise 2</t>
  </si>
  <si>
    <t>r</t>
  </si>
  <si>
    <t>T</t>
  </si>
  <si>
    <t>sigma</t>
  </si>
  <si>
    <t>Ke(-rT)</t>
  </si>
  <si>
    <t>S</t>
  </si>
  <si>
    <t>d1</t>
  </si>
  <si>
    <t>d2</t>
  </si>
  <si>
    <t>N(d1)</t>
  </si>
  <si>
    <t>N(d2)</t>
  </si>
  <si>
    <t>C</t>
  </si>
  <si>
    <t>cost</t>
  </si>
  <si>
    <t>volume</t>
  </si>
  <si>
    <t>c) Profits per barrel</t>
  </si>
  <si>
    <t>Sum</t>
  </si>
  <si>
    <t>PVLast</t>
  </si>
  <si>
    <t>Next</t>
  </si>
  <si>
    <t>Last</t>
  </si>
  <si>
    <t>Present value</t>
  </si>
  <si>
    <t>Shut down when price &lt; cost</t>
  </si>
  <si>
    <t>e) Profits per barrel</t>
  </si>
  <si>
    <t>The relevant comparison is shutting down at time 1, Down, or postpone shutdown to time 2 state 4</t>
  </si>
  <si>
    <t>Early case</t>
  </si>
  <si>
    <t>Profits per barrel</t>
  </si>
  <si>
    <t>Better timing choice</t>
  </si>
  <si>
    <t>Late case</t>
  </si>
  <si>
    <t>Worse</t>
  </si>
  <si>
    <t>Success payoff</t>
  </si>
  <si>
    <t>Proj 1 chance</t>
  </si>
  <si>
    <t>Proj 2 chance</t>
  </si>
  <si>
    <t>Required investment</t>
  </si>
  <si>
    <t>Private benefit</t>
  </si>
  <si>
    <t>Failure payoff</t>
  </si>
  <si>
    <t>Solve 60 = alpha (0,6*150 + 0,4*50)</t>
  </si>
  <si>
    <t>alpha1 is</t>
  </si>
  <si>
    <t>Founder gets from proj 1:</t>
  </si>
  <si>
    <t>Founder gets from proj 2:</t>
  </si>
  <si>
    <t>Solve 60 = alpha (0,8*150 + 0,2*50)</t>
  </si>
  <si>
    <t>alpha2 is</t>
  </si>
  <si>
    <t>With all equity, the founder always chooses project 1. Project 2 is not an equilibrium choice. So, equity has share alpha_1. For later, note that the founder gets present value 65, as computed in b).</t>
  </si>
  <si>
    <t>Solve 60 = 0,6*beta*150 + 0,4*50</t>
  </si>
  <si>
    <t>beta1 is</t>
  </si>
  <si>
    <t>Solve 60 = 0,8*beta*150 + 0,2*50</t>
  </si>
  <si>
    <t>beta2 is</t>
  </si>
  <si>
    <t>h)</t>
  </si>
  <si>
    <t>The founder chooses project 2, as project 1 is not an equilibrium. So debt uses share beta2. Note that the founder gets present value 70, as computed in g),</t>
  </si>
  <si>
    <t>i)</t>
  </si>
  <si>
    <t>Since 70 is more than 65, the founder prefers pure debt over pure equity. This incentivizes the founder to choose project 2, which is efficient: due to its greater success chance, it generates extra expected value 20, which exceeds the private benefit of 15 on project 1.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</si>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</sst>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000"/>
    <numFmt numFmtId="166" formatCode="0.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0" xfId="0" applyNumberFormat="1"/>
    <xf numFmtId="164" fontId="0" fillId="0" borderId="0" xfId="0" applyNumberFormat="1"/>
    <xf numFmtId="164" fontId="0" fillId="0" borderId="8" xfId="0" applyNumberFormat="1" applyBorder="1"/>
    <xf numFmtId="0" fontId="0" fillId="0" borderId="9" xfId="0" applyBorder="1"/>
    <xf numFmtId="165" fontId="0" fillId="0" borderId="0" xfId="0" applyNumberFormat="1"/>
    <xf numFmtId="0" fontId="1" fillId="0" borderId="0" xfId="0" applyFont="1"/>
    <xf numFmtId="164" fontId="0" fillId="0" borderId="6" xfId="0" applyNumberFormat="1" applyBorder="1"/>
    <xf numFmtId="164" fontId="2" fillId="0" borderId="6" xfId="0" applyNumberFormat="1" applyFont="1" applyBorder="1"/>
    <xf numFmtId="164" fontId="2" fillId="0" borderId="9" xfId="0" applyNumberFormat="1" applyFont="1" applyBorder="1"/>
    <xf numFmtId="2" fontId="0" fillId="0" borderId="6" xfId="0" applyNumberFormat="1" applyBorder="1"/>
    <xf numFmtId="2" fontId="2" fillId="0" borderId="6" xfId="0" applyNumberFormat="1" applyFont="1" applyBorder="1"/>
    <xf numFmtId="2" fontId="0" fillId="0" borderId="8" xfId="0" applyNumberFormat="1" applyBorder="1"/>
    <xf numFmtId="2" fontId="2" fillId="0" borderId="9" xfId="0" applyNumberFormat="1" applyFont="1" applyBorder="1"/>
    <xf numFmtId="0" fontId="0" fillId="0" borderId="1" xfId="0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7" xfId="0" applyNumberFormat="1" applyBorder="1"/>
    <xf numFmtId="2" fontId="0" fillId="0" borderId="9" xfId="0" applyNumberFormat="1" applyBorder="1"/>
    <xf numFmtId="165" fontId="0" fillId="0" borderId="12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2" fontId="0" fillId="0" borderId="4" xfId="0" applyNumberFormat="1" applyBorder="1"/>
    <xf numFmtId="0" fontId="3" fillId="0" borderId="0" xfId="0" applyFont="1"/>
    <xf numFmtId="9" fontId="0" fillId="0" borderId="2" xfId="0" applyNumberFormat="1" applyBorder="1"/>
    <xf numFmtId="165" fontId="0" fillId="0" borderId="8" xfId="0" applyNumberFormat="1" applyBorder="1"/>
    <xf numFmtId="165" fontId="0" fillId="0" borderId="6" xfId="0" applyNumberFormat="1" applyBorder="1"/>
    <xf numFmtId="165" fontId="0" fillId="0" borderId="9" xfId="0" applyNumberFormat="1" applyBorder="1"/>
    <xf numFmtId="0" fontId="1" fillId="0" borderId="4" xfId="0" applyFont="1" applyBorder="1"/>
    <xf numFmtId="0" fontId="1" fillId="0" borderId="6" xfId="0" applyFont="1" applyBorder="1"/>
    <xf numFmtId="0" fontId="4" fillId="0" borderId="2" xfId="0" applyFont="1" applyBorder="1"/>
    <xf numFmtId="0" fontId="4" fillId="0" borderId="5" xfId="0" applyFont="1" applyBorder="1"/>
    <xf numFmtId="0" fontId="4" fillId="0" borderId="7" xfId="0" applyFont="1" applyBorder="1"/>
    <xf numFmtId="164" fontId="4" fillId="0" borderId="5" xfId="0" applyNumberFormat="1" applyFont="1" applyBorder="1"/>
    <xf numFmtId="164" fontId="4" fillId="0" borderId="7" xfId="0" applyNumberFormat="1" applyFont="1" applyBorder="1"/>
    <xf numFmtId="164" fontId="1" fillId="0" borderId="6" xfId="0" applyNumberFormat="1" applyFont="1" applyBorder="1"/>
    <xf numFmtId="1" fontId="0" fillId="0" borderId="0" xfId="0" applyNumberFormat="1"/>
    <xf numFmtId="0" fontId="5" fillId="0" borderId="0" xfId="0" applyFont="1"/>
    <xf numFmtId="0" fontId="2" fillId="2" borderId="0" xfId="0" applyFont="1" applyFill="1"/>
    <xf numFmtId="14" fontId="2" fillId="0" borderId="0" xfId="0" applyNumberFormat="1" applyFont="1"/>
    <xf numFmtId="165" fontId="2" fillId="0" borderId="0" xfId="0" applyNumberFormat="1" applyFont="1"/>
    <xf numFmtId="0" fontId="2" fillId="3" borderId="0" xfId="0" applyFont="1" applyFill="1"/>
    <xf numFmtId="0" fontId="0" fillId="0" borderId="0" xfId="0" applyAlignment="1">
      <alignment horizontal="left"/>
    </xf>
    <xf numFmtId="0" fontId="5" fillId="4" borderId="0" xfId="0" applyFont="1" applyFill="1"/>
    <xf numFmtId="0" fontId="0" fillId="4" borderId="0" xfId="0" applyFill="1"/>
    <xf numFmtId="20" fontId="0" fillId="0" borderId="0" xfId="0" applyNumberFormat="1"/>
    <xf numFmtId="166" fontId="0" fillId="0" borderId="0" xfId="0" applyNumberFormat="1"/>
    <xf numFmtId="0" fontId="7" fillId="0" borderId="0" xfId="0" applyFont="1"/>
    <xf numFmtId="0" fontId="7" fillId="5" borderId="0" xfId="0" applyFont="1" applyFill="1"/>
    <xf numFmtId="0" fontId="0" fillId="5" borderId="0" xfId="0" applyFill="1"/>
    <xf numFmtId="0" fontId="0" fillId="0" borderId="13" xfId="0" applyBorder="1"/>
    <xf numFmtId="0" fontId="7" fillId="0" borderId="14" xfId="0" applyFont="1" applyBorder="1"/>
    <xf numFmtId="0" fontId="7" fillId="0" borderId="15" xfId="0" applyFont="1" applyBorder="1"/>
    <xf numFmtId="10" fontId="0" fillId="0" borderId="0" xfId="2" applyNumberFormat="1" applyFont="1"/>
    <xf numFmtId="0" fontId="7" fillId="0" borderId="13" xfId="0" applyFont="1" applyBorder="1"/>
    <xf numFmtId="0" fontId="0" fillId="0" borderId="14" xfId="0" applyBorder="1"/>
    <xf numFmtId="9" fontId="0" fillId="0" borderId="0" xfId="0" applyNumberFormat="1"/>
    <xf numFmtId="43" fontId="0" fillId="0" borderId="0" xfId="1" applyFont="1"/>
    <xf numFmtId="9" fontId="0" fillId="0" borderId="0" xfId="2" applyFont="1"/>
    <xf numFmtId="0" fontId="8" fillId="0" borderId="0" xfId="0" applyFont="1"/>
    <xf numFmtId="0" fontId="9" fillId="0" borderId="13" xfId="0" applyFont="1" applyBorder="1"/>
    <xf numFmtId="0" fontId="9" fillId="0" borderId="14" xfId="0" applyFont="1" applyBorder="1"/>
    <xf numFmtId="0" fontId="9" fillId="0" borderId="0" xfId="0" applyFont="1"/>
    <xf numFmtId="0" fontId="8" fillId="0" borderId="15" xfId="0" applyFont="1" applyBorder="1"/>
    <xf numFmtId="0" fontId="8" fillId="0" borderId="13" xfId="0" applyFont="1" applyBorder="1"/>
    <xf numFmtId="0" fontId="8" fillId="0" borderId="14" xfId="0" applyFont="1" applyBorder="1"/>
    <xf numFmtId="0" fontId="9" fillId="6" borderId="0" xfId="0" applyFont="1" applyFill="1"/>
    <xf numFmtId="0" fontId="8" fillId="6" borderId="0" xfId="0" applyFont="1" applyFill="1"/>
    <xf numFmtId="2" fontId="9" fillId="0" borderId="0" xfId="0" applyNumberFormat="1" applyFont="1"/>
    <xf numFmtId="2" fontId="8" fillId="0" borderId="0" xfId="0" applyNumberFormat="1" applyFont="1"/>
    <xf numFmtId="0" fontId="8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3" fontId="0" fillId="0" borderId="0" xfId="0" applyNumberFormat="1"/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165" fontId="5" fillId="0" borderId="0" xfId="0" applyNumberFormat="1" applyFont="1"/>
    <xf numFmtId="0" fontId="12" fillId="0" borderId="0" xfId="0" applyFont="1"/>
    <xf numFmtId="0" fontId="1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Afkast v Risk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'PS3'!$F$70:$F$169</c:f>
              <c:numCache>
                <c:formatCode>0.00</c:formatCode>
                <c:ptCount val="100"/>
                <c:pt idx="0">
                  <c:v>0.20079628507313962</c:v>
                </c:pt>
                <c:pt idx="1">
                  <c:v>0.19982103728623962</c:v>
                </c:pt>
                <c:pt idx="2">
                  <c:v>0.19887899639381623</c:v>
                </c:pt>
                <c:pt idx="3">
                  <c:v>0.19797063644026097</c:v>
                </c:pt>
                <c:pt idx="4">
                  <c:v>0.19709642310300815</c:v>
                </c:pt>
                <c:pt idx="5">
                  <c:v>0.19625681269430018</c:v>
                </c:pt>
                <c:pt idx="6">
                  <c:v>0.19545225114932507</c:v>
                </c:pt>
                <c:pt idx="7">
                  <c:v>0.19468317300485855</c:v>
                </c:pt>
                <c:pt idx="8">
                  <c:v>0.19395000037284896</c:v>
                </c:pt>
                <c:pt idx="9">
                  <c:v>0.19325314191366758</c:v>
                </c:pt>
                <c:pt idx="10">
                  <c:v>0.19259299181400077</c:v>
                </c:pt>
                <c:pt idx="11">
                  <c:v>0.19196992877458441</c:v>
                </c:pt>
                <c:pt idx="12">
                  <c:v>0.19138431501316364</c:v>
                </c:pt>
                <c:pt idx="13">
                  <c:v>0.19083649528820293</c:v>
                </c:pt>
                <c:pt idx="14">
                  <c:v>0.1903267959489634</c:v>
                </c:pt>
                <c:pt idx="15">
                  <c:v>0.18985552401760661</c:v>
                </c:pt>
                <c:pt idx="16">
                  <c:v>0.18942296630897021</c:v>
                </c:pt>
                <c:pt idx="17">
                  <c:v>0.18902938859358911</c:v>
                </c:pt>
                <c:pt idx="18">
                  <c:v>0.18867503480940606</c:v>
                </c:pt>
                <c:pt idx="19">
                  <c:v>0.18836012632742274</c:v>
                </c:pt>
                <c:pt idx="20">
                  <c:v>0.18808486127629284</c:v>
                </c:pt>
                <c:pt idx="21">
                  <c:v>0.18784941393054594</c:v>
                </c:pt>
                <c:pt idx="22">
                  <c:v>0.18765393416676471</c:v>
                </c:pt>
                <c:pt idx="23">
                  <c:v>0.18749854699161522</c:v>
                </c:pt>
                <c:pt idx="24">
                  <c:v>0.18738335214515997</c:v>
                </c:pt>
                <c:pt idx="25">
                  <c:v>0.18730842378236681</c:v>
                </c:pt>
                <c:pt idx="26">
                  <c:v>0.18727381023517412</c:v>
                </c:pt>
                <c:pt idx="27">
                  <c:v>0.18727953385688703</c:v>
                </c:pt>
                <c:pt idx="28">
                  <c:v>0.18732559095007117</c:v>
                </c:pt>
                <c:pt idx="29">
                  <c:v>0.18741195177848582</c:v>
                </c:pt>
                <c:pt idx="30">
                  <c:v>0.18753856066296656</c:v>
                </c:pt>
                <c:pt idx="31">
                  <c:v>0.18770533616053778</c:v>
                </c:pt>
                <c:pt idx="32">
                  <c:v>0.1879121713254131</c:v>
                </c:pt>
                <c:pt idx="33">
                  <c:v>0.18815893404994066</c:v>
                </c:pt>
                <c:pt idx="34">
                  <c:v>0.18844546748297245</c:v>
                </c:pt>
                <c:pt idx="35">
                  <c:v>0.1887715905225936</c:v>
                </c:pt>
                <c:pt idx="36">
                  <c:v>0.18913709837964385</c:v>
                </c:pt>
                <c:pt idx="37">
                  <c:v>0.1895417632080065</c:v>
                </c:pt>
                <c:pt idx="38">
                  <c:v>0.18998533479723254</c:v>
                </c:pt>
                <c:pt idx="39">
                  <c:v>0.19046754132271634</c:v>
                </c:pt>
                <c:pt idx="40">
                  <c:v>0.19098809014834511</c:v>
                </c:pt>
                <c:pt idx="41">
                  <c:v>0.1915466686763091</c:v>
                </c:pt>
                <c:pt idx="42">
                  <c:v>0.1921429452385871</c:v>
                </c:pt>
                <c:pt idx="43">
                  <c:v>0.19277657002450591</c:v>
                </c:pt>
                <c:pt idx="44">
                  <c:v>0.19344717603871961</c:v>
                </c:pt>
                <c:pt idx="45">
                  <c:v>0.19415438008395569</c:v>
                </c:pt>
                <c:pt idx="46">
                  <c:v>0.19489778376293168</c:v>
                </c:pt>
                <c:pt idx="47">
                  <c:v>0.19567697449395377</c:v>
                </c:pt>
                <c:pt idx="48">
                  <c:v>0.19649152653486104</c:v>
                </c:pt>
                <c:pt idx="49">
                  <c:v>0.19734100201017568</c:v>
                </c:pt>
                <c:pt idx="50">
                  <c:v>0.19822495193655096</c:v>
                </c:pt>
                <c:pt idx="51">
                  <c:v>0.19914291724187258</c:v>
                </c:pt>
                <c:pt idx="52">
                  <c:v>0.20009442977366032</c:v>
                </c:pt>
                <c:pt idx="53">
                  <c:v>0.20107901329272743</c:v>
                </c:pt>
                <c:pt idx="54">
                  <c:v>0.20209618444838348</c:v>
                </c:pt>
                <c:pt idx="55">
                  <c:v>0.20314545373180476</c:v>
                </c:pt>
                <c:pt idx="56">
                  <c:v>0.20422632640454122</c:v>
                </c:pt>
                <c:pt idx="57">
                  <c:v>0.20533830339947584</c:v>
                </c:pt>
                <c:pt idx="58">
                  <c:v>0.20648088219189639</c:v>
                </c:pt>
                <c:pt idx="59">
                  <c:v>0.20765355763867854</c:v>
                </c:pt>
                <c:pt idx="60">
                  <c:v>0.20885582278390949</c:v>
                </c:pt>
                <c:pt idx="61">
                  <c:v>0.21008716962959734</c:v>
                </c:pt>
                <c:pt idx="62">
                  <c:v>0.21134708987041723</c:v>
                </c:pt>
                <c:pt idx="63">
                  <c:v>0.21263507559173023</c:v>
                </c:pt>
                <c:pt idx="64">
                  <c:v>0.21395061993038264</c:v>
                </c:pt>
                <c:pt idx="65">
                  <c:v>0.21529321769804283</c:v>
                </c:pt>
                <c:pt idx="66">
                  <c:v>0.21666236596706473</c:v>
                </c:pt>
                <c:pt idx="67">
                  <c:v>0.21805756461907785</c:v>
                </c:pt>
                <c:pt idx="68">
                  <c:v>0.21947831685669525</c:v>
                </c:pt>
                <c:pt idx="69">
                  <c:v>0.22092412967890165</c:v>
                </c:pt>
                <c:pt idx="70">
                  <c:v>0.22239451432083482</c:v>
                </c:pt>
                <c:pt idx="71">
                  <c:v>0.22388898665880694</c:v>
                </c:pt>
                <c:pt idx="72">
                  <c:v>0.22540706758152565</c:v>
                </c:pt>
                <c:pt idx="73">
                  <c:v>0.2269482833285705</c:v>
                </c:pt>
                <c:pt idx="74">
                  <c:v>0.22851216579726202</c:v>
                </c:pt>
                <c:pt idx="75">
                  <c:v>0.23009825281912336</c:v>
                </c:pt>
                <c:pt idx="76">
                  <c:v>0.23170608840718593</c:v>
                </c:pt>
                <c:pt idx="77">
                  <c:v>0.23333522297542592</c:v>
                </c:pt>
                <c:pt idx="78">
                  <c:v>0.23498521353164414</c:v>
                </c:pt>
                <c:pt idx="79">
                  <c:v>0.23665562384511521</c:v>
                </c:pt>
                <c:pt idx="80">
                  <c:v>0.23834602459033491</c:v>
                </c:pt>
                <c:pt idx="81">
                  <c:v>0.24005599346819065</c:v>
                </c:pt>
                <c:pt idx="82">
                  <c:v>0.2417851153058663</c:v>
                </c:pt>
                <c:pt idx="83">
                  <c:v>0.24353298213677288</c:v>
                </c:pt>
                <c:pt idx="84">
                  <c:v>0.24529919326177169</c:v>
                </c:pt>
                <c:pt idx="85">
                  <c:v>0.24708335529292519</c:v>
                </c:pt>
                <c:pt idx="86">
                  <c:v>0.24888508218097644</c:v>
                </c:pt>
                <c:pt idx="87">
                  <c:v>0.25070399522771969</c:v>
                </c:pt>
                <c:pt idx="88">
                  <c:v>0.25253972308438366</c:v>
                </c:pt>
                <c:pt idx="89">
                  <c:v>0.25439190173710619</c:v>
                </c:pt>
                <c:pt idx="90">
                  <c:v>0.25626017448053329</c:v>
                </c:pt>
                <c:pt idx="91">
                  <c:v>0.25814419188053195</c:v>
                </c:pt>
                <c:pt idx="92">
                  <c:v>0.26004361172695628</c:v>
                </c:pt>
                <c:pt idx="93">
                  <c:v>0.2619580989773645</c:v>
                </c:pt>
                <c:pt idx="94">
                  <c:v>0.26388732569253304</c:v>
                </c:pt>
                <c:pt idx="95">
                  <c:v>0.26583097096457164</c:v>
                </c:pt>
                <c:pt idx="96">
                  <c:v>0.26778872083839611</c:v>
                </c:pt>
                <c:pt idx="97">
                  <c:v>0.26976026822727167</c:v>
                </c:pt>
                <c:pt idx="98">
                  <c:v>0.271745312823096</c:v>
                </c:pt>
                <c:pt idx="99">
                  <c:v>0.27374356100204922</c:v>
                </c:pt>
              </c:numCache>
            </c:numRef>
          </c:xVal>
          <c:yVal>
            <c:numRef>
              <c:f>'PS3'!$D$70:$D$169</c:f>
              <c:numCache>
                <c:formatCode>0.00</c:formatCode>
                <c:ptCount val="100"/>
                <c:pt idx="0">
                  <c:v>5.5910909090909094E-2</c:v>
                </c:pt>
                <c:pt idx="1">
                  <c:v>5.7458181818181825E-2</c:v>
                </c:pt>
                <c:pt idx="2">
                  <c:v>5.9005454545454548E-2</c:v>
                </c:pt>
                <c:pt idx="3">
                  <c:v>6.0552727272727279E-2</c:v>
                </c:pt>
                <c:pt idx="4">
                  <c:v>6.2100000000000002E-2</c:v>
                </c:pt>
                <c:pt idx="5">
                  <c:v>6.3647272727272733E-2</c:v>
                </c:pt>
                <c:pt idx="6">
                  <c:v>6.5194545454545463E-2</c:v>
                </c:pt>
                <c:pt idx="7">
                  <c:v>6.6741818181818194E-2</c:v>
                </c:pt>
                <c:pt idx="8">
                  <c:v>6.828909090909091E-2</c:v>
                </c:pt>
                <c:pt idx="9">
                  <c:v>6.9836363636363641E-2</c:v>
                </c:pt>
                <c:pt idx="10">
                  <c:v>7.1383636363636371E-2</c:v>
                </c:pt>
                <c:pt idx="11">
                  <c:v>7.2930909090909102E-2</c:v>
                </c:pt>
                <c:pt idx="12">
                  <c:v>7.4478181818181832E-2</c:v>
                </c:pt>
                <c:pt idx="13">
                  <c:v>7.6025454545454549E-2</c:v>
                </c:pt>
                <c:pt idx="14">
                  <c:v>7.7572727272727265E-2</c:v>
                </c:pt>
                <c:pt idx="15">
                  <c:v>7.9119999999999996E-2</c:v>
                </c:pt>
                <c:pt idx="16">
                  <c:v>8.0667272727272726E-2</c:v>
                </c:pt>
                <c:pt idx="17">
                  <c:v>8.2214545454545457E-2</c:v>
                </c:pt>
                <c:pt idx="18">
                  <c:v>8.3761818181818187E-2</c:v>
                </c:pt>
                <c:pt idx="19">
                  <c:v>8.5309090909090918E-2</c:v>
                </c:pt>
                <c:pt idx="20">
                  <c:v>8.6856363636363648E-2</c:v>
                </c:pt>
                <c:pt idx="21">
                  <c:v>8.8403636363636379E-2</c:v>
                </c:pt>
                <c:pt idx="22">
                  <c:v>8.9950909090909095E-2</c:v>
                </c:pt>
                <c:pt idx="23">
                  <c:v>9.1498181818181812E-2</c:v>
                </c:pt>
                <c:pt idx="24">
                  <c:v>9.3045454545454542E-2</c:v>
                </c:pt>
                <c:pt idx="25">
                  <c:v>9.4592727272727273E-2</c:v>
                </c:pt>
                <c:pt idx="26">
                  <c:v>9.6140000000000003E-2</c:v>
                </c:pt>
                <c:pt idx="27">
                  <c:v>9.7687272727272734E-2</c:v>
                </c:pt>
                <c:pt idx="28">
                  <c:v>9.923454545454545E-2</c:v>
                </c:pt>
                <c:pt idx="29">
                  <c:v>0.10078181818181817</c:v>
                </c:pt>
                <c:pt idx="30">
                  <c:v>0.10232909090909091</c:v>
                </c:pt>
                <c:pt idx="31">
                  <c:v>0.10387636363636363</c:v>
                </c:pt>
                <c:pt idx="32">
                  <c:v>0.10542363636363636</c:v>
                </c:pt>
                <c:pt idx="33">
                  <c:v>0.10697090909090909</c:v>
                </c:pt>
                <c:pt idx="34">
                  <c:v>0.10851818181818182</c:v>
                </c:pt>
                <c:pt idx="35">
                  <c:v>0.11006545454545455</c:v>
                </c:pt>
                <c:pt idx="36">
                  <c:v>0.11161272727272728</c:v>
                </c:pt>
                <c:pt idx="37">
                  <c:v>0.11316</c:v>
                </c:pt>
                <c:pt idx="38">
                  <c:v>0.11470727272727274</c:v>
                </c:pt>
                <c:pt idx="39">
                  <c:v>0.11625454545454546</c:v>
                </c:pt>
                <c:pt idx="40">
                  <c:v>0.11780181818181817</c:v>
                </c:pt>
                <c:pt idx="41">
                  <c:v>0.1193490909090909</c:v>
                </c:pt>
                <c:pt idx="42">
                  <c:v>0.12089636363636364</c:v>
                </c:pt>
                <c:pt idx="43">
                  <c:v>0.12244363636363637</c:v>
                </c:pt>
                <c:pt idx="44">
                  <c:v>0.1239909090909091</c:v>
                </c:pt>
                <c:pt idx="45">
                  <c:v>0.12553818181818183</c:v>
                </c:pt>
                <c:pt idx="46">
                  <c:v>0.12708545454545453</c:v>
                </c:pt>
                <c:pt idx="47">
                  <c:v>0.12863272727272726</c:v>
                </c:pt>
                <c:pt idx="48">
                  <c:v>0.13017999999999999</c:v>
                </c:pt>
                <c:pt idx="49">
                  <c:v>0.13172727272727272</c:v>
                </c:pt>
                <c:pt idx="50">
                  <c:v>0.13327454545454545</c:v>
                </c:pt>
                <c:pt idx="51">
                  <c:v>0.13482181818181818</c:v>
                </c:pt>
                <c:pt idx="52">
                  <c:v>0.13636909090909091</c:v>
                </c:pt>
                <c:pt idx="53">
                  <c:v>0.13791636363636364</c:v>
                </c:pt>
                <c:pt idx="54">
                  <c:v>0.13946363636363637</c:v>
                </c:pt>
                <c:pt idx="55">
                  <c:v>0.1410109090909091</c:v>
                </c:pt>
                <c:pt idx="56">
                  <c:v>0.14255818181818181</c:v>
                </c:pt>
                <c:pt idx="57">
                  <c:v>0.14410545454545454</c:v>
                </c:pt>
                <c:pt idx="58">
                  <c:v>0.14565272727272727</c:v>
                </c:pt>
                <c:pt idx="59">
                  <c:v>0.14719999999999997</c:v>
                </c:pt>
                <c:pt idx="60">
                  <c:v>0.14874727272727273</c:v>
                </c:pt>
                <c:pt idx="61">
                  <c:v>0.15029454545454546</c:v>
                </c:pt>
                <c:pt idx="62">
                  <c:v>0.15184181818181819</c:v>
                </c:pt>
                <c:pt idx="63">
                  <c:v>0.15338909090909089</c:v>
                </c:pt>
                <c:pt idx="64">
                  <c:v>0.15493636363636362</c:v>
                </c:pt>
                <c:pt idx="65">
                  <c:v>0.15648363636363635</c:v>
                </c:pt>
                <c:pt idx="66">
                  <c:v>0.15803090909090911</c:v>
                </c:pt>
                <c:pt idx="67">
                  <c:v>0.15957818181818181</c:v>
                </c:pt>
                <c:pt idx="68">
                  <c:v>0.16112545454545452</c:v>
                </c:pt>
                <c:pt idx="69">
                  <c:v>0.16267272727272725</c:v>
                </c:pt>
                <c:pt idx="70">
                  <c:v>0.16422</c:v>
                </c:pt>
                <c:pt idx="71">
                  <c:v>0.16576727272727274</c:v>
                </c:pt>
                <c:pt idx="72">
                  <c:v>0.16731454545454544</c:v>
                </c:pt>
                <c:pt idx="73">
                  <c:v>0.16886181818181817</c:v>
                </c:pt>
                <c:pt idx="74">
                  <c:v>0.1704090909090909</c:v>
                </c:pt>
                <c:pt idx="75">
                  <c:v>0.17195636363636363</c:v>
                </c:pt>
                <c:pt idx="76">
                  <c:v>0.17350363636363636</c:v>
                </c:pt>
                <c:pt idx="77">
                  <c:v>0.17505090909090909</c:v>
                </c:pt>
                <c:pt idx="78">
                  <c:v>0.17659818181818182</c:v>
                </c:pt>
                <c:pt idx="79">
                  <c:v>0.17814545454545455</c:v>
                </c:pt>
                <c:pt idx="80">
                  <c:v>0.17969272727272725</c:v>
                </c:pt>
                <c:pt idx="81">
                  <c:v>0.18123999999999998</c:v>
                </c:pt>
                <c:pt idx="82">
                  <c:v>0.18278727272727271</c:v>
                </c:pt>
                <c:pt idx="83">
                  <c:v>0.18433454545454545</c:v>
                </c:pt>
                <c:pt idx="84">
                  <c:v>0.18588181818181815</c:v>
                </c:pt>
                <c:pt idx="85">
                  <c:v>0.18742909090909088</c:v>
                </c:pt>
                <c:pt idx="86">
                  <c:v>0.18897636363636364</c:v>
                </c:pt>
                <c:pt idx="87">
                  <c:v>0.19052363636363637</c:v>
                </c:pt>
                <c:pt idx="88">
                  <c:v>0.1920709090909091</c:v>
                </c:pt>
                <c:pt idx="89">
                  <c:v>0.1936181818181818</c:v>
                </c:pt>
                <c:pt idx="90">
                  <c:v>0.19516545454545453</c:v>
                </c:pt>
                <c:pt idx="91">
                  <c:v>0.19671272727272726</c:v>
                </c:pt>
                <c:pt idx="92">
                  <c:v>0.19826000000000002</c:v>
                </c:pt>
                <c:pt idx="93">
                  <c:v>0.19980727272727272</c:v>
                </c:pt>
                <c:pt idx="94">
                  <c:v>0.20135454545454542</c:v>
                </c:pt>
                <c:pt idx="95">
                  <c:v>0.20290181818181816</c:v>
                </c:pt>
                <c:pt idx="96">
                  <c:v>0.20444909090909089</c:v>
                </c:pt>
                <c:pt idx="97">
                  <c:v>0.20599636363636364</c:v>
                </c:pt>
                <c:pt idx="98">
                  <c:v>0.20754363636363635</c:v>
                </c:pt>
                <c:pt idx="99">
                  <c:v>0.20909090909090908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11-2E42-8978-27EC2C35E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175904"/>
        <c:axId val="1526413312"/>
      </c:scatterChart>
      <c:valAx>
        <c:axId val="687175904"/>
        <c:scaling>
          <c:orientation val="minMax"/>
          <c:min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26413312"/>
        <c:crosses val="autoZero"/>
        <c:crossBetween val="midCat"/>
        <c:majorUnit val="0.01"/>
      </c:valAx>
      <c:valAx>
        <c:axId val="152641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8717590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'PS4'!$G$26:$G$46</c:f>
              <c:numCache>
                <c:formatCode>0.0000</c:formatCode>
                <c:ptCount val="21"/>
                <c:pt idx="0">
                  <c:v>0.10801234497346433</c:v>
                </c:pt>
                <c:pt idx="1">
                  <c:v>0.10809102846335268</c:v>
                </c:pt>
                <c:pt idx="2">
                  <c:v>0.10832673602145167</c:v>
                </c:pt>
                <c:pt idx="3">
                  <c:v>0.10871844634216647</c:v>
                </c:pt>
                <c:pt idx="4">
                  <c:v>0.10926448164085663</c:v>
                </c:pt>
                <c:pt idx="5">
                  <c:v>0.10996254297092696</c:v>
                </c:pt>
                <c:pt idx="6">
                  <c:v>0.11080975724284446</c:v>
                </c:pt>
                <c:pt idx="7">
                  <c:v>0.11180273377248247</c:v>
                </c:pt>
                <c:pt idx="8">
                  <c:v>0.11293762788805321</c:v>
                </c:pt>
                <c:pt idx="9">
                  <c:v>0.11421020901021696</c:v>
                </c:pt>
                <c:pt idx="10">
                  <c:v>0.11561593067796422</c:v>
                </c:pt>
                <c:pt idx="11">
                  <c:v>0.11715000019677127</c:v>
                </c:pt>
                <c:pt idx="12">
                  <c:v>0.118807445898279</c:v>
                </c:pt>
                <c:pt idx="13">
                  <c:v>0.12058318038117417</c:v>
                </c:pt>
                <c:pt idx="14">
                  <c:v>0.12247205851132893</c:v>
                </c:pt>
                <c:pt idx="15">
                  <c:v>0.12446892936136021</c:v>
                </c:pt>
                <c:pt idx="16">
                  <c:v>0.12656868163934346</c:v>
                </c:pt>
                <c:pt idx="17">
                  <c:v>0.12876628247595323</c:v>
                </c:pt>
                <c:pt idx="18">
                  <c:v>0.13105680969957181</c:v>
                </c:pt>
                <c:pt idx="19">
                  <c:v>0.13343547792764821</c:v>
                </c:pt>
                <c:pt idx="20">
                  <c:v>0.13589765894277686</c:v>
                </c:pt>
              </c:numCache>
            </c:numRef>
          </c:xVal>
          <c:yVal>
            <c:numRef>
              <c:f>'PS4'!$E$26:$E$46</c:f>
              <c:numCache>
                <c:formatCode>0.0000</c:formatCode>
                <c:ptCount val="21"/>
                <c:pt idx="0">
                  <c:v>0.12833333333333333</c:v>
                </c:pt>
                <c:pt idx="1">
                  <c:v>0.12932926829268293</c:v>
                </c:pt>
                <c:pt idx="2">
                  <c:v>0.13032520325203253</c:v>
                </c:pt>
                <c:pt idx="3">
                  <c:v>0.13132113821138211</c:v>
                </c:pt>
                <c:pt idx="4">
                  <c:v>0.13231707317073171</c:v>
                </c:pt>
                <c:pt idx="5">
                  <c:v>0.13331300813008129</c:v>
                </c:pt>
                <c:pt idx="6">
                  <c:v>0.13430894308943089</c:v>
                </c:pt>
                <c:pt idx="7">
                  <c:v>0.1353048780487805</c:v>
                </c:pt>
                <c:pt idx="8">
                  <c:v>0.1363008130081301</c:v>
                </c:pt>
                <c:pt idx="9">
                  <c:v>0.13729674796747968</c:v>
                </c:pt>
                <c:pt idx="10">
                  <c:v>0.13829268292682928</c:v>
                </c:pt>
                <c:pt idx="11">
                  <c:v>0.13928861788617888</c:v>
                </c:pt>
                <c:pt idx="12">
                  <c:v>0.14028455284552846</c:v>
                </c:pt>
                <c:pt idx="13">
                  <c:v>0.14128048780487806</c:v>
                </c:pt>
                <c:pt idx="14">
                  <c:v>0.14227642276422767</c:v>
                </c:pt>
                <c:pt idx="15">
                  <c:v>0.14327235772357727</c:v>
                </c:pt>
                <c:pt idx="16">
                  <c:v>0.14426829268292685</c:v>
                </c:pt>
                <c:pt idx="17">
                  <c:v>0.14526422764227645</c:v>
                </c:pt>
                <c:pt idx="18">
                  <c:v>0.14626016260162605</c:v>
                </c:pt>
                <c:pt idx="19">
                  <c:v>0.14725609756097563</c:v>
                </c:pt>
                <c:pt idx="20">
                  <c:v>0.14825203252032523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D1-1A43-A7A8-E1740DA18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14080"/>
        <c:axId val="458518176"/>
      </c:scatterChart>
      <c:valAx>
        <c:axId val="374014080"/>
        <c:scaling>
          <c:orientation val="minMax"/>
          <c:max val="0.15"/>
          <c:min val="0.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58518176"/>
        <c:crosses val="autoZero"/>
        <c:crossBetween val="midCat"/>
      </c:valAx>
      <c:valAx>
        <c:axId val="4585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37401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'PS8'!$C$52</c:f>
              <c:strCache>
                <c:ptCount val="1"/>
                <c:pt idx="0">
                  <c:v>r_D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'PS8'!$B$53:$B$79</c:f>
              <c:numCache>
                <c:formatCode>0.00</c:formatCode>
                <c:ptCount val="27"/>
                <c:pt idx="0">
                  <c:v>0</c:v>
                </c:pt>
                <c:pt idx="1">
                  <c:v>5.4285714285714284E-2</c:v>
                </c:pt>
                <c:pt idx="2">
                  <c:v>0.10857142857142857</c:v>
                </c:pt>
                <c:pt idx="3">
                  <c:v>0.16285714285714287</c:v>
                </c:pt>
                <c:pt idx="4">
                  <c:v>0.21714285714285714</c:v>
                </c:pt>
                <c:pt idx="5">
                  <c:v>0.27142857142857141</c:v>
                </c:pt>
                <c:pt idx="6">
                  <c:v>0.32571428571428573</c:v>
                </c:pt>
                <c:pt idx="7">
                  <c:v>0.38</c:v>
                </c:pt>
                <c:pt idx="8">
                  <c:v>0.43428571428571427</c:v>
                </c:pt>
                <c:pt idx="9">
                  <c:v>0.48857142857142855</c:v>
                </c:pt>
                <c:pt idx="10">
                  <c:v>0.54285714285714282</c:v>
                </c:pt>
                <c:pt idx="11">
                  <c:v>0.5971428571428572</c:v>
                </c:pt>
                <c:pt idx="12">
                  <c:v>0.65142857142857147</c:v>
                </c:pt>
                <c:pt idx="13">
                  <c:v>0.70571428571428574</c:v>
                </c:pt>
                <c:pt idx="14">
                  <c:v>0.76</c:v>
                </c:pt>
                <c:pt idx="15">
                  <c:v>0.78</c:v>
                </c:pt>
                <c:pt idx="16">
                  <c:v>0.8</c:v>
                </c:pt>
                <c:pt idx="17">
                  <c:v>0.82</c:v>
                </c:pt>
                <c:pt idx="18">
                  <c:v>0.84</c:v>
                </c:pt>
                <c:pt idx="19">
                  <c:v>0.86</c:v>
                </c:pt>
                <c:pt idx="20">
                  <c:v>0.88</c:v>
                </c:pt>
                <c:pt idx="21">
                  <c:v>0.9</c:v>
                </c:pt>
                <c:pt idx="22">
                  <c:v>0.92</c:v>
                </c:pt>
                <c:pt idx="23">
                  <c:v>0.94</c:v>
                </c:pt>
                <c:pt idx="24">
                  <c:v>0.96</c:v>
                </c:pt>
                <c:pt idx="25">
                  <c:v>0.98</c:v>
                </c:pt>
                <c:pt idx="26">
                  <c:v>1</c:v>
                </c:pt>
              </c:numCache>
            </c:numRef>
          </c:cat>
          <c:val>
            <c:numRef>
              <c:f>'PS8'!$C$53:$C$79</c:f>
              <c:numCache>
                <c:formatCode>General</c:formatCode>
                <c:ptCount val="27"/>
                <c:pt idx="0">
                  <c:v>5.2631578947368363E-2</c:v>
                </c:pt>
                <c:pt idx="1">
                  <c:v>5.2631578947368363E-2</c:v>
                </c:pt>
                <c:pt idx="2">
                  <c:v>5.2631578947368363E-2</c:v>
                </c:pt>
                <c:pt idx="3">
                  <c:v>5.2631578947368363E-2</c:v>
                </c:pt>
                <c:pt idx="4">
                  <c:v>5.2631578947368363E-2</c:v>
                </c:pt>
                <c:pt idx="5">
                  <c:v>5.2631578947368363E-2</c:v>
                </c:pt>
                <c:pt idx="6">
                  <c:v>5.2631578947368363E-2</c:v>
                </c:pt>
                <c:pt idx="7">
                  <c:v>5.2631578947368363E-2</c:v>
                </c:pt>
                <c:pt idx="8">
                  <c:v>5.2631578947368363E-2</c:v>
                </c:pt>
                <c:pt idx="9">
                  <c:v>5.2631578947368363E-2</c:v>
                </c:pt>
                <c:pt idx="10">
                  <c:v>5.2631578947368363E-2</c:v>
                </c:pt>
                <c:pt idx="11">
                  <c:v>5.2631578947368363E-2</c:v>
                </c:pt>
                <c:pt idx="12">
                  <c:v>5.2631578947368363E-2</c:v>
                </c:pt>
                <c:pt idx="13">
                  <c:v>5.2631578947368363E-2</c:v>
                </c:pt>
                <c:pt idx="14">
                  <c:v>5.2631578947368363E-2</c:v>
                </c:pt>
                <c:pt idx="15">
                  <c:v>5.8608058608058594E-2</c:v>
                </c:pt>
                <c:pt idx="16">
                  <c:v>6.4285714285714252E-2</c:v>
                </c:pt>
                <c:pt idx="17">
                  <c:v>6.968641114982578E-2</c:v>
                </c:pt>
                <c:pt idx="18">
                  <c:v>7.4829931972789088E-2</c:v>
                </c:pt>
                <c:pt idx="19">
                  <c:v>7.9734219269102999E-2</c:v>
                </c:pt>
                <c:pt idx="20">
                  <c:v>8.4415584415584388E-2</c:v>
                </c:pt>
                <c:pt idx="21">
                  <c:v>8.8888888888888795E-2</c:v>
                </c:pt>
                <c:pt idx="22">
                  <c:v>9.3167701863353977E-2</c:v>
                </c:pt>
                <c:pt idx="23">
                  <c:v>9.7264437689969618E-2</c:v>
                </c:pt>
                <c:pt idx="24">
                  <c:v>0.10119047619047621</c:v>
                </c:pt>
                <c:pt idx="25">
                  <c:v>0.10495626822157426</c:v>
                </c:pt>
                <c:pt idx="26">
                  <c:v>0.1085714285714286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B-294A-9A50-25CDDB4D47FF}"/>
            </c:ext>
          </c:extLst>
        </c:ser>
        <c:ser>
          <c:idx val="2"/>
          <c:order val="1"/>
          <c:tx>
            <c:strRef>
              <c:f>'PS8'!$D$52</c:f>
              <c:strCache>
                <c:ptCount val="1"/>
                <c:pt idx="0">
                  <c:v>r_E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'PS8'!$B$53:$B$79</c:f>
              <c:numCache>
                <c:formatCode>0.00</c:formatCode>
                <c:ptCount val="27"/>
                <c:pt idx="0">
                  <c:v>0</c:v>
                </c:pt>
                <c:pt idx="1">
                  <c:v>5.4285714285714284E-2</c:v>
                </c:pt>
                <c:pt idx="2">
                  <c:v>0.10857142857142857</c:v>
                </c:pt>
                <c:pt idx="3">
                  <c:v>0.16285714285714287</c:v>
                </c:pt>
                <c:pt idx="4">
                  <c:v>0.21714285714285714</c:v>
                </c:pt>
                <c:pt idx="5">
                  <c:v>0.27142857142857141</c:v>
                </c:pt>
                <c:pt idx="6">
                  <c:v>0.32571428571428573</c:v>
                </c:pt>
                <c:pt idx="7">
                  <c:v>0.38</c:v>
                </c:pt>
                <c:pt idx="8">
                  <c:v>0.43428571428571427</c:v>
                </c:pt>
                <c:pt idx="9">
                  <c:v>0.48857142857142855</c:v>
                </c:pt>
                <c:pt idx="10">
                  <c:v>0.54285714285714282</c:v>
                </c:pt>
                <c:pt idx="11">
                  <c:v>0.5971428571428572</c:v>
                </c:pt>
                <c:pt idx="12">
                  <c:v>0.65142857142857147</c:v>
                </c:pt>
                <c:pt idx="13">
                  <c:v>0.70571428571428574</c:v>
                </c:pt>
                <c:pt idx="14">
                  <c:v>0.76</c:v>
                </c:pt>
                <c:pt idx="15">
                  <c:v>0.78</c:v>
                </c:pt>
                <c:pt idx="16">
                  <c:v>0.8</c:v>
                </c:pt>
                <c:pt idx="17">
                  <c:v>0.82</c:v>
                </c:pt>
                <c:pt idx="18">
                  <c:v>0.84</c:v>
                </c:pt>
                <c:pt idx="19">
                  <c:v>0.86</c:v>
                </c:pt>
                <c:pt idx="20">
                  <c:v>0.88</c:v>
                </c:pt>
                <c:pt idx="21">
                  <c:v>0.9</c:v>
                </c:pt>
                <c:pt idx="22">
                  <c:v>0.92</c:v>
                </c:pt>
                <c:pt idx="23">
                  <c:v>0.94</c:v>
                </c:pt>
                <c:pt idx="24">
                  <c:v>0.96</c:v>
                </c:pt>
                <c:pt idx="25">
                  <c:v>0.98</c:v>
                </c:pt>
                <c:pt idx="26">
                  <c:v>1</c:v>
                </c:pt>
              </c:numCache>
            </c:numRef>
          </c:cat>
          <c:val>
            <c:numRef>
              <c:f>'PS8'!$D$53:$D$79</c:f>
              <c:numCache>
                <c:formatCode>General</c:formatCode>
                <c:ptCount val="27"/>
                <c:pt idx="0">
                  <c:v>0.1085714285714286</c:v>
                </c:pt>
                <c:pt idx="1">
                  <c:v>0.11178247734138974</c:v>
                </c:pt>
                <c:pt idx="2">
                  <c:v>0.11538461538461542</c:v>
                </c:pt>
                <c:pt idx="3">
                  <c:v>0.11945392491467574</c:v>
                </c:pt>
                <c:pt idx="4">
                  <c:v>0.1240875912408759</c:v>
                </c:pt>
                <c:pt idx="5">
                  <c:v>0.12941176470588228</c:v>
                </c:pt>
                <c:pt idx="6">
                  <c:v>0.13559322033898297</c:v>
                </c:pt>
                <c:pt idx="7">
                  <c:v>0.14285714285714279</c:v>
                </c:pt>
                <c:pt idx="8">
                  <c:v>0.15151515151515144</c:v>
                </c:pt>
                <c:pt idx="9">
                  <c:v>0.16201117318435748</c:v>
                </c:pt>
                <c:pt idx="10">
                  <c:v>0.17499999999999993</c:v>
                </c:pt>
                <c:pt idx="11">
                  <c:v>0.1914893617021276</c:v>
                </c:pt>
                <c:pt idx="12">
                  <c:v>0.21311475409836045</c:v>
                </c:pt>
                <c:pt idx="13">
                  <c:v>0.2427184466019417</c:v>
                </c:pt>
                <c:pt idx="14">
                  <c:v>0.28571428571428559</c:v>
                </c:pt>
                <c:pt idx="15">
                  <c:v>0.28571428571428559</c:v>
                </c:pt>
                <c:pt idx="16">
                  <c:v>0.28571428571428559</c:v>
                </c:pt>
                <c:pt idx="17">
                  <c:v>0.28571428571428581</c:v>
                </c:pt>
                <c:pt idx="18">
                  <c:v>0.28571428571428559</c:v>
                </c:pt>
                <c:pt idx="19">
                  <c:v>0.28571428571428559</c:v>
                </c:pt>
                <c:pt idx="20">
                  <c:v>0.28571428571428559</c:v>
                </c:pt>
                <c:pt idx="21">
                  <c:v>0.28571428571428559</c:v>
                </c:pt>
                <c:pt idx="22">
                  <c:v>0.28571428571428559</c:v>
                </c:pt>
                <c:pt idx="23">
                  <c:v>0.28571428571428559</c:v>
                </c:pt>
                <c:pt idx="24">
                  <c:v>0.28571428571428559</c:v>
                </c:pt>
                <c:pt idx="25">
                  <c:v>0.28571428571428559</c:v>
                </c:pt>
                <c:pt idx="26">
                  <c:v>0.28571428571428559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0B-294A-9A50-25CDDB4D4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797104"/>
        <c:axId val="570798832"/>
      </c:lineChart>
      <c:catAx>
        <c:axId val="57079710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70798832"/>
        <c:crosses val="autoZero"/>
        <c:auto val="1"/>
        <c:lblAlgn val="ctr"/>
        <c:lblOffset val="100"/>
        <c:noMultiLvlLbl val="0"/>
      </c:catAx>
      <c:valAx>
        <c:axId val="57079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7079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[1]Sheet1!$B$7:$B$19</c:f>
              <c:numCache>
                <c:formatCode>General</c:formatCode>
                <c:ptCount val="13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</c:numCache>
            </c:numRef>
          </c:cat>
          <c:val>
            <c:numRef>
              <c:f>[1]Sheet1!$G$7:$G$19</c:f>
              <c:numCache>
                <c:formatCode>General</c:formatCode>
                <c:ptCount val="13"/>
                <c:pt idx="0">
                  <c:v>0.66959790778411588</c:v>
                </c:pt>
                <c:pt idx="1">
                  <c:v>1.3470231128862515</c:v>
                </c:pt>
                <c:pt idx="2">
                  <c:v>2.4228641367691246</c:v>
                </c:pt>
                <c:pt idx="3">
                  <c:v>3.9752968614107154</c:v>
                </c:pt>
                <c:pt idx="4">
                  <c:v>6.0468954537301798</c:v>
                </c:pt>
                <c:pt idx="5">
                  <c:v>8.6408391262848809</c:v>
                </c:pt>
                <c:pt idx="6">
                  <c:v>11.725867783683142</c:v>
                </c:pt>
                <c:pt idx="7">
                  <c:v>15.246506819640388</c:v>
                </c:pt>
                <c:pt idx="8">
                  <c:v>19.134671146221393</c:v>
                </c:pt>
                <c:pt idx="9">
                  <c:v>23.319777659673193</c:v>
                </c:pt>
                <c:pt idx="10">
                  <c:v>27.735956138643502</c:v>
                </c:pt>
                <c:pt idx="11">
                  <c:v>32.326169666186303</c:v>
                </c:pt>
                <c:pt idx="12">
                  <c:v>37.043779515504156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9F-C944-AD8C-C66961EF3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917704"/>
        <c:axId val="609917048"/>
      </c:lineChart>
      <c:catAx>
        <c:axId val="60991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Stock price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09917048"/>
        <c:crosses val="autoZero"/>
        <c:auto val="1"/>
        <c:lblAlgn val="ctr"/>
        <c:lblOffset val="100"/>
        <c:noMultiLvlLbl val="0"/>
      </c:catAx>
      <c:valAx>
        <c:axId val="60991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Option premium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099177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781050</xdr:colOff>
      <xdr:row>65</xdr:row>
      <xdr:rowOff>69850</xdr:rowOff>
    </xdr:from>
    <xdr:to>
      <xdr:col>12</xdr:col>
      <xdr:colOff>400050</xdr:colOff>
      <xdr:row>78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224654-01D1-5557-C84F-778E038E1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820964</xdr:colOff>
      <xdr:row>25</xdr:row>
      <xdr:rowOff>7256</xdr:rowOff>
    </xdr:from>
    <xdr:to>
      <xdr:col>19</xdr:col>
      <xdr:colOff>303892</xdr:colOff>
      <xdr:row>38</xdr:row>
      <xdr:rowOff>156028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88578E-2CC1-A5D5-1C49-D9D2A169E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196850</xdr:colOff>
      <xdr:row>57</xdr:row>
      <xdr:rowOff>6350</xdr:rowOff>
    </xdr:from>
    <xdr:to>
      <xdr:col>11</xdr:col>
      <xdr:colOff>57150</xdr:colOff>
      <xdr:row>70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BB6D9-3CF6-5903-E938-D2DB179A7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22</xdr:row>
      <xdr:rowOff>165100</xdr:rowOff>
    </xdr:from>
    <xdr:to>
      <xdr:col>6</xdr:col>
      <xdr:colOff>419100</xdr:colOff>
      <xdr:row>24</xdr:row>
      <xdr:rowOff>81338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14D2007E-7FA2-4C5E-A037-60B51DB4A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3155" y="4395259"/>
          <a:ext cx="2438400" cy="322638"/>
        </a:xfrm>
        <a:prstGeom prst="rect">
          <a:avLst/>
        </a:prstGeom>
        <a:ln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50800</xdr:colOff>
      <xdr:row>30</xdr:row>
      <xdr:rowOff>0</xdr:rowOff>
    </xdr:from>
    <xdr:to>
      <xdr:col>5</xdr:col>
      <xdr:colOff>247650</xdr:colOff>
      <xdr:row>35</xdr:row>
      <xdr:rowOff>174625</xdr:rowOff>
    </xdr:to>
    <xdr:sp macro="" textlink="">
      <xdr:nvSpPr>
        <xdr:cNvPr id="3" name="Tekstfelt 2">
          <a:extLst>
            <a:ext uri="{FF2B5EF4-FFF2-40B4-BE49-F238E27FC236}">
              <a16:creationId xmlns:a16="http://schemas.microsoft.com/office/drawing/2014/main" id="{70AEC5CE-5DFD-1373-B1E3-75C60C7E4962}"/>
            </a:ext>
          </a:extLst>
        </xdr:cNvPr>
        <xdr:cNvSpPr txBox="1"/>
      </xdr:nvSpPr>
      <xdr:spPr>
        <a:xfrm>
          <a:off x="66675" y="5754864"/>
          <a:ext cx="432435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a-DK" sz="1100"/>
            <a:t>Assumptions: </a:t>
          </a:r>
        </a:p>
        <a:p>
          <a:r>
            <a:rPr lang="da-DK" sz="1100"/>
            <a:t>- Market</a:t>
          </a:r>
          <a:r>
            <a:rPr lang="da-DK" sz="1100" baseline="0"/>
            <a:t> is arbitrage free</a:t>
          </a:r>
        </a:p>
        <a:p>
          <a:r>
            <a:rPr lang="da-DK" sz="1100" baseline="0"/>
            <a:t>- The underlying is not paying dividends</a:t>
          </a:r>
        </a:p>
        <a:p>
          <a:r>
            <a:rPr lang="da-DK" sz="1100" baseline="0"/>
            <a:t>- Options are European with identical strike price</a:t>
          </a:r>
        </a:p>
        <a:p>
          <a:r>
            <a:rPr lang="da-DK" sz="1100" baseline="0"/>
            <a:t>- Identical expiry</a:t>
          </a:r>
        </a:p>
        <a:p>
          <a:r>
            <a:rPr lang="da-DK" sz="1100" baseline="0"/>
            <a:t>- Identical underlying</a:t>
          </a:r>
        </a:p>
        <a:p>
          <a:endParaRPr lang="da-DK" sz="11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</xdr:row>
      <xdr:rowOff>123825</xdr:rowOff>
    </xdr:from>
    <xdr:to>
      <xdr:col>15</xdr:col>
      <xdr:colOff>323850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CB3B0B-98B3-B244-851C-7DCA5D6CBF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vander/Downloads/ExerciseSet12%20Solution.xlsx" TargetMode="External"/><Relationship Id="rId1" Type="http://schemas.openxmlformats.org/officeDocument/2006/relationships/externalLinkPath" Target="/Users/jvander/Downloads/ExerciseSet12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ercises 1, 3, 4"/>
      <sheetName val="Sheet1"/>
    </sheetNames>
    <sheetDataSet>
      <sheetData sheetId="0" refreshError="1"/>
      <sheetData sheetId="1">
        <row r="7">
          <cell r="B7">
            <v>75</v>
          </cell>
          <cell r="G7">
            <v>0.66959790778411588</v>
          </cell>
        </row>
        <row r="8">
          <cell r="B8">
            <v>80</v>
          </cell>
          <cell r="G8">
            <v>1.3470231128862515</v>
          </cell>
        </row>
        <row r="9">
          <cell r="B9">
            <v>85</v>
          </cell>
          <cell r="G9">
            <v>2.4228641367691246</v>
          </cell>
        </row>
        <row r="10">
          <cell r="B10">
            <v>90</v>
          </cell>
          <cell r="G10">
            <v>3.9752968614107154</v>
          </cell>
        </row>
        <row r="11">
          <cell r="B11">
            <v>95</v>
          </cell>
          <cell r="G11">
            <v>6.0468954537301798</v>
          </cell>
        </row>
        <row r="12">
          <cell r="B12">
            <v>100</v>
          </cell>
          <cell r="G12">
            <v>8.6408391262848809</v>
          </cell>
        </row>
        <row r="13">
          <cell r="B13">
            <v>105</v>
          </cell>
          <cell r="G13">
            <v>11.725867783683142</v>
          </cell>
        </row>
        <row r="14">
          <cell r="B14">
            <v>110</v>
          </cell>
          <cell r="G14">
            <v>15.246506819640388</v>
          </cell>
        </row>
        <row r="15">
          <cell r="B15">
            <v>115</v>
          </cell>
          <cell r="G15">
            <v>19.134671146221393</v>
          </cell>
        </row>
        <row r="16">
          <cell r="B16">
            <v>120</v>
          </cell>
          <cell r="G16">
            <v>23.319777659673193</v>
          </cell>
        </row>
        <row r="17">
          <cell r="B17">
            <v>125</v>
          </cell>
          <cell r="G17">
            <v>27.735956138643502</v>
          </cell>
        </row>
        <row r="18">
          <cell r="B18">
            <v>130</v>
          </cell>
          <cell r="G18">
            <v>32.326169666186303</v>
          </cell>
        </row>
        <row r="19">
          <cell r="B19">
            <v>135</v>
          </cell>
          <cell r="G19">
            <v>37.043779515504156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6E78-1408-AA4C-86EC-3389E14D06B7}">
  <dimension ref="A1:V169"/>
  <sheetViews>
    <sheetView workbookViewId="0">
      <selection activeCell="D21" sqref="D21"/>
    </sheetView>
  </sheetViews>
  <sheetFormatPr baseColWidth="10" defaultRowHeight="16" x14ac:dyDescent="0.2"/>
  <cols>
    <col min="3" max="3" width="17.5" bestFit="1" customWidth="1"/>
    <col min="4" max="4" width="17.83203125" bestFit="1" customWidth="1"/>
    <col min="5" max="5" width="17.5" bestFit="1" customWidth="1"/>
    <col min="6" max="6" width="16.83203125" bestFit="1" customWidth="1"/>
    <col min="15" max="15" width="12.6640625" bestFit="1" customWidth="1"/>
  </cols>
  <sheetData>
    <row r="1" spans="2:10" x14ac:dyDescent="0.2">
      <c r="C1" t="s">
        <v>11</v>
      </c>
      <c r="D1" t="s">
        <v>12</v>
      </c>
      <c r="E1" t="s">
        <v>13</v>
      </c>
      <c r="F1" t="s">
        <v>14</v>
      </c>
      <c r="G1" t="s">
        <v>15</v>
      </c>
      <c r="I1" t="s">
        <v>17</v>
      </c>
      <c r="J1" t="s">
        <v>18</v>
      </c>
    </row>
    <row r="2" spans="2:10" x14ac:dyDescent="0.2">
      <c r="B2" t="s">
        <v>5</v>
      </c>
      <c r="C2" s="12">
        <f>1/6</f>
        <v>0.16666666666666666</v>
      </c>
      <c r="D2" s="12">
        <f>1/3</f>
        <v>0.33333333333333331</v>
      </c>
      <c r="E2" s="12">
        <f>1/4</f>
        <v>0.25</v>
      </c>
      <c r="F2" s="12">
        <f>1/4</f>
        <v>0.25</v>
      </c>
      <c r="G2" s="12">
        <f>SUM(C2:F2)</f>
        <v>1</v>
      </c>
      <c r="I2" s="12" cm="1">
        <f t="array" ref="I2:I5">TRANSPOSE(C2:F2)</f>
        <v>0.16666666666666666</v>
      </c>
      <c r="J2" s="12" cm="1">
        <f t="array" ref="J2:J5">TRANSPOSE(C3:F3)</f>
        <v>0.44444444444444442</v>
      </c>
    </row>
    <row r="3" spans="2:10" x14ac:dyDescent="0.2">
      <c r="B3" t="s">
        <v>6</v>
      </c>
      <c r="C3" s="12">
        <f>4/9</f>
        <v>0.44444444444444442</v>
      </c>
      <c r="D3" s="12">
        <f>1/6</f>
        <v>0.16666666666666666</v>
      </c>
      <c r="E3" s="12">
        <f>2/9</f>
        <v>0.22222222222222221</v>
      </c>
      <c r="F3" s="12">
        <f>1/6</f>
        <v>0.16666666666666666</v>
      </c>
      <c r="G3" s="12">
        <f>SUM(C3:F3)</f>
        <v>0.99999999999999989</v>
      </c>
      <c r="I3" s="12">
        <v>0.33333333333333331</v>
      </c>
      <c r="J3" s="12">
        <v>0.16666666666666666</v>
      </c>
    </row>
    <row r="4" spans="2:10" ht="17" thickBot="1" x14ac:dyDescent="0.25">
      <c r="I4" s="12">
        <v>0.25</v>
      </c>
      <c r="J4" s="12">
        <v>0.22222222222222221</v>
      </c>
    </row>
    <row r="5" spans="2:10" x14ac:dyDescent="0.2">
      <c r="B5" s="2"/>
      <c r="C5" s="3" t="s">
        <v>7</v>
      </c>
      <c r="D5" s="3" t="s">
        <v>8</v>
      </c>
      <c r="E5" s="3" t="s">
        <v>9</v>
      </c>
      <c r="F5" s="4" t="s">
        <v>10</v>
      </c>
      <c r="I5" s="12">
        <v>0.25</v>
      </c>
      <c r="J5" s="12">
        <v>0.16666666666666666</v>
      </c>
    </row>
    <row r="6" spans="2:10" x14ac:dyDescent="0.2">
      <c r="B6" s="5" t="s">
        <v>7</v>
      </c>
      <c r="C6" s="13">
        <v>2.1999999999999999E-2</v>
      </c>
      <c r="D6">
        <v>9.2999999999999992E-3</v>
      </c>
      <c r="E6" s="13">
        <v>1.9099999999999999E-2</v>
      </c>
      <c r="F6" s="6">
        <v>1.8100000000000002E-2</v>
      </c>
    </row>
    <row r="7" spans="2:10" x14ac:dyDescent="0.2">
      <c r="B7" s="5" t="s">
        <v>8</v>
      </c>
      <c r="C7" s="13">
        <v>9.2999999999999992E-3</v>
      </c>
      <c r="D7">
        <v>5.1700000000000003E-2</v>
      </c>
      <c r="E7">
        <v>1.2E-2</v>
      </c>
      <c r="F7" s="6">
        <v>9.5999999999999992E-3</v>
      </c>
    </row>
    <row r="8" spans="2:10" x14ac:dyDescent="0.2">
      <c r="B8" s="5" t="s">
        <v>9</v>
      </c>
      <c r="C8" s="13">
        <v>1.9099999999999999E-2</v>
      </c>
      <c r="D8">
        <v>1.2E-2</v>
      </c>
      <c r="E8">
        <v>3.4200000000000001E-2</v>
      </c>
      <c r="F8" s="6">
        <v>2.0400000000000001E-2</v>
      </c>
    </row>
    <row r="9" spans="2:10" ht="17" thickBot="1" x14ac:dyDescent="0.25">
      <c r="B9" s="7" t="s">
        <v>10</v>
      </c>
      <c r="C9" s="14">
        <v>1.8100000000000002E-2</v>
      </c>
      <c r="D9" s="8">
        <v>9.5999999999999992E-3</v>
      </c>
      <c r="E9" s="8">
        <v>2.0400000000000001E-2</v>
      </c>
      <c r="F9" s="15">
        <v>2.9600000000000001E-2</v>
      </c>
    </row>
    <row r="12" spans="2:10" ht="17" thickBot="1" x14ac:dyDescent="0.25"/>
    <row r="13" spans="2:10" x14ac:dyDescent="0.2">
      <c r="B13" s="2" t="s">
        <v>0</v>
      </c>
      <c r="C13" s="3" t="s">
        <v>1</v>
      </c>
      <c r="D13" s="3" t="s">
        <v>2</v>
      </c>
      <c r="E13" s="4" t="s">
        <v>3</v>
      </c>
      <c r="G13" s="9" t="s">
        <v>4</v>
      </c>
    </row>
    <row r="14" spans="2:10" x14ac:dyDescent="0.2">
      <c r="B14" s="5" t="s">
        <v>1</v>
      </c>
      <c r="C14" s="12">
        <v>0.02</v>
      </c>
      <c r="D14" s="12">
        <v>0.01</v>
      </c>
      <c r="E14" s="21">
        <v>0</v>
      </c>
      <c r="G14" s="26">
        <v>0.15</v>
      </c>
    </row>
    <row r="15" spans="2:10" x14ac:dyDescent="0.2">
      <c r="B15" s="5" t="s">
        <v>2</v>
      </c>
      <c r="C15" s="12">
        <v>0.01</v>
      </c>
      <c r="D15" s="12">
        <v>0.02</v>
      </c>
      <c r="E15" s="22">
        <v>0.01</v>
      </c>
      <c r="G15" s="26">
        <v>0.12</v>
      </c>
    </row>
    <row r="16" spans="2:10" ht="17" thickBot="1" x14ac:dyDescent="0.25">
      <c r="B16" s="7" t="s">
        <v>3</v>
      </c>
      <c r="C16" s="23">
        <v>0</v>
      </c>
      <c r="D16" s="23">
        <v>0.01</v>
      </c>
      <c r="E16" s="24">
        <v>0.03</v>
      </c>
      <c r="G16" s="27">
        <v>0.1</v>
      </c>
    </row>
    <row r="18" spans="1:20" x14ac:dyDescent="0.2">
      <c r="A18" s="17" t="s">
        <v>16</v>
      </c>
    </row>
    <row r="20" spans="1:20" x14ac:dyDescent="0.2">
      <c r="B20" t="s">
        <v>19</v>
      </c>
      <c r="C20" t="s">
        <v>17</v>
      </c>
      <c r="D20" t="s">
        <v>18</v>
      </c>
    </row>
    <row r="21" spans="1:20" x14ac:dyDescent="0.2">
      <c r="B21" t="s">
        <v>20</v>
      </c>
      <c r="C21" s="13" cm="1">
        <f t="array" ref="C21">MMULT(MMULT(C2:F2,C6:F9),_xlfn.ANCHORARRAY(I2))</f>
        <v>2.0626388888888889E-2</v>
      </c>
      <c r="D21" s="13" cm="1">
        <f t="array" ref="D21">MMULT(MMULT(C3:F3,C6:F9),_xlfn.ANCHORARRAY(J2))</f>
        <v>1.9058333333333333E-2</v>
      </c>
    </row>
    <row r="23" spans="1:20" ht="17" thickBot="1" x14ac:dyDescent="0.25">
      <c r="A23" s="17" t="s">
        <v>21</v>
      </c>
      <c r="I23" t="s">
        <v>24</v>
      </c>
      <c r="L23" t="s">
        <v>26</v>
      </c>
    </row>
    <row r="24" spans="1:20" x14ac:dyDescent="0.2">
      <c r="B24" s="2" t="s">
        <v>29</v>
      </c>
      <c r="C24" s="3" t="s">
        <v>1</v>
      </c>
      <c r="D24" s="3" t="s">
        <v>2</v>
      </c>
      <c r="E24" s="4" t="s">
        <v>3</v>
      </c>
      <c r="G24" s="9" t="s">
        <v>22</v>
      </c>
      <c r="I24" s="9" t="s">
        <v>23</v>
      </c>
      <c r="K24" s="2" t="s">
        <v>11</v>
      </c>
      <c r="L24" s="3" t="s">
        <v>12</v>
      </c>
      <c r="M24" s="4" t="s">
        <v>13</v>
      </c>
      <c r="O24" s="9" t="s">
        <v>25</v>
      </c>
      <c r="Q24" s="9" t="s">
        <v>27</v>
      </c>
      <c r="S24" s="2" t="s">
        <v>28</v>
      </c>
      <c r="T24" s="4" t="s">
        <v>30</v>
      </c>
    </row>
    <row r="25" spans="1:20" ht="17" thickBot="1" x14ac:dyDescent="0.25">
      <c r="B25" s="5" t="s">
        <v>1</v>
      </c>
      <c r="C25" s="13" cm="1">
        <f t="array" ref="C25:E27">MINVERSE(C14:E16)</f>
        <v>71.428571428571431</v>
      </c>
      <c r="D25" s="13">
        <v>-42.857142857142861</v>
      </c>
      <c r="E25" s="18">
        <v>14.285714285714288</v>
      </c>
      <c r="G25" s="10">
        <v>1</v>
      </c>
      <c r="I25" s="10" cm="1">
        <f t="array" ref="I25:I27">MMULT(_xlfn.ANCHORARRAY(C25),G25:G27)</f>
        <v>42.857142857142861</v>
      </c>
      <c r="K25" s="28">
        <f>I25/I28</f>
        <v>0.5</v>
      </c>
      <c r="L25" s="23">
        <f>I26/I28</f>
        <v>0.16666666666666669</v>
      </c>
      <c r="M25" s="29">
        <f>I27/I28</f>
        <v>0.33333333333333331</v>
      </c>
      <c r="O25" s="30" cm="1">
        <f t="array" ref="O25">MMULT(K25:M25,G14:G16)</f>
        <v>0.12833333333333333</v>
      </c>
      <c r="Q25" s="26" cm="1">
        <f t="array" ref="Q25:Q27">TRANSPOSE(K25:M25)</f>
        <v>0.5</v>
      </c>
      <c r="S25" s="31" cm="1">
        <f t="array" ref="S25">MMULT(MMULT(K25:M25,C14:E16),_xlfn.ANCHORARRAY(Q25))</f>
        <v>1.1666666666666667E-2</v>
      </c>
      <c r="T25" s="32">
        <f>SQRT(S25)</f>
        <v>0.10801234497346433</v>
      </c>
    </row>
    <row r="26" spans="1:20" x14ac:dyDescent="0.2">
      <c r="B26" s="5" t="s">
        <v>2</v>
      </c>
      <c r="C26" s="13">
        <v>-42.857142857142861</v>
      </c>
      <c r="D26" s="13">
        <v>85.714285714285722</v>
      </c>
      <c r="E26" s="19">
        <v>-28.571428571428573</v>
      </c>
      <c r="G26" s="10">
        <v>1</v>
      </c>
      <c r="I26" s="10">
        <v>14.285714285714288</v>
      </c>
      <c r="O26" s="16"/>
      <c r="Q26" s="26">
        <v>0.16666666666666669</v>
      </c>
      <c r="S26" s="13"/>
      <c r="T26" s="13"/>
    </row>
    <row r="27" spans="1:20" ht="17" thickBot="1" x14ac:dyDescent="0.25">
      <c r="B27" s="7" t="s">
        <v>3</v>
      </c>
      <c r="C27" s="14">
        <v>14.285714285714288</v>
      </c>
      <c r="D27" s="14">
        <v>-28.571428571428577</v>
      </c>
      <c r="E27" s="20">
        <v>42.857142857142861</v>
      </c>
      <c r="G27" s="11">
        <v>1</v>
      </c>
      <c r="I27" s="11">
        <v>28.571428571428573</v>
      </c>
      <c r="O27" s="16"/>
      <c r="Q27" s="27">
        <v>0.33333333333333331</v>
      </c>
      <c r="S27" s="13"/>
      <c r="T27" s="13"/>
    </row>
    <row r="28" spans="1:20" ht="17" thickBot="1" x14ac:dyDescent="0.25">
      <c r="I28" s="25">
        <f>SUM(_xlfn.ANCHORARRAY(I25))</f>
        <v>85.714285714285722</v>
      </c>
      <c r="O28" s="16"/>
      <c r="Q28" s="12"/>
      <c r="S28" s="13"/>
      <c r="T28" s="13"/>
    </row>
    <row r="29" spans="1:20" x14ac:dyDescent="0.2">
      <c r="O29" s="16"/>
      <c r="Q29" s="12"/>
      <c r="S29" s="13"/>
      <c r="T29" s="13"/>
    </row>
    <row r="33" spans="1:11" x14ac:dyDescent="0.2">
      <c r="A33" t="s">
        <v>31</v>
      </c>
    </row>
    <row r="34" spans="1:11" ht="17" thickBot="1" x14ac:dyDescent="0.25"/>
    <row r="35" spans="1:11" x14ac:dyDescent="0.2">
      <c r="B35" s="2">
        <v>0.04</v>
      </c>
      <c r="C35" s="3">
        <v>0.02</v>
      </c>
      <c r="D35" s="3">
        <v>0</v>
      </c>
      <c r="E35" s="3">
        <v>1</v>
      </c>
      <c r="F35" s="4">
        <v>0.15</v>
      </c>
      <c r="H35">
        <v>0</v>
      </c>
      <c r="J35" cm="1">
        <f t="array" ref="J35:J39">MMULT(MINVERSE(B35:F39),H35:H39)</f>
        <v>0.54285714285714315</v>
      </c>
      <c r="K35">
        <f>SUM(J35:J37)</f>
        <v>0.99999999999999978</v>
      </c>
    </row>
    <row r="36" spans="1:11" x14ac:dyDescent="0.2">
      <c r="B36" s="5">
        <v>0.02</v>
      </c>
      <c r="C36">
        <v>0.04</v>
      </c>
      <c r="D36">
        <v>0.02</v>
      </c>
      <c r="E36">
        <v>1</v>
      </c>
      <c r="F36" s="6">
        <v>0.12</v>
      </c>
      <c r="H36">
        <v>0</v>
      </c>
      <c r="J36">
        <v>0.14285714285714235</v>
      </c>
    </row>
    <row r="37" spans="1:11" x14ac:dyDescent="0.2">
      <c r="B37" s="5">
        <v>0</v>
      </c>
      <c r="C37">
        <v>0.02</v>
      </c>
      <c r="D37">
        <v>0.06</v>
      </c>
      <c r="E37">
        <v>1</v>
      </c>
      <c r="F37" s="6">
        <v>0.1</v>
      </c>
      <c r="H37">
        <v>0</v>
      </c>
      <c r="J37">
        <v>0.31428571428571428</v>
      </c>
    </row>
    <row r="38" spans="1:11" x14ac:dyDescent="0.2">
      <c r="B38" s="5">
        <v>1</v>
      </c>
      <c r="C38">
        <v>1</v>
      </c>
      <c r="D38">
        <v>1</v>
      </c>
      <c r="E38">
        <v>0</v>
      </c>
      <c r="F38" s="6">
        <v>0</v>
      </c>
      <c r="H38">
        <v>1</v>
      </c>
      <c r="J38">
        <v>-1.6000000000000125E-2</v>
      </c>
    </row>
    <row r="39" spans="1:11" ht="17" thickBot="1" x14ac:dyDescent="0.25">
      <c r="B39" s="7">
        <v>0.15</v>
      </c>
      <c r="C39" s="8">
        <v>0.12</v>
      </c>
      <c r="D39" s="8">
        <v>0.1</v>
      </c>
      <c r="E39" s="8">
        <v>0</v>
      </c>
      <c r="F39" s="15">
        <v>0</v>
      </c>
      <c r="H39">
        <v>0.13</v>
      </c>
      <c r="J39">
        <v>-5.7142857142856052E-2</v>
      </c>
    </row>
    <row r="40" spans="1:11" ht="17" thickBot="1" x14ac:dyDescent="0.25"/>
    <row r="41" spans="1:11" x14ac:dyDescent="0.2">
      <c r="B41" s="2"/>
      <c r="C41" s="3"/>
      <c r="D41" s="3"/>
      <c r="E41" s="3"/>
      <c r="F41" s="4"/>
    </row>
    <row r="42" spans="1:11" x14ac:dyDescent="0.2">
      <c r="B42" s="5"/>
      <c r="F42" s="6"/>
    </row>
    <row r="43" spans="1:11" x14ac:dyDescent="0.2">
      <c r="B43" s="5"/>
      <c r="F43" s="6"/>
    </row>
    <row r="44" spans="1:11" x14ac:dyDescent="0.2">
      <c r="B44" s="5"/>
      <c r="F44" s="6"/>
    </row>
    <row r="45" spans="1:11" ht="17" thickBot="1" x14ac:dyDescent="0.25">
      <c r="B45" s="7"/>
      <c r="C45" s="8"/>
      <c r="D45" s="8"/>
      <c r="E45" s="8"/>
      <c r="F45" s="15"/>
    </row>
    <row r="52" spans="1:22" x14ac:dyDescent="0.2">
      <c r="A52" t="s">
        <v>32</v>
      </c>
    </row>
    <row r="53" spans="1:22" ht="17" thickBot="1" x14ac:dyDescent="0.25">
      <c r="B53" s="34" t="s">
        <v>33</v>
      </c>
      <c r="C53" s="34" t="s">
        <v>34</v>
      </c>
      <c r="D53" s="34" t="s">
        <v>35</v>
      </c>
      <c r="F53" s="34" t="s">
        <v>36</v>
      </c>
      <c r="I53" t="s">
        <v>37</v>
      </c>
    </row>
    <row r="54" spans="1:22" x14ac:dyDescent="0.2">
      <c r="B54" s="1"/>
      <c r="C54" s="12">
        <v>0.1</v>
      </c>
      <c r="D54" s="12">
        <v>0.05</v>
      </c>
      <c r="F54" s="2">
        <f>_xlfn.COVARIANCE.P(C54:C64,C54:C64)</f>
        <v>7.4935537190082627E-2</v>
      </c>
      <c r="G54" s="4">
        <f>_xlfn.COVARIANCE.P(C54:C64,D54:D64)</f>
        <v>2.0056694214876037E-2</v>
      </c>
      <c r="I54" s="2" cm="1">
        <f t="array" ref="I54:J55">MINVERSE(F54:G55)</f>
        <v>15.370950221167794</v>
      </c>
      <c r="J54" s="4">
        <v>-7.5700616621365002</v>
      </c>
    </row>
    <row r="55" spans="1:22" ht="17" thickBot="1" x14ac:dyDescent="0.25">
      <c r="B55" s="1"/>
      <c r="C55" s="12">
        <v>0.05</v>
      </c>
      <c r="D55" s="12">
        <v>0.09</v>
      </c>
      <c r="F55" s="7">
        <f>_xlfn.COVARIANCE.P(C54:C64,D54:D64)</f>
        <v>2.0056694214876037E-2</v>
      </c>
      <c r="G55" s="15">
        <f>_xlfn.COVARIANCE.P(D54:D64,D54:D64)</f>
        <v>4.0724958677685955E-2</v>
      </c>
      <c r="I55" s="7">
        <v>-7.5700616621365002</v>
      </c>
      <c r="J55" s="15">
        <v>28.283157290871351</v>
      </c>
    </row>
    <row r="56" spans="1:22" x14ac:dyDescent="0.2">
      <c r="B56" s="1"/>
      <c r="C56" s="12">
        <v>0.08</v>
      </c>
      <c r="D56" s="12">
        <v>0.12</v>
      </c>
    </row>
    <row r="57" spans="1:22" ht="17" thickBot="1" x14ac:dyDescent="0.25">
      <c r="B57" s="1"/>
      <c r="C57" s="12">
        <v>1</v>
      </c>
      <c r="D57" s="12">
        <v>0.15</v>
      </c>
    </row>
    <row r="58" spans="1:22" ht="17" thickBot="1" x14ac:dyDescent="0.25">
      <c r="B58" s="1"/>
      <c r="C58" s="12">
        <v>0.04</v>
      </c>
      <c r="D58" s="12">
        <v>0.01</v>
      </c>
      <c r="F58" t="s">
        <v>38</v>
      </c>
      <c r="I58" s="9" t="s">
        <v>22</v>
      </c>
      <c r="K58" s="9" t="s">
        <v>40</v>
      </c>
      <c r="L58" s="9" t="s">
        <v>39</v>
      </c>
      <c r="N58" s="2" t="s">
        <v>41</v>
      </c>
      <c r="O58" s="4"/>
      <c r="Q58" s="2" t="str" cm="1">
        <f t="array" ref="Q58:S59">TRANSPOSE(N58:O60)</f>
        <v xml:space="preserve">Weights </v>
      </c>
      <c r="R58" s="3" t="str">
        <v>x1</v>
      </c>
      <c r="S58" s="4" t="str">
        <v>x2</v>
      </c>
      <c r="U58" t="s">
        <v>42</v>
      </c>
      <c r="V58" cm="1">
        <f t="array" ref="V58">MMULT(R59:S59,G59:G60)</f>
        <v>9.669410143088436E-2</v>
      </c>
    </row>
    <row r="59" spans="1:22" ht="17" thickBot="1" x14ac:dyDescent="0.25">
      <c r="B59" s="1"/>
      <c r="C59" s="12">
        <v>0.12</v>
      </c>
      <c r="D59" s="12">
        <v>7.8E-2</v>
      </c>
      <c r="F59" s="2" t="s">
        <v>1</v>
      </c>
      <c r="G59" s="33">
        <f>AVERAGE(C54:C64)</f>
        <v>0.20909090909090908</v>
      </c>
      <c r="I59" s="10">
        <v>1</v>
      </c>
      <c r="K59" s="10" cm="1">
        <f t="array" ref="K59:K60">MMULT(_xlfn.ANCHORARRAY(I54),I59:I60)</f>
        <v>7.8008885590312937</v>
      </c>
      <c r="L59" s="10">
        <f>SUM(_xlfn.ANCHORARRAY(K59))</f>
        <v>28.513984187766145</v>
      </c>
      <c r="N59" s="5" t="s">
        <v>11</v>
      </c>
      <c r="O59" s="6">
        <f>K59/$L$59</f>
        <v>0.27358114908327141</v>
      </c>
      <c r="Q59" s="7">
        <v>0</v>
      </c>
      <c r="R59" s="8">
        <v>0.27358114908327141</v>
      </c>
      <c r="S59" s="15">
        <v>0.72641885091672864</v>
      </c>
      <c r="U59" t="s">
        <v>28</v>
      </c>
      <c r="V59" cm="1">
        <f t="array" ref="V59">MMULT(MMULT(R59:S59,F54:G55),O59:O60)</f>
        <v>3.5070511136393479E-2</v>
      </c>
    </row>
    <row r="60" spans="1:22" ht="17" thickBot="1" x14ac:dyDescent="0.25">
      <c r="B60" s="1"/>
      <c r="C60" s="12">
        <v>0.06</v>
      </c>
      <c r="D60" s="12">
        <v>-0.5</v>
      </c>
      <c r="F60" s="7" t="s">
        <v>2</v>
      </c>
      <c r="G60" s="29">
        <f>AVERAGE(D54:D64)</f>
        <v>5.4363636363636371E-2</v>
      </c>
      <c r="I60" s="11">
        <v>1</v>
      </c>
      <c r="K60" s="11">
        <v>20.713095628734852</v>
      </c>
      <c r="L60" s="11"/>
      <c r="N60" s="7" t="s">
        <v>12</v>
      </c>
      <c r="O60" s="15">
        <f>K60/$L$59</f>
        <v>0.72641885091672864</v>
      </c>
      <c r="U60" t="s">
        <v>30</v>
      </c>
      <c r="V60">
        <f>SQRT(V59)</f>
        <v>0.18727122346050254</v>
      </c>
    </row>
    <row r="61" spans="1:22" x14ac:dyDescent="0.2">
      <c r="B61" s="1"/>
      <c r="C61" s="12">
        <v>0.4</v>
      </c>
      <c r="D61" s="12">
        <v>0.4</v>
      </c>
    </row>
    <row r="62" spans="1:22" x14ac:dyDescent="0.2">
      <c r="B62" s="1"/>
      <c r="C62" s="12">
        <v>0.31</v>
      </c>
      <c r="D62" s="12">
        <v>0.1</v>
      </c>
    </row>
    <row r="63" spans="1:22" x14ac:dyDescent="0.2">
      <c r="B63" s="1"/>
      <c r="C63" s="12">
        <v>0.05</v>
      </c>
      <c r="D63" s="12">
        <v>0.08</v>
      </c>
    </row>
    <row r="64" spans="1:22" x14ac:dyDescent="0.2">
      <c r="B64" s="1"/>
      <c r="C64" s="12">
        <v>0.09</v>
      </c>
      <c r="D64" s="12">
        <v>0.02</v>
      </c>
    </row>
    <row r="68" spans="2:6" ht="17" thickBot="1" x14ac:dyDescent="0.25">
      <c r="B68" t="s">
        <v>43</v>
      </c>
    </row>
    <row r="69" spans="2:6" x14ac:dyDescent="0.2">
      <c r="B69" s="35" t="s">
        <v>44</v>
      </c>
      <c r="C69" s="3" t="s">
        <v>45</v>
      </c>
      <c r="D69" s="3" t="s">
        <v>38</v>
      </c>
      <c r="E69" s="3" t="s">
        <v>46</v>
      </c>
      <c r="F69" s="4" t="s">
        <v>30</v>
      </c>
    </row>
    <row r="70" spans="2:6" x14ac:dyDescent="0.2">
      <c r="B70" s="5">
        <v>0.01</v>
      </c>
      <c r="C70">
        <f>1-B70</f>
        <v>0.99</v>
      </c>
      <c r="D70" s="12" cm="1">
        <f t="array" ref="D70">MMULT(B70:C70,$G$59:$G$60)</f>
        <v>5.5910909090909094E-2</v>
      </c>
      <c r="E70" s="12">
        <f>B70^2*$F$54+C70^2*$G$55+(2*B70*C70*$F$55)</f>
        <v>4.031914809917355E-2</v>
      </c>
      <c r="F70" s="21">
        <f>SQRT(E70)</f>
        <v>0.20079628507313962</v>
      </c>
    </row>
    <row r="71" spans="2:6" x14ac:dyDescent="0.2">
      <c r="B71" s="5">
        <v>0.02</v>
      </c>
      <c r="C71">
        <f t="shared" ref="C71:C134" si="0">1-B71</f>
        <v>0.98</v>
      </c>
      <c r="D71" s="12" cm="1">
        <f t="array" ref="D71">MMULT(B71:C71,$G$59:$G$60)</f>
        <v>5.7458181818181825E-2</v>
      </c>
      <c r="E71" s="12">
        <f t="shared" ref="E71:E134" si="1">B71^2*$F$54+C71^2*$G$55+(2*B71*C71*$F$55)</f>
        <v>3.9928446942148761E-2</v>
      </c>
      <c r="F71" s="21">
        <f t="shared" ref="F71:F134" si="2">SQRT(E71)</f>
        <v>0.19982103728623962</v>
      </c>
    </row>
    <row r="72" spans="2:6" x14ac:dyDescent="0.2">
      <c r="B72" s="5">
        <v>0.03</v>
      </c>
      <c r="C72">
        <f t="shared" si="0"/>
        <v>0.97</v>
      </c>
      <c r="D72" s="12" cm="1">
        <f t="array" ref="D72">MMULT(B72:C72,$G$59:$G$60)</f>
        <v>5.9005454545454548E-2</v>
      </c>
      <c r="E72" s="12">
        <f t="shared" si="1"/>
        <v>3.9552855206611573E-2</v>
      </c>
      <c r="F72" s="21">
        <f t="shared" si="2"/>
        <v>0.19887899639381623</v>
      </c>
    </row>
    <row r="73" spans="2:6" x14ac:dyDescent="0.2">
      <c r="B73" s="5">
        <v>0.04</v>
      </c>
      <c r="C73">
        <f t="shared" si="0"/>
        <v>0.96</v>
      </c>
      <c r="D73" s="12" cm="1">
        <f t="array" ref="D73">MMULT(B73:C73,$G$59:$G$60)</f>
        <v>6.0552727272727279E-2</v>
      </c>
      <c r="E73" s="12">
        <f t="shared" si="1"/>
        <v>3.9192372892561986E-2</v>
      </c>
      <c r="F73" s="21">
        <f t="shared" si="2"/>
        <v>0.19797063644026097</v>
      </c>
    </row>
    <row r="74" spans="2:6" x14ac:dyDescent="0.2">
      <c r="B74" s="5">
        <v>0.05</v>
      </c>
      <c r="C74">
        <f t="shared" si="0"/>
        <v>0.95</v>
      </c>
      <c r="D74" s="12" cm="1">
        <f t="array" ref="D74">MMULT(B74:C74,$G$59:$G$60)</f>
        <v>6.2100000000000002E-2</v>
      </c>
      <c r="E74" s="12">
        <f t="shared" si="1"/>
        <v>3.8847E-2</v>
      </c>
      <c r="F74" s="21">
        <f t="shared" si="2"/>
        <v>0.19709642310300815</v>
      </c>
    </row>
    <row r="75" spans="2:6" x14ac:dyDescent="0.2">
      <c r="B75" s="5">
        <v>0.06</v>
      </c>
      <c r="C75">
        <f t="shared" si="0"/>
        <v>0.94</v>
      </c>
      <c r="D75" s="12" cm="1">
        <f t="array" ref="D75">MMULT(B75:C75,$G$59:$G$60)</f>
        <v>6.3647272727272733E-2</v>
      </c>
      <c r="E75" s="12">
        <f t="shared" si="1"/>
        <v>3.8516736528925621E-2</v>
      </c>
      <c r="F75" s="21">
        <f t="shared" si="2"/>
        <v>0.19625681269430018</v>
      </c>
    </row>
    <row r="76" spans="2:6" x14ac:dyDescent="0.2">
      <c r="B76" s="5">
        <v>7.0000000000000007E-2</v>
      </c>
      <c r="C76">
        <f t="shared" si="0"/>
        <v>0.92999999999999994</v>
      </c>
      <c r="D76" s="12" cm="1">
        <f t="array" ref="D76">MMULT(B76:C76,$G$59:$G$60)</f>
        <v>6.5194545454545463E-2</v>
      </c>
      <c r="E76" s="12">
        <f t="shared" si="1"/>
        <v>3.8201582479338844E-2</v>
      </c>
      <c r="F76" s="21">
        <f t="shared" si="2"/>
        <v>0.19545225114932507</v>
      </c>
    </row>
    <row r="77" spans="2:6" x14ac:dyDescent="0.2">
      <c r="B77" s="5">
        <v>0.08</v>
      </c>
      <c r="C77">
        <f t="shared" si="0"/>
        <v>0.92</v>
      </c>
      <c r="D77" s="12" cm="1">
        <f t="array" ref="D77">MMULT(B77:C77,$G$59:$G$60)</f>
        <v>6.6741818181818194E-2</v>
      </c>
      <c r="E77" s="12">
        <f t="shared" si="1"/>
        <v>3.7901537851239682E-2</v>
      </c>
      <c r="F77" s="21">
        <f t="shared" si="2"/>
        <v>0.19468317300485855</v>
      </c>
    </row>
    <row r="78" spans="2:6" x14ac:dyDescent="0.2">
      <c r="B78" s="5">
        <v>0.09</v>
      </c>
      <c r="C78">
        <f t="shared" si="0"/>
        <v>0.91</v>
      </c>
      <c r="D78" s="12" cm="1">
        <f t="array" ref="D78">MMULT(B78:C78,$G$59:$G$60)</f>
        <v>6.828909090909091E-2</v>
      </c>
      <c r="E78" s="12">
        <f t="shared" si="1"/>
        <v>3.7616602644628107E-2</v>
      </c>
      <c r="F78" s="21">
        <f t="shared" si="2"/>
        <v>0.19395000037284896</v>
      </c>
    </row>
    <row r="79" spans="2:6" x14ac:dyDescent="0.2">
      <c r="B79" s="5">
        <v>0.1</v>
      </c>
      <c r="C79">
        <f t="shared" si="0"/>
        <v>0.9</v>
      </c>
      <c r="D79" s="12" cm="1">
        <f t="array" ref="D79">MMULT(B79:C79,$G$59:$G$60)</f>
        <v>6.9836363636363641E-2</v>
      </c>
      <c r="E79" s="12">
        <f t="shared" si="1"/>
        <v>3.734677685950414E-2</v>
      </c>
      <c r="F79" s="21">
        <f t="shared" si="2"/>
        <v>0.19325314191366758</v>
      </c>
    </row>
    <row r="80" spans="2:6" x14ac:dyDescent="0.2">
      <c r="B80" s="5">
        <v>0.11</v>
      </c>
      <c r="C80">
        <f t="shared" si="0"/>
        <v>0.89</v>
      </c>
      <c r="D80" s="12" cm="1">
        <f t="array" ref="D80">MMULT(B80:C80,$G$59:$G$60)</f>
        <v>7.1383636363636371E-2</v>
      </c>
      <c r="E80" s="12">
        <f t="shared" si="1"/>
        <v>3.7092060495867774E-2</v>
      </c>
      <c r="F80" s="21">
        <f t="shared" si="2"/>
        <v>0.19259299181400077</v>
      </c>
    </row>
    <row r="81" spans="2:6" x14ac:dyDescent="0.2">
      <c r="B81" s="5">
        <v>0.12</v>
      </c>
      <c r="C81">
        <f t="shared" si="0"/>
        <v>0.88</v>
      </c>
      <c r="D81" s="12" cm="1">
        <f t="array" ref="D81">MMULT(B81:C81,$G$59:$G$60)</f>
        <v>7.2930909090909102E-2</v>
      </c>
      <c r="E81" s="12">
        <f t="shared" si="1"/>
        <v>3.6852453553719008E-2</v>
      </c>
      <c r="F81" s="21">
        <f t="shared" si="2"/>
        <v>0.19196992877458441</v>
      </c>
    </row>
    <row r="82" spans="2:6" x14ac:dyDescent="0.2">
      <c r="B82" s="5">
        <v>0.13</v>
      </c>
      <c r="C82">
        <f t="shared" si="0"/>
        <v>0.87</v>
      </c>
      <c r="D82" s="12" cm="1">
        <f t="array" ref="D82">MMULT(B82:C82,$G$59:$G$60)</f>
        <v>7.4478181818181832E-2</v>
      </c>
      <c r="E82" s="12">
        <f t="shared" si="1"/>
        <v>3.6627956033057851E-2</v>
      </c>
      <c r="F82" s="21">
        <f t="shared" si="2"/>
        <v>0.19138431501316364</v>
      </c>
    </row>
    <row r="83" spans="2:6" x14ac:dyDescent="0.2">
      <c r="B83" s="5">
        <v>0.14000000000000001</v>
      </c>
      <c r="C83">
        <f t="shared" si="0"/>
        <v>0.86</v>
      </c>
      <c r="D83" s="12" cm="1">
        <f t="array" ref="D83">MMULT(B83:C83,$G$59:$G$60)</f>
        <v>7.6025454545454549E-2</v>
      </c>
      <c r="E83" s="12">
        <f t="shared" si="1"/>
        <v>3.6418567933884295E-2</v>
      </c>
      <c r="F83" s="21">
        <f t="shared" si="2"/>
        <v>0.19083649528820293</v>
      </c>
    </row>
    <row r="84" spans="2:6" x14ac:dyDescent="0.2">
      <c r="B84" s="5">
        <v>0.15</v>
      </c>
      <c r="C84">
        <f t="shared" si="0"/>
        <v>0.85</v>
      </c>
      <c r="D84" s="12" cm="1">
        <f t="array" ref="D84">MMULT(B84:C84,$G$59:$G$60)</f>
        <v>7.7572727272727265E-2</v>
      </c>
      <c r="E84" s="12">
        <f t="shared" si="1"/>
        <v>3.6224289256198347E-2</v>
      </c>
      <c r="F84" s="21">
        <f t="shared" si="2"/>
        <v>0.1903267959489634</v>
      </c>
    </row>
    <row r="85" spans="2:6" x14ac:dyDescent="0.2">
      <c r="B85" s="5">
        <v>0.16</v>
      </c>
      <c r="C85">
        <f t="shared" si="0"/>
        <v>0.84</v>
      </c>
      <c r="D85" s="12" cm="1">
        <f t="array" ref="D85">MMULT(B85:C85,$G$59:$G$60)</f>
        <v>7.9119999999999996E-2</v>
      </c>
      <c r="E85" s="12">
        <f t="shared" si="1"/>
        <v>3.604512E-2</v>
      </c>
      <c r="F85" s="21">
        <f t="shared" si="2"/>
        <v>0.18985552401760661</v>
      </c>
    </row>
    <row r="86" spans="2:6" x14ac:dyDescent="0.2">
      <c r="B86" s="5">
        <v>0.17</v>
      </c>
      <c r="C86">
        <f t="shared" si="0"/>
        <v>0.83</v>
      </c>
      <c r="D86" s="12" cm="1">
        <f t="array" ref="D86">MMULT(B86:C86,$G$59:$G$60)</f>
        <v>8.0667272727272726E-2</v>
      </c>
      <c r="E86" s="12">
        <f t="shared" si="1"/>
        <v>3.5881060165289261E-2</v>
      </c>
      <c r="F86" s="21">
        <f t="shared" si="2"/>
        <v>0.18942296630897021</v>
      </c>
    </row>
    <row r="87" spans="2:6" x14ac:dyDescent="0.2">
      <c r="B87" s="5">
        <v>0.18</v>
      </c>
      <c r="C87">
        <f t="shared" si="0"/>
        <v>0.82000000000000006</v>
      </c>
      <c r="D87" s="12" cm="1">
        <f t="array" ref="D87">MMULT(B87:C87,$G$59:$G$60)</f>
        <v>8.2214545454545457E-2</v>
      </c>
      <c r="E87" s="12">
        <f t="shared" si="1"/>
        <v>3.5732109752066123E-2</v>
      </c>
      <c r="F87" s="21">
        <f t="shared" si="2"/>
        <v>0.18902938859358911</v>
      </c>
    </row>
    <row r="88" spans="2:6" x14ac:dyDescent="0.2">
      <c r="B88" s="5">
        <v>0.19</v>
      </c>
      <c r="C88">
        <f t="shared" si="0"/>
        <v>0.81</v>
      </c>
      <c r="D88" s="12" cm="1">
        <f t="array" ref="D88">MMULT(B88:C88,$G$59:$G$60)</f>
        <v>8.3761818181818187E-2</v>
      </c>
      <c r="E88" s="12">
        <f t="shared" si="1"/>
        <v>3.5598268760330586E-2</v>
      </c>
      <c r="F88" s="21">
        <f t="shared" si="2"/>
        <v>0.18867503480940606</v>
      </c>
    </row>
    <row r="89" spans="2:6" x14ac:dyDescent="0.2">
      <c r="B89" s="5">
        <v>0.2</v>
      </c>
      <c r="C89">
        <f t="shared" si="0"/>
        <v>0.8</v>
      </c>
      <c r="D89" s="12" cm="1">
        <f t="array" ref="D89">MMULT(B89:C89,$G$59:$G$60)</f>
        <v>8.5309090909090918E-2</v>
      </c>
      <c r="E89" s="12">
        <f t="shared" si="1"/>
        <v>3.5479537190082656E-2</v>
      </c>
      <c r="F89" s="21">
        <f t="shared" si="2"/>
        <v>0.18836012632742274</v>
      </c>
    </row>
    <row r="90" spans="2:6" x14ac:dyDescent="0.2">
      <c r="B90" s="5">
        <v>0.21</v>
      </c>
      <c r="C90">
        <f t="shared" si="0"/>
        <v>0.79</v>
      </c>
      <c r="D90" s="12" cm="1">
        <f t="array" ref="D90">MMULT(B90:C90,$G$59:$G$60)</f>
        <v>8.6856363636363648E-2</v>
      </c>
      <c r="E90" s="12">
        <f t="shared" si="1"/>
        <v>3.5375915041322321E-2</v>
      </c>
      <c r="F90" s="21">
        <f t="shared" si="2"/>
        <v>0.18808486127629284</v>
      </c>
    </row>
    <row r="91" spans="2:6" x14ac:dyDescent="0.2">
      <c r="B91" s="5">
        <v>0.22</v>
      </c>
      <c r="C91">
        <f t="shared" si="0"/>
        <v>0.78</v>
      </c>
      <c r="D91" s="12" cm="1">
        <f t="array" ref="D91">MMULT(B91:C91,$G$59:$G$60)</f>
        <v>8.8403636363636379E-2</v>
      </c>
      <c r="E91" s="12">
        <f t="shared" si="1"/>
        <v>3.5287402314049587E-2</v>
      </c>
      <c r="F91" s="21">
        <f t="shared" si="2"/>
        <v>0.18784941393054594</v>
      </c>
    </row>
    <row r="92" spans="2:6" x14ac:dyDescent="0.2">
      <c r="B92" s="5">
        <v>0.23</v>
      </c>
      <c r="C92">
        <f t="shared" si="0"/>
        <v>0.77</v>
      </c>
      <c r="D92" s="12" cm="1">
        <f t="array" ref="D92">MMULT(B92:C92,$G$59:$G$60)</f>
        <v>8.9950909090909095E-2</v>
      </c>
      <c r="E92" s="12">
        <f t="shared" si="1"/>
        <v>3.5213999008264461E-2</v>
      </c>
      <c r="F92" s="21">
        <f t="shared" si="2"/>
        <v>0.18765393416676471</v>
      </c>
    </row>
    <row r="93" spans="2:6" x14ac:dyDescent="0.2">
      <c r="B93" s="5">
        <v>0.24</v>
      </c>
      <c r="C93">
        <f t="shared" si="0"/>
        <v>0.76</v>
      </c>
      <c r="D93" s="12" cm="1">
        <f t="array" ref="D93">MMULT(B93:C93,$G$59:$G$60)</f>
        <v>9.1498181818181812E-2</v>
      </c>
      <c r="E93" s="12">
        <f t="shared" si="1"/>
        <v>3.5155705123966943E-2</v>
      </c>
      <c r="F93" s="21">
        <f t="shared" si="2"/>
        <v>0.18749854699161522</v>
      </c>
    </row>
    <row r="94" spans="2:6" x14ac:dyDescent="0.2">
      <c r="B94" s="5">
        <v>0.25</v>
      </c>
      <c r="C94">
        <f t="shared" si="0"/>
        <v>0.75</v>
      </c>
      <c r="D94" s="12" cm="1">
        <f t="array" ref="D94">MMULT(B94:C94,$G$59:$G$60)</f>
        <v>9.3045454545454542E-2</v>
      </c>
      <c r="E94" s="12">
        <f t="shared" si="1"/>
        <v>3.5112520661157026E-2</v>
      </c>
      <c r="F94" s="21">
        <f t="shared" si="2"/>
        <v>0.18738335214515997</v>
      </c>
    </row>
    <row r="95" spans="2:6" x14ac:dyDescent="0.2">
      <c r="B95" s="5">
        <v>0.26</v>
      </c>
      <c r="C95">
        <f t="shared" si="0"/>
        <v>0.74</v>
      </c>
      <c r="D95" s="12" cm="1">
        <f t="array" ref="D95">MMULT(B95:C95,$G$59:$G$60)</f>
        <v>9.4592727272727273E-2</v>
      </c>
      <c r="E95" s="12">
        <f t="shared" si="1"/>
        <v>3.5084445619834717E-2</v>
      </c>
      <c r="F95" s="21">
        <f t="shared" si="2"/>
        <v>0.18730842378236681</v>
      </c>
    </row>
    <row r="96" spans="2:6" x14ac:dyDescent="0.2">
      <c r="B96" s="5">
        <v>0.27</v>
      </c>
      <c r="C96">
        <f t="shared" si="0"/>
        <v>0.73</v>
      </c>
      <c r="D96" s="12" cm="1">
        <f t="array" ref="D96">MMULT(B96:C96,$G$59:$G$60)</f>
        <v>9.6140000000000003E-2</v>
      </c>
      <c r="E96" s="12">
        <f t="shared" si="1"/>
        <v>3.5071480000000002E-2</v>
      </c>
      <c r="F96" s="21">
        <f t="shared" si="2"/>
        <v>0.18727381023517412</v>
      </c>
    </row>
    <row r="97" spans="2:6" x14ac:dyDescent="0.2">
      <c r="B97" s="5">
        <v>0.28000000000000003</v>
      </c>
      <c r="C97">
        <f t="shared" si="0"/>
        <v>0.72</v>
      </c>
      <c r="D97" s="12" cm="1">
        <f t="array" ref="D97">MMULT(B97:C97,$G$59:$G$60)</f>
        <v>9.7687272727272734E-2</v>
      </c>
      <c r="E97" s="12">
        <f t="shared" si="1"/>
        <v>3.5073623801652895E-2</v>
      </c>
      <c r="F97" s="21">
        <f t="shared" si="2"/>
        <v>0.18727953385688703</v>
      </c>
    </row>
    <row r="98" spans="2:6" x14ac:dyDescent="0.2">
      <c r="B98" s="5">
        <v>0.28999999999999998</v>
      </c>
      <c r="C98">
        <f t="shared" si="0"/>
        <v>0.71</v>
      </c>
      <c r="D98" s="12" cm="1">
        <f t="array" ref="D98">MMULT(B98:C98,$G$59:$G$60)</f>
        <v>9.923454545454545E-2</v>
      </c>
      <c r="E98" s="12">
        <f t="shared" si="1"/>
        <v>3.5090877024793389E-2</v>
      </c>
      <c r="F98" s="21">
        <f t="shared" si="2"/>
        <v>0.18732559095007117</v>
      </c>
    </row>
    <row r="99" spans="2:6" x14ac:dyDescent="0.2">
      <c r="B99" s="5">
        <v>0.3</v>
      </c>
      <c r="C99">
        <f t="shared" si="0"/>
        <v>0.7</v>
      </c>
      <c r="D99" s="12" cm="1">
        <f t="array" ref="D99">MMULT(B99:C99,$G$59:$G$60)</f>
        <v>0.10078181818181817</v>
      </c>
      <c r="E99" s="12">
        <f t="shared" si="1"/>
        <v>3.5123239669421491E-2</v>
      </c>
      <c r="F99" s="21">
        <f t="shared" si="2"/>
        <v>0.18741195177848582</v>
      </c>
    </row>
    <row r="100" spans="2:6" x14ac:dyDescent="0.2">
      <c r="B100" s="5">
        <v>0.31</v>
      </c>
      <c r="C100">
        <f t="shared" si="0"/>
        <v>0.69</v>
      </c>
      <c r="D100" s="12" cm="1">
        <f t="array" ref="D100">MMULT(B100:C100,$G$59:$G$60)</f>
        <v>0.10232909090909091</v>
      </c>
      <c r="E100" s="12">
        <f t="shared" si="1"/>
        <v>3.5170711735537187E-2</v>
      </c>
      <c r="F100" s="21">
        <f t="shared" si="2"/>
        <v>0.18753856066296656</v>
      </c>
    </row>
    <row r="101" spans="2:6" x14ac:dyDescent="0.2">
      <c r="B101" s="5">
        <v>0.32</v>
      </c>
      <c r="C101">
        <f t="shared" si="0"/>
        <v>0.67999999999999994</v>
      </c>
      <c r="D101" s="12" cm="1">
        <f t="array" ref="D101">MMULT(B101:C101,$G$59:$G$60)</f>
        <v>0.10387636363636363</v>
      </c>
      <c r="E101" s="12">
        <f t="shared" si="1"/>
        <v>3.5233293223140491E-2</v>
      </c>
      <c r="F101" s="21">
        <f t="shared" si="2"/>
        <v>0.18770533616053778</v>
      </c>
    </row>
    <row r="102" spans="2:6" x14ac:dyDescent="0.2">
      <c r="B102" s="5">
        <v>0.33</v>
      </c>
      <c r="C102">
        <f t="shared" si="0"/>
        <v>0.66999999999999993</v>
      </c>
      <c r="D102" s="12" cm="1">
        <f t="array" ref="D102">MMULT(B102:C102,$G$59:$G$60)</f>
        <v>0.10542363636363636</v>
      </c>
      <c r="E102" s="12">
        <f t="shared" si="1"/>
        <v>3.5310984132231403E-2</v>
      </c>
      <c r="F102" s="21">
        <f t="shared" si="2"/>
        <v>0.1879121713254131</v>
      </c>
    </row>
    <row r="103" spans="2:6" x14ac:dyDescent="0.2">
      <c r="B103" s="5">
        <v>0.34</v>
      </c>
      <c r="C103">
        <f t="shared" si="0"/>
        <v>0.65999999999999992</v>
      </c>
      <c r="D103" s="12" cm="1">
        <f t="array" ref="D103">MMULT(B103:C103,$G$59:$G$60)</f>
        <v>0.10697090909090909</v>
      </c>
      <c r="E103" s="12">
        <f t="shared" si="1"/>
        <v>3.5403784462809916E-2</v>
      </c>
      <c r="F103" s="21">
        <f t="shared" si="2"/>
        <v>0.18815893404994066</v>
      </c>
    </row>
    <row r="104" spans="2:6" x14ac:dyDescent="0.2">
      <c r="B104" s="5">
        <v>0.35</v>
      </c>
      <c r="C104">
        <f t="shared" si="0"/>
        <v>0.65</v>
      </c>
      <c r="D104" s="12" cm="1">
        <f t="array" ref="D104">MMULT(B104:C104,$G$59:$G$60)</f>
        <v>0.10851818181818182</v>
      </c>
      <c r="E104" s="12">
        <f t="shared" si="1"/>
        <v>3.551169421487603E-2</v>
      </c>
      <c r="F104" s="21">
        <f t="shared" si="2"/>
        <v>0.18844546748297245</v>
      </c>
    </row>
    <row r="105" spans="2:6" x14ac:dyDescent="0.2">
      <c r="B105" s="5">
        <v>0.36</v>
      </c>
      <c r="C105">
        <f t="shared" si="0"/>
        <v>0.64</v>
      </c>
      <c r="D105" s="12" cm="1">
        <f t="array" ref="D105">MMULT(B105:C105,$G$59:$G$60)</f>
        <v>0.11006545454545455</v>
      </c>
      <c r="E105" s="12">
        <f t="shared" si="1"/>
        <v>3.5634713388429752E-2</v>
      </c>
      <c r="F105" s="21">
        <f t="shared" si="2"/>
        <v>0.1887715905225936</v>
      </c>
    </row>
    <row r="106" spans="2:6" x14ac:dyDescent="0.2">
      <c r="B106" s="5">
        <v>0.37</v>
      </c>
      <c r="C106">
        <f t="shared" si="0"/>
        <v>0.63</v>
      </c>
      <c r="D106" s="12" cm="1">
        <f t="array" ref="D106">MMULT(B106:C106,$G$59:$G$60)</f>
        <v>0.11161272727272728</v>
      </c>
      <c r="E106" s="12">
        <f t="shared" si="1"/>
        <v>3.5772841983471075E-2</v>
      </c>
      <c r="F106" s="21">
        <f t="shared" si="2"/>
        <v>0.18913709837964385</v>
      </c>
    </row>
    <row r="107" spans="2:6" x14ac:dyDescent="0.2">
      <c r="B107" s="5">
        <v>0.38</v>
      </c>
      <c r="C107">
        <f t="shared" si="0"/>
        <v>0.62</v>
      </c>
      <c r="D107" s="12" cm="1">
        <f t="array" ref="D107">MMULT(B107:C107,$G$59:$G$60)</f>
        <v>0.11316</v>
      </c>
      <c r="E107" s="12">
        <f t="shared" si="1"/>
        <v>3.5926080000000006E-2</v>
      </c>
      <c r="F107" s="21">
        <f t="shared" si="2"/>
        <v>0.1895417632080065</v>
      </c>
    </row>
    <row r="108" spans="2:6" x14ac:dyDescent="0.2">
      <c r="B108" s="5">
        <v>0.39</v>
      </c>
      <c r="C108">
        <f t="shared" si="0"/>
        <v>0.61</v>
      </c>
      <c r="D108" s="12" cm="1">
        <f t="array" ref="D108">MMULT(B108:C108,$G$59:$G$60)</f>
        <v>0.11470727272727274</v>
      </c>
      <c r="E108" s="12">
        <f t="shared" si="1"/>
        <v>3.6094427438016531E-2</v>
      </c>
      <c r="F108" s="21">
        <f t="shared" si="2"/>
        <v>0.18998533479723254</v>
      </c>
    </row>
    <row r="109" spans="2:6" x14ac:dyDescent="0.2">
      <c r="B109" s="5">
        <v>0.4</v>
      </c>
      <c r="C109">
        <f t="shared" si="0"/>
        <v>0.6</v>
      </c>
      <c r="D109" s="12" cm="1">
        <f t="array" ref="D109">MMULT(B109:C109,$G$59:$G$60)</f>
        <v>0.11625454545454546</v>
      </c>
      <c r="E109" s="12">
        <f t="shared" si="1"/>
        <v>3.6277884297520657E-2</v>
      </c>
      <c r="F109" s="21">
        <f t="shared" si="2"/>
        <v>0.19046754132271634</v>
      </c>
    </row>
    <row r="110" spans="2:6" x14ac:dyDescent="0.2">
      <c r="B110" s="5">
        <v>0.41</v>
      </c>
      <c r="C110">
        <f t="shared" si="0"/>
        <v>0.59000000000000008</v>
      </c>
      <c r="D110" s="12" cm="1">
        <f t="array" ref="D110">MMULT(B110:C110,$G$59:$G$60)</f>
        <v>0.11780181818181817</v>
      </c>
      <c r="E110" s="12">
        <f t="shared" si="1"/>
        <v>3.6476450578512398E-2</v>
      </c>
      <c r="F110" s="21">
        <f t="shared" si="2"/>
        <v>0.19098809014834511</v>
      </c>
    </row>
    <row r="111" spans="2:6" x14ac:dyDescent="0.2">
      <c r="B111" s="5">
        <v>0.42</v>
      </c>
      <c r="C111">
        <f t="shared" si="0"/>
        <v>0.58000000000000007</v>
      </c>
      <c r="D111" s="12" cm="1">
        <f t="array" ref="D111">MMULT(B111:C111,$G$59:$G$60)</f>
        <v>0.1193490909090909</v>
      </c>
      <c r="E111" s="12">
        <f t="shared" si="1"/>
        <v>3.6690126280991733E-2</v>
      </c>
      <c r="F111" s="21">
        <f t="shared" si="2"/>
        <v>0.1915466686763091</v>
      </c>
    </row>
    <row r="112" spans="2:6" x14ac:dyDescent="0.2">
      <c r="B112" s="5">
        <v>0.43</v>
      </c>
      <c r="C112">
        <f t="shared" si="0"/>
        <v>0.57000000000000006</v>
      </c>
      <c r="D112" s="12" cm="1">
        <f t="array" ref="D112">MMULT(B112:C112,$G$59:$G$60)</f>
        <v>0.12089636363636364</v>
      </c>
      <c r="E112" s="12">
        <f t="shared" si="1"/>
        <v>3.6918911404958683E-2</v>
      </c>
      <c r="F112" s="21">
        <f t="shared" si="2"/>
        <v>0.1921429452385871</v>
      </c>
    </row>
    <row r="113" spans="2:6" x14ac:dyDescent="0.2">
      <c r="B113" s="5">
        <v>0.44</v>
      </c>
      <c r="C113">
        <f t="shared" si="0"/>
        <v>0.56000000000000005</v>
      </c>
      <c r="D113" s="12" cm="1">
        <f t="array" ref="D113">MMULT(B113:C113,$G$59:$G$60)</f>
        <v>0.12244363636363637</v>
      </c>
      <c r="E113" s="12">
        <f t="shared" si="1"/>
        <v>3.7162805950413227E-2</v>
      </c>
      <c r="F113" s="21">
        <f t="shared" si="2"/>
        <v>0.19277657002450591</v>
      </c>
    </row>
    <row r="114" spans="2:6" x14ac:dyDescent="0.2">
      <c r="B114" s="5">
        <v>0.45</v>
      </c>
      <c r="C114">
        <f t="shared" si="0"/>
        <v>0.55000000000000004</v>
      </c>
      <c r="D114" s="12" cm="1">
        <f t="array" ref="D114">MMULT(B114:C114,$G$59:$G$60)</f>
        <v>0.1239909090909091</v>
      </c>
      <c r="E114" s="12">
        <f t="shared" si="1"/>
        <v>3.7421809917355373E-2</v>
      </c>
      <c r="F114" s="21">
        <f t="shared" si="2"/>
        <v>0.19344717603871961</v>
      </c>
    </row>
    <row r="115" spans="2:6" x14ac:dyDescent="0.2">
      <c r="B115" s="5">
        <v>0.46</v>
      </c>
      <c r="C115">
        <f t="shared" si="0"/>
        <v>0.54</v>
      </c>
      <c r="D115" s="12" cm="1">
        <f t="array" ref="D115">MMULT(B115:C115,$G$59:$G$60)</f>
        <v>0.12553818181818183</v>
      </c>
      <c r="E115" s="12">
        <f t="shared" si="1"/>
        <v>3.7695923305785126E-2</v>
      </c>
      <c r="F115" s="21">
        <f t="shared" si="2"/>
        <v>0.19415438008395569</v>
      </c>
    </row>
    <row r="116" spans="2:6" x14ac:dyDescent="0.2">
      <c r="B116" s="5">
        <v>0.47</v>
      </c>
      <c r="C116">
        <f t="shared" si="0"/>
        <v>0.53</v>
      </c>
      <c r="D116" s="12" cm="1">
        <f t="array" ref="D116">MMULT(B116:C116,$G$59:$G$60)</f>
        <v>0.12708545454545453</v>
      </c>
      <c r="E116" s="12">
        <f t="shared" si="1"/>
        <v>3.798514611570248E-2</v>
      </c>
      <c r="F116" s="21">
        <f t="shared" si="2"/>
        <v>0.19489778376293168</v>
      </c>
    </row>
    <row r="117" spans="2:6" x14ac:dyDescent="0.2">
      <c r="B117" s="5">
        <v>0.48</v>
      </c>
      <c r="C117">
        <f t="shared" si="0"/>
        <v>0.52</v>
      </c>
      <c r="D117" s="12" cm="1">
        <f t="array" ref="D117">MMULT(B117:C117,$G$59:$G$60)</f>
        <v>0.12863272727272726</v>
      </c>
      <c r="E117" s="12">
        <f t="shared" si="1"/>
        <v>3.8289478347107435E-2</v>
      </c>
      <c r="F117" s="21">
        <f t="shared" si="2"/>
        <v>0.19567697449395377</v>
      </c>
    </row>
    <row r="118" spans="2:6" x14ac:dyDescent="0.2">
      <c r="B118" s="5">
        <v>0.49</v>
      </c>
      <c r="C118">
        <f t="shared" si="0"/>
        <v>0.51</v>
      </c>
      <c r="D118" s="12" cm="1">
        <f t="array" ref="D118">MMULT(B118:C118,$G$59:$G$60)</f>
        <v>0.13017999999999999</v>
      </c>
      <c r="E118" s="12">
        <f t="shared" si="1"/>
        <v>3.8608919999999998E-2</v>
      </c>
      <c r="F118" s="21">
        <f t="shared" si="2"/>
        <v>0.19649152653486104</v>
      </c>
    </row>
    <row r="119" spans="2:6" x14ac:dyDescent="0.2">
      <c r="B119" s="5">
        <v>0.5</v>
      </c>
      <c r="C119">
        <f t="shared" si="0"/>
        <v>0.5</v>
      </c>
      <c r="D119" s="12" cm="1">
        <f t="array" ref="D119">MMULT(B119:C119,$G$59:$G$60)</f>
        <v>0.13172727272727272</v>
      </c>
      <c r="E119" s="12">
        <f t="shared" si="1"/>
        <v>3.8943471074380162E-2</v>
      </c>
      <c r="F119" s="21">
        <f t="shared" si="2"/>
        <v>0.19734100201017568</v>
      </c>
    </row>
    <row r="120" spans="2:6" x14ac:dyDescent="0.2">
      <c r="B120" s="5">
        <v>0.51</v>
      </c>
      <c r="C120">
        <f t="shared" si="0"/>
        <v>0.49</v>
      </c>
      <c r="D120" s="12" cm="1">
        <f t="array" ref="D120">MMULT(B120:C120,$G$59:$G$60)</f>
        <v>0.13327454545454545</v>
      </c>
      <c r="E120" s="12">
        <f t="shared" si="1"/>
        <v>3.9293131570247934E-2</v>
      </c>
      <c r="F120" s="21">
        <f t="shared" si="2"/>
        <v>0.19822495193655096</v>
      </c>
    </row>
    <row r="121" spans="2:6" x14ac:dyDescent="0.2">
      <c r="B121" s="5">
        <v>0.52</v>
      </c>
      <c r="C121">
        <f t="shared" si="0"/>
        <v>0.48</v>
      </c>
      <c r="D121" s="12" cm="1">
        <f t="array" ref="D121">MMULT(B121:C121,$G$59:$G$60)</f>
        <v>0.13482181818181818</v>
      </c>
      <c r="E121" s="12">
        <f t="shared" si="1"/>
        <v>3.9657901487603307E-2</v>
      </c>
      <c r="F121" s="21">
        <f t="shared" si="2"/>
        <v>0.19914291724187258</v>
      </c>
    </row>
    <row r="122" spans="2:6" x14ac:dyDescent="0.2">
      <c r="B122" s="5">
        <v>0.53</v>
      </c>
      <c r="C122">
        <f t="shared" si="0"/>
        <v>0.47</v>
      </c>
      <c r="D122" s="12" cm="1">
        <f t="array" ref="D122">MMULT(B122:C122,$G$59:$G$60)</f>
        <v>0.13636909090909091</v>
      </c>
      <c r="E122" s="12">
        <f t="shared" si="1"/>
        <v>4.0037780826446281E-2</v>
      </c>
      <c r="F122" s="21">
        <f t="shared" si="2"/>
        <v>0.20009442977366032</v>
      </c>
    </row>
    <row r="123" spans="2:6" x14ac:dyDescent="0.2">
      <c r="B123" s="5">
        <v>0.54</v>
      </c>
      <c r="C123">
        <f t="shared" si="0"/>
        <v>0.45999999999999996</v>
      </c>
      <c r="D123" s="12" cm="1">
        <f t="array" ref="D123">MMULT(B123:C123,$G$59:$G$60)</f>
        <v>0.13791636363636364</v>
      </c>
      <c r="E123" s="12">
        <f t="shared" si="1"/>
        <v>4.0432769586776857E-2</v>
      </c>
      <c r="F123" s="21">
        <f t="shared" si="2"/>
        <v>0.20107901329272743</v>
      </c>
    </row>
    <row r="124" spans="2:6" x14ac:dyDescent="0.2">
      <c r="B124" s="5">
        <v>0.55000000000000004</v>
      </c>
      <c r="C124">
        <f t="shared" si="0"/>
        <v>0.44999999999999996</v>
      </c>
      <c r="D124" s="12" cm="1">
        <f t="array" ref="D124">MMULT(B124:C124,$G$59:$G$60)</f>
        <v>0.13946363636363637</v>
      </c>
      <c r="E124" s="12">
        <f t="shared" si="1"/>
        <v>4.084286776859504E-2</v>
      </c>
      <c r="F124" s="21">
        <f t="shared" si="2"/>
        <v>0.20209618444838348</v>
      </c>
    </row>
    <row r="125" spans="2:6" x14ac:dyDescent="0.2">
      <c r="B125" s="5">
        <v>0.56000000000000005</v>
      </c>
      <c r="C125">
        <f t="shared" si="0"/>
        <v>0.43999999999999995</v>
      </c>
      <c r="D125" s="12" cm="1">
        <f t="array" ref="D125">MMULT(B125:C125,$G$59:$G$60)</f>
        <v>0.1410109090909091</v>
      </c>
      <c r="E125" s="12">
        <f t="shared" si="1"/>
        <v>4.1268075371900824E-2</v>
      </c>
      <c r="F125" s="21">
        <f t="shared" si="2"/>
        <v>0.20314545373180476</v>
      </c>
    </row>
    <row r="126" spans="2:6" x14ac:dyDescent="0.2">
      <c r="B126" s="5">
        <v>0.56999999999999995</v>
      </c>
      <c r="C126">
        <f t="shared" si="0"/>
        <v>0.43000000000000005</v>
      </c>
      <c r="D126" s="12" cm="1">
        <f t="array" ref="D126">MMULT(B126:C126,$G$59:$G$60)</f>
        <v>0.14255818181818181</v>
      </c>
      <c r="E126" s="12">
        <f t="shared" si="1"/>
        <v>4.1708392396694209E-2</v>
      </c>
      <c r="F126" s="21">
        <f t="shared" si="2"/>
        <v>0.20422632640454122</v>
      </c>
    </row>
    <row r="127" spans="2:6" x14ac:dyDescent="0.2">
      <c r="B127" s="5">
        <v>0.57999999999999996</v>
      </c>
      <c r="C127">
        <f t="shared" si="0"/>
        <v>0.42000000000000004</v>
      </c>
      <c r="D127" s="12" cm="1">
        <f t="array" ref="D127">MMULT(B127:C127,$G$59:$G$60)</f>
        <v>0.14410545454545454</v>
      </c>
      <c r="E127" s="12">
        <f t="shared" si="1"/>
        <v>4.2163818842975195E-2</v>
      </c>
      <c r="F127" s="21">
        <f t="shared" si="2"/>
        <v>0.20533830339947584</v>
      </c>
    </row>
    <row r="128" spans="2:6" x14ac:dyDescent="0.2">
      <c r="B128" s="5">
        <v>0.59</v>
      </c>
      <c r="C128">
        <f t="shared" si="0"/>
        <v>0.41000000000000003</v>
      </c>
      <c r="D128" s="12" cm="1">
        <f t="array" ref="D128">MMULT(B128:C128,$G$59:$G$60)</f>
        <v>0.14565272727272727</v>
      </c>
      <c r="E128" s="12">
        <f t="shared" si="1"/>
        <v>4.2634354710743796E-2</v>
      </c>
      <c r="F128" s="21">
        <f t="shared" si="2"/>
        <v>0.20648088219189639</v>
      </c>
    </row>
    <row r="129" spans="2:6" x14ac:dyDescent="0.2">
      <c r="B129" s="5">
        <v>0.6</v>
      </c>
      <c r="C129">
        <f t="shared" si="0"/>
        <v>0.4</v>
      </c>
      <c r="D129" s="12" cm="1">
        <f t="array" ref="D129">MMULT(B129:C129,$G$59:$G$60)</f>
        <v>0.14719999999999997</v>
      </c>
      <c r="E129" s="12">
        <f t="shared" si="1"/>
        <v>4.3119999999999992E-2</v>
      </c>
      <c r="F129" s="21">
        <f t="shared" si="2"/>
        <v>0.20765355763867854</v>
      </c>
    </row>
    <row r="130" spans="2:6" x14ac:dyDescent="0.2">
      <c r="B130" s="5">
        <v>0.61</v>
      </c>
      <c r="C130">
        <f t="shared" si="0"/>
        <v>0.39</v>
      </c>
      <c r="D130" s="12" cm="1">
        <f t="array" ref="D130">MMULT(B130:C130,$G$59:$G$60)</f>
        <v>0.14874727272727273</v>
      </c>
      <c r="E130" s="12">
        <f t="shared" si="1"/>
        <v>4.3620754710743802E-2</v>
      </c>
      <c r="F130" s="21">
        <f t="shared" si="2"/>
        <v>0.20885582278390949</v>
      </c>
    </row>
    <row r="131" spans="2:6" x14ac:dyDescent="0.2">
      <c r="B131" s="5">
        <v>0.62</v>
      </c>
      <c r="C131">
        <f t="shared" si="0"/>
        <v>0.38</v>
      </c>
      <c r="D131" s="12" cm="1">
        <f t="array" ref="D131">MMULT(B131:C131,$G$59:$G$60)</f>
        <v>0.15029454545454546</v>
      </c>
      <c r="E131" s="12">
        <f t="shared" si="1"/>
        <v>4.4136618842975206E-2</v>
      </c>
      <c r="F131" s="21">
        <f t="shared" si="2"/>
        <v>0.21008716962959734</v>
      </c>
    </row>
    <row r="132" spans="2:6" x14ac:dyDescent="0.2">
      <c r="B132" s="5">
        <v>0.63</v>
      </c>
      <c r="C132">
        <f t="shared" si="0"/>
        <v>0.37</v>
      </c>
      <c r="D132" s="12" cm="1">
        <f t="array" ref="D132">MMULT(B132:C132,$G$59:$G$60)</f>
        <v>0.15184181818181819</v>
      </c>
      <c r="E132" s="12">
        <f t="shared" si="1"/>
        <v>4.4667592396694218E-2</v>
      </c>
      <c r="F132" s="21">
        <f t="shared" si="2"/>
        <v>0.21134708987041723</v>
      </c>
    </row>
    <row r="133" spans="2:6" x14ac:dyDescent="0.2">
      <c r="B133" s="5">
        <v>0.64</v>
      </c>
      <c r="C133">
        <f t="shared" si="0"/>
        <v>0.36</v>
      </c>
      <c r="D133" s="12" cm="1">
        <f t="array" ref="D133">MMULT(B133:C133,$G$59:$G$60)</f>
        <v>0.15338909090909089</v>
      </c>
      <c r="E133" s="12">
        <f t="shared" si="1"/>
        <v>4.5213675371900824E-2</v>
      </c>
      <c r="F133" s="21">
        <f t="shared" si="2"/>
        <v>0.21263507559173023</v>
      </c>
    </row>
    <row r="134" spans="2:6" x14ac:dyDescent="0.2">
      <c r="B134" s="5">
        <v>0.65</v>
      </c>
      <c r="C134">
        <f t="shared" si="0"/>
        <v>0.35</v>
      </c>
      <c r="D134" s="12" cm="1">
        <f t="array" ref="D134">MMULT(B134:C134,$G$59:$G$60)</f>
        <v>0.15493636363636362</v>
      </c>
      <c r="E134" s="12">
        <f t="shared" si="1"/>
        <v>4.5774867768595046E-2</v>
      </c>
      <c r="F134" s="21">
        <f t="shared" si="2"/>
        <v>0.21395061993038264</v>
      </c>
    </row>
    <row r="135" spans="2:6" x14ac:dyDescent="0.2">
      <c r="B135" s="5">
        <v>0.66</v>
      </c>
      <c r="C135">
        <f t="shared" ref="C135:C169" si="3">1-B135</f>
        <v>0.33999999999999997</v>
      </c>
      <c r="D135" s="12" cm="1">
        <f t="array" ref="D135">MMULT(B135:C135,$G$59:$G$60)</f>
        <v>0.15648363636363635</v>
      </c>
      <c r="E135" s="12">
        <f t="shared" ref="E135:E169" si="4">B135^2*$F$54+C135^2*$G$55+(2*B135*C135*$F$55)</f>
        <v>4.6351169586776861E-2</v>
      </c>
      <c r="F135" s="21">
        <f t="shared" ref="F135:F169" si="5">SQRT(E135)</f>
        <v>0.21529321769804283</v>
      </c>
    </row>
    <row r="136" spans="2:6" x14ac:dyDescent="0.2">
      <c r="B136" s="5">
        <v>0.67</v>
      </c>
      <c r="C136">
        <f t="shared" si="3"/>
        <v>0.32999999999999996</v>
      </c>
      <c r="D136" s="12" cm="1">
        <f t="array" ref="D136">MMULT(B136:C136,$G$59:$G$60)</f>
        <v>0.15803090909090911</v>
      </c>
      <c r="E136" s="12">
        <f t="shared" si="4"/>
        <v>4.6942580826446284E-2</v>
      </c>
      <c r="F136" s="21">
        <f t="shared" si="5"/>
        <v>0.21666236596706473</v>
      </c>
    </row>
    <row r="137" spans="2:6" x14ac:dyDescent="0.2">
      <c r="B137" s="5">
        <v>0.68</v>
      </c>
      <c r="C137">
        <f t="shared" si="3"/>
        <v>0.31999999999999995</v>
      </c>
      <c r="D137" s="12" cm="1">
        <f t="array" ref="D137">MMULT(B137:C137,$G$59:$G$60)</f>
        <v>0.15957818181818181</v>
      </c>
      <c r="E137" s="12">
        <f t="shared" si="4"/>
        <v>4.7549101487603308E-2</v>
      </c>
      <c r="F137" s="21">
        <f t="shared" si="5"/>
        <v>0.21805756461907785</v>
      </c>
    </row>
    <row r="138" spans="2:6" x14ac:dyDescent="0.2">
      <c r="B138" s="5">
        <v>0.69</v>
      </c>
      <c r="C138">
        <f t="shared" si="3"/>
        <v>0.31000000000000005</v>
      </c>
      <c r="D138" s="12" cm="1">
        <f t="array" ref="D138">MMULT(B138:C138,$G$59:$G$60)</f>
        <v>0.16112545454545452</v>
      </c>
      <c r="E138" s="12">
        <f t="shared" si="4"/>
        <v>4.817073157024792E-2</v>
      </c>
      <c r="F138" s="21">
        <f t="shared" si="5"/>
        <v>0.21947831685669525</v>
      </c>
    </row>
    <row r="139" spans="2:6" x14ac:dyDescent="0.2">
      <c r="B139" s="5">
        <v>0.7</v>
      </c>
      <c r="C139">
        <f t="shared" si="3"/>
        <v>0.30000000000000004</v>
      </c>
      <c r="D139" s="12" cm="1">
        <f t="array" ref="D139">MMULT(B139:C139,$G$59:$G$60)</f>
        <v>0.16267272727272725</v>
      </c>
      <c r="E139" s="12">
        <f t="shared" si="4"/>
        <v>4.8807471074380153E-2</v>
      </c>
      <c r="F139" s="21">
        <f t="shared" si="5"/>
        <v>0.22092412967890165</v>
      </c>
    </row>
    <row r="140" spans="2:6" x14ac:dyDescent="0.2">
      <c r="B140" s="5">
        <v>0.71</v>
      </c>
      <c r="C140">
        <f t="shared" si="3"/>
        <v>0.29000000000000004</v>
      </c>
      <c r="D140" s="12" cm="1">
        <f t="array" ref="D140">MMULT(B140:C140,$G$59:$G$60)</f>
        <v>0.16422</v>
      </c>
      <c r="E140" s="12">
        <f t="shared" si="4"/>
        <v>4.9459320000000001E-2</v>
      </c>
      <c r="F140" s="21">
        <f t="shared" si="5"/>
        <v>0.22239451432083482</v>
      </c>
    </row>
    <row r="141" spans="2:6" x14ac:dyDescent="0.2">
      <c r="B141" s="5">
        <v>0.72</v>
      </c>
      <c r="C141">
        <f t="shared" si="3"/>
        <v>0.28000000000000003</v>
      </c>
      <c r="D141" s="12" cm="1">
        <f t="array" ref="D141">MMULT(B141:C141,$G$59:$G$60)</f>
        <v>0.16576727272727274</v>
      </c>
      <c r="E141" s="12">
        <f t="shared" si="4"/>
        <v>5.0126278347107429E-2</v>
      </c>
      <c r="F141" s="21">
        <f t="shared" si="5"/>
        <v>0.22388898665880694</v>
      </c>
    </row>
    <row r="142" spans="2:6" x14ac:dyDescent="0.2">
      <c r="B142" s="5">
        <v>0.73</v>
      </c>
      <c r="C142">
        <f t="shared" si="3"/>
        <v>0.27</v>
      </c>
      <c r="D142" s="12" cm="1">
        <f t="array" ref="D142">MMULT(B142:C142,$G$59:$G$60)</f>
        <v>0.16731454545454544</v>
      </c>
      <c r="E142" s="12">
        <f t="shared" si="4"/>
        <v>5.0808346115702466E-2</v>
      </c>
      <c r="F142" s="21">
        <f t="shared" si="5"/>
        <v>0.22540706758152565</v>
      </c>
    </row>
    <row r="143" spans="2:6" x14ac:dyDescent="0.2">
      <c r="B143" s="5">
        <v>0.74</v>
      </c>
      <c r="C143">
        <f t="shared" si="3"/>
        <v>0.26</v>
      </c>
      <c r="D143" s="12" cm="1">
        <f t="array" ref="D143">MMULT(B143:C143,$G$59:$G$60)</f>
        <v>0.16886181818181817</v>
      </c>
      <c r="E143" s="12">
        <f t="shared" si="4"/>
        <v>5.1505523305785117E-2</v>
      </c>
      <c r="F143" s="21">
        <f t="shared" si="5"/>
        <v>0.2269482833285705</v>
      </c>
    </row>
    <row r="144" spans="2:6" x14ac:dyDescent="0.2">
      <c r="B144" s="5">
        <v>0.75</v>
      </c>
      <c r="C144">
        <f t="shared" si="3"/>
        <v>0.25</v>
      </c>
      <c r="D144" s="12" cm="1">
        <f t="array" ref="D144">MMULT(B144:C144,$G$59:$G$60)</f>
        <v>0.1704090909090909</v>
      </c>
      <c r="E144" s="12">
        <f t="shared" si="4"/>
        <v>5.2217809917355362E-2</v>
      </c>
      <c r="F144" s="21">
        <f t="shared" si="5"/>
        <v>0.22851216579726202</v>
      </c>
    </row>
    <row r="145" spans="2:6" x14ac:dyDescent="0.2">
      <c r="B145" s="5">
        <v>0.76</v>
      </c>
      <c r="C145">
        <f t="shared" si="3"/>
        <v>0.24</v>
      </c>
      <c r="D145" s="12" cm="1">
        <f t="array" ref="D145">MMULT(B145:C145,$G$59:$G$60)</f>
        <v>0.17195636363636363</v>
      </c>
      <c r="E145" s="12">
        <f t="shared" si="4"/>
        <v>5.2945205950413209E-2</v>
      </c>
      <c r="F145" s="21">
        <f t="shared" si="5"/>
        <v>0.23009825281912336</v>
      </c>
    </row>
    <row r="146" spans="2:6" x14ac:dyDescent="0.2">
      <c r="B146" s="5">
        <v>0.77</v>
      </c>
      <c r="C146">
        <f t="shared" si="3"/>
        <v>0.22999999999999998</v>
      </c>
      <c r="D146" s="12" cm="1">
        <f t="array" ref="D146">MMULT(B146:C146,$G$59:$G$60)</f>
        <v>0.17350363636363636</v>
      </c>
      <c r="E146" s="12">
        <f t="shared" si="4"/>
        <v>5.3687711404958663E-2</v>
      </c>
      <c r="F146" s="21">
        <f t="shared" si="5"/>
        <v>0.23170608840718593</v>
      </c>
    </row>
    <row r="147" spans="2:6" x14ac:dyDescent="0.2">
      <c r="B147" s="5">
        <v>0.78</v>
      </c>
      <c r="C147">
        <f t="shared" si="3"/>
        <v>0.21999999999999997</v>
      </c>
      <c r="D147" s="12" cm="1">
        <f t="array" ref="D147">MMULT(B147:C147,$G$59:$G$60)</f>
        <v>0.17505090909090909</v>
      </c>
      <c r="E147" s="12">
        <f t="shared" si="4"/>
        <v>5.4445326280991732E-2</v>
      </c>
      <c r="F147" s="21">
        <f t="shared" si="5"/>
        <v>0.23333522297542592</v>
      </c>
    </row>
    <row r="148" spans="2:6" x14ac:dyDescent="0.2">
      <c r="B148" s="5">
        <v>0.79</v>
      </c>
      <c r="C148">
        <f t="shared" si="3"/>
        <v>0.20999999999999996</v>
      </c>
      <c r="D148" s="12" cm="1">
        <f t="array" ref="D148">MMULT(B148:C148,$G$59:$G$60)</f>
        <v>0.17659818181818182</v>
      </c>
      <c r="E148" s="12">
        <f t="shared" si="4"/>
        <v>5.5218050578512395E-2</v>
      </c>
      <c r="F148" s="21">
        <f t="shared" si="5"/>
        <v>0.23498521353164414</v>
      </c>
    </row>
    <row r="149" spans="2:6" x14ac:dyDescent="0.2">
      <c r="B149" s="5">
        <v>0.8</v>
      </c>
      <c r="C149">
        <f t="shared" si="3"/>
        <v>0.19999999999999996</v>
      </c>
      <c r="D149" s="12" cm="1">
        <f t="array" ref="D149">MMULT(B149:C149,$G$59:$G$60)</f>
        <v>0.17814545454545455</v>
      </c>
      <c r="E149" s="12">
        <f t="shared" si="4"/>
        <v>5.600588429752066E-2</v>
      </c>
      <c r="F149" s="21">
        <f t="shared" si="5"/>
        <v>0.23665562384511521</v>
      </c>
    </row>
    <row r="150" spans="2:6" x14ac:dyDescent="0.2">
      <c r="B150" s="5">
        <v>0.81</v>
      </c>
      <c r="C150">
        <f t="shared" si="3"/>
        <v>0.18999999999999995</v>
      </c>
      <c r="D150" s="12" cm="1">
        <f t="array" ref="D150">MMULT(B150:C150,$G$59:$G$60)</f>
        <v>0.17969272727272725</v>
      </c>
      <c r="E150" s="12">
        <f t="shared" si="4"/>
        <v>5.6808827438016532E-2</v>
      </c>
      <c r="F150" s="21">
        <f t="shared" si="5"/>
        <v>0.23834602459033491</v>
      </c>
    </row>
    <row r="151" spans="2:6" x14ac:dyDescent="0.2">
      <c r="B151" s="5">
        <v>0.82</v>
      </c>
      <c r="C151">
        <f t="shared" si="3"/>
        <v>0.18000000000000005</v>
      </c>
      <c r="D151" s="12" cm="1">
        <f t="array" ref="D151">MMULT(B151:C151,$G$59:$G$60)</f>
        <v>0.18123999999999998</v>
      </c>
      <c r="E151" s="12">
        <f t="shared" si="4"/>
        <v>5.7626879999999985E-2</v>
      </c>
      <c r="F151" s="21">
        <f t="shared" si="5"/>
        <v>0.24005599346819065</v>
      </c>
    </row>
    <row r="152" spans="2:6" x14ac:dyDescent="0.2">
      <c r="B152" s="5">
        <v>0.83</v>
      </c>
      <c r="C152">
        <f t="shared" si="3"/>
        <v>0.17000000000000004</v>
      </c>
      <c r="D152" s="12" cm="1">
        <f t="array" ref="D152">MMULT(B152:C152,$G$59:$G$60)</f>
        <v>0.18278727272727271</v>
      </c>
      <c r="E152" s="12">
        <f t="shared" si="4"/>
        <v>5.8460041983471059E-2</v>
      </c>
      <c r="F152" s="21">
        <f t="shared" si="5"/>
        <v>0.2417851153058663</v>
      </c>
    </row>
    <row r="153" spans="2:6" x14ac:dyDescent="0.2">
      <c r="B153" s="5">
        <v>0.84</v>
      </c>
      <c r="C153">
        <f t="shared" si="3"/>
        <v>0.16000000000000003</v>
      </c>
      <c r="D153" s="12" cm="1">
        <f t="array" ref="D153">MMULT(B153:C153,$G$59:$G$60)</f>
        <v>0.18433454545454545</v>
      </c>
      <c r="E153" s="12">
        <f t="shared" si="4"/>
        <v>5.9308313388429734E-2</v>
      </c>
      <c r="F153" s="21">
        <f t="shared" si="5"/>
        <v>0.24353298213677288</v>
      </c>
    </row>
    <row r="154" spans="2:6" x14ac:dyDescent="0.2">
      <c r="B154" s="5">
        <v>0.85</v>
      </c>
      <c r="C154">
        <f t="shared" si="3"/>
        <v>0.15000000000000002</v>
      </c>
      <c r="D154" s="12" cm="1">
        <f t="array" ref="D154">MMULT(B154:C154,$G$59:$G$60)</f>
        <v>0.18588181818181815</v>
      </c>
      <c r="E154" s="12">
        <f t="shared" si="4"/>
        <v>6.0171694214876018E-2</v>
      </c>
      <c r="F154" s="21">
        <f t="shared" si="5"/>
        <v>0.24529919326177169</v>
      </c>
    </row>
    <row r="155" spans="2:6" x14ac:dyDescent="0.2">
      <c r="B155" s="5">
        <v>0.86</v>
      </c>
      <c r="C155">
        <f t="shared" si="3"/>
        <v>0.14000000000000001</v>
      </c>
      <c r="D155" s="12" cm="1">
        <f t="array" ref="D155">MMULT(B155:C155,$G$59:$G$60)</f>
        <v>0.18742909090909088</v>
      </c>
      <c r="E155" s="12">
        <f t="shared" si="4"/>
        <v>6.1050184462809902E-2</v>
      </c>
      <c r="F155" s="21">
        <f t="shared" si="5"/>
        <v>0.24708335529292519</v>
      </c>
    </row>
    <row r="156" spans="2:6" x14ac:dyDescent="0.2">
      <c r="B156" s="5">
        <v>0.87</v>
      </c>
      <c r="C156">
        <f t="shared" si="3"/>
        <v>0.13</v>
      </c>
      <c r="D156" s="12" cm="1">
        <f t="array" ref="D156">MMULT(B156:C156,$G$59:$G$60)</f>
        <v>0.18897636363636364</v>
      </c>
      <c r="E156" s="12">
        <f t="shared" si="4"/>
        <v>6.1943784132231394E-2</v>
      </c>
      <c r="F156" s="21">
        <f t="shared" si="5"/>
        <v>0.24888508218097644</v>
      </c>
    </row>
    <row r="157" spans="2:6" x14ac:dyDescent="0.2">
      <c r="B157" s="5">
        <v>0.88</v>
      </c>
      <c r="C157">
        <f t="shared" si="3"/>
        <v>0.12</v>
      </c>
      <c r="D157" s="12" cm="1">
        <f t="array" ref="D157">MMULT(B157:C157,$G$59:$G$60)</f>
        <v>0.19052363636363637</v>
      </c>
      <c r="E157" s="12">
        <f t="shared" si="4"/>
        <v>6.2852493223140488E-2</v>
      </c>
      <c r="F157" s="21">
        <f t="shared" si="5"/>
        <v>0.25070399522771969</v>
      </c>
    </row>
    <row r="158" spans="2:6" x14ac:dyDescent="0.2">
      <c r="B158" s="5">
        <v>0.89</v>
      </c>
      <c r="C158">
        <f t="shared" si="3"/>
        <v>0.10999999999999999</v>
      </c>
      <c r="D158" s="12" cm="1">
        <f t="array" ref="D158">MMULT(B158:C158,$G$59:$G$60)</f>
        <v>0.1920709090909091</v>
      </c>
      <c r="E158" s="12">
        <f t="shared" si="4"/>
        <v>6.3776311735537175E-2</v>
      </c>
      <c r="F158" s="21">
        <f t="shared" si="5"/>
        <v>0.25253972308438366</v>
      </c>
    </row>
    <row r="159" spans="2:6" x14ac:dyDescent="0.2">
      <c r="B159" s="5">
        <v>0.9</v>
      </c>
      <c r="C159">
        <f t="shared" si="3"/>
        <v>9.9999999999999978E-2</v>
      </c>
      <c r="D159" s="12" cm="1">
        <f t="array" ref="D159">MMULT(B159:C159,$G$59:$G$60)</f>
        <v>0.1936181818181818</v>
      </c>
      <c r="E159" s="12">
        <f t="shared" si="4"/>
        <v>6.4715239669421484E-2</v>
      </c>
      <c r="F159" s="21">
        <f t="shared" si="5"/>
        <v>0.25439190173710619</v>
      </c>
    </row>
    <row r="160" spans="2:6" x14ac:dyDescent="0.2">
      <c r="B160" s="5">
        <v>0.91</v>
      </c>
      <c r="C160">
        <f t="shared" si="3"/>
        <v>8.9999999999999969E-2</v>
      </c>
      <c r="D160" s="12" cm="1">
        <f t="array" ref="D160">MMULT(B160:C160,$G$59:$G$60)</f>
        <v>0.19516545454545453</v>
      </c>
      <c r="E160" s="12">
        <f t="shared" si="4"/>
        <v>6.5669277024793374E-2</v>
      </c>
      <c r="F160" s="21">
        <f t="shared" si="5"/>
        <v>0.25626017448053329</v>
      </c>
    </row>
    <row r="161" spans="2:6" x14ac:dyDescent="0.2">
      <c r="B161" s="5">
        <v>0.92</v>
      </c>
      <c r="C161">
        <f t="shared" si="3"/>
        <v>7.999999999999996E-2</v>
      </c>
      <c r="D161" s="12" cm="1">
        <f t="array" ref="D161">MMULT(B161:C161,$G$59:$G$60)</f>
        <v>0.19671272727272726</v>
      </c>
      <c r="E161" s="12">
        <f t="shared" si="4"/>
        <v>6.6638423801652885E-2</v>
      </c>
      <c r="F161" s="21">
        <f t="shared" si="5"/>
        <v>0.25814419188053195</v>
      </c>
    </row>
    <row r="162" spans="2:6" x14ac:dyDescent="0.2">
      <c r="B162" s="5">
        <v>0.93</v>
      </c>
      <c r="C162">
        <f t="shared" si="3"/>
        <v>6.9999999999999951E-2</v>
      </c>
      <c r="D162" s="12" cm="1">
        <f t="array" ref="D162">MMULT(B162:C162,$G$59:$G$60)</f>
        <v>0.19826000000000002</v>
      </c>
      <c r="E162" s="12">
        <f t="shared" si="4"/>
        <v>6.7622680000000004E-2</v>
      </c>
      <c r="F162" s="21">
        <f t="shared" si="5"/>
        <v>0.26004361172695628</v>
      </c>
    </row>
    <row r="163" spans="2:6" x14ac:dyDescent="0.2">
      <c r="B163" s="5">
        <v>0.94</v>
      </c>
      <c r="C163">
        <f t="shared" si="3"/>
        <v>6.0000000000000053E-2</v>
      </c>
      <c r="D163" s="12" cm="1">
        <f t="array" ref="D163">MMULT(B163:C163,$G$59:$G$60)</f>
        <v>0.19980727272727272</v>
      </c>
      <c r="E163" s="12">
        <f t="shared" si="4"/>
        <v>6.862204561983469E-2</v>
      </c>
      <c r="F163" s="21">
        <f t="shared" si="5"/>
        <v>0.2619580989773645</v>
      </c>
    </row>
    <row r="164" spans="2:6" x14ac:dyDescent="0.2">
      <c r="B164" s="5">
        <v>0.95</v>
      </c>
      <c r="C164">
        <f t="shared" si="3"/>
        <v>5.0000000000000044E-2</v>
      </c>
      <c r="D164" s="12" cm="1">
        <f t="array" ref="D164">MMULT(B164:C164,$G$59:$G$60)</f>
        <v>0.20135454545454542</v>
      </c>
      <c r="E164" s="12">
        <f t="shared" si="4"/>
        <v>6.9636520661157011E-2</v>
      </c>
      <c r="F164" s="21">
        <f t="shared" si="5"/>
        <v>0.26388732569253304</v>
      </c>
    </row>
    <row r="165" spans="2:6" x14ac:dyDescent="0.2">
      <c r="B165" s="5">
        <v>0.96</v>
      </c>
      <c r="C165">
        <f t="shared" si="3"/>
        <v>4.0000000000000036E-2</v>
      </c>
      <c r="D165" s="12" cm="1">
        <f t="array" ref="D165">MMULT(B165:C165,$G$59:$G$60)</f>
        <v>0.20290181818181816</v>
      </c>
      <c r="E165" s="12">
        <f t="shared" si="4"/>
        <v>7.0666105123966927E-2</v>
      </c>
      <c r="F165" s="21">
        <f t="shared" si="5"/>
        <v>0.26583097096457164</v>
      </c>
    </row>
    <row r="166" spans="2:6" x14ac:dyDescent="0.2">
      <c r="B166" s="5">
        <v>0.97</v>
      </c>
      <c r="C166">
        <f t="shared" si="3"/>
        <v>3.0000000000000027E-2</v>
      </c>
      <c r="D166" s="12" cm="1">
        <f t="array" ref="D166">MMULT(B166:C166,$G$59:$G$60)</f>
        <v>0.20444909090909089</v>
      </c>
      <c r="E166" s="12">
        <f t="shared" si="4"/>
        <v>7.171079900826445E-2</v>
      </c>
      <c r="F166" s="21">
        <f t="shared" si="5"/>
        <v>0.26778872083839611</v>
      </c>
    </row>
    <row r="167" spans="2:6" x14ac:dyDescent="0.2">
      <c r="B167" s="5">
        <v>0.98</v>
      </c>
      <c r="C167">
        <f t="shared" si="3"/>
        <v>2.0000000000000018E-2</v>
      </c>
      <c r="D167" s="12" cm="1">
        <f t="array" ref="D167">MMULT(B167:C167,$G$59:$G$60)</f>
        <v>0.20599636363636364</v>
      </c>
      <c r="E167" s="12">
        <f t="shared" si="4"/>
        <v>7.2770602314049554E-2</v>
      </c>
      <c r="F167" s="21">
        <f t="shared" si="5"/>
        <v>0.26976026822727167</v>
      </c>
    </row>
    <row r="168" spans="2:6" x14ac:dyDescent="0.2">
      <c r="B168" s="5">
        <v>0.99</v>
      </c>
      <c r="C168">
        <f t="shared" si="3"/>
        <v>1.0000000000000009E-2</v>
      </c>
      <c r="D168" s="12" cm="1">
        <f t="array" ref="D168">MMULT(B168:C168,$G$59:$G$60)</f>
        <v>0.20754363636363635</v>
      </c>
      <c r="E168" s="12">
        <f t="shared" si="4"/>
        <v>7.3845515041322293E-2</v>
      </c>
      <c r="F168" s="21">
        <f t="shared" si="5"/>
        <v>0.271745312823096</v>
      </c>
    </row>
    <row r="169" spans="2:6" ht="17" thickBot="1" x14ac:dyDescent="0.25">
      <c r="B169" s="7">
        <v>1</v>
      </c>
      <c r="C169" s="8">
        <f t="shared" si="3"/>
        <v>0</v>
      </c>
      <c r="D169" s="23" cm="1">
        <f t="array" ref="D169">MMULT(B169:C169,$G$59:$G$60)</f>
        <v>0.20909090909090908</v>
      </c>
      <c r="E169" s="23">
        <f t="shared" si="4"/>
        <v>7.4935537190082627E-2</v>
      </c>
      <c r="F169" s="29">
        <f t="shared" si="5"/>
        <v>0.27374356100204922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0910-EA1B-F242-B9E8-0FACAF9E5071}">
  <dimension ref="A2:X46"/>
  <sheetViews>
    <sheetView zoomScale="140" zoomScaleNormal="140" workbookViewId="0">
      <selection activeCell="J26" sqref="J26"/>
    </sheetView>
  </sheetViews>
  <sheetFormatPr baseColWidth="10" defaultRowHeight="16" x14ac:dyDescent="0.2"/>
  <cols>
    <col min="13" max="13" width="16" customWidth="1"/>
    <col min="17" max="17" width="12.6640625" bestFit="1" customWidth="1"/>
  </cols>
  <sheetData>
    <row r="2" spans="1:24" ht="17" thickBot="1" x14ac:dyDescent="0.25">
      <c r="A2" t="s">
        <v>47</v>
      </c>
    </row>
    <row r="3" spans="1:24" x14ac:dyDescent="0.2">
      <c r="A3" t="s">
        <v>58</v>
      </c>
      <c r="B3" s="2" t="s">
        <v>0</v>
      </c>
      <c r="C3" s="3" t="s">
        <v>1</v>
      </c>
      <c r="D3" s="3" t="s">
        <v>2</v>
      </c>
      <c r="E3" s="4" t="s">
        <v>3</v>
      </c>
      <c r="G3" s="9" t="s">
        <v>4</v>
      </c>
      <c r="J3" s="2" t="s">
        <v>49</v>
      </c>
      <c r="K3" s="4" t="s">
        <v>53</v>
      </c>
      <c r="M3" s="41" t="s">
        <v>23</v>
      </c>
      <c r="N3" s="39" t="s">
        <v>54</v>
      </c>
      <c r="P3" s="90" t="s">
        <v>43</v>
      </c>
      <c r="Q3" s="91"/>
      <c r="R3" s="91"/>
      <c r="S3" s="91"/>
      <c r="T3" s="91"/>
      <c r="U3" s="92"/>
      <c r="W3" s="2" t="s">
        <v>59</v>
      </c>
      <c r="X3" s="4" t="s">
        <v>55</v>
      </c>
    </row>
    <row r="4" spans="1:24" x14ac:dyDescent="0.2">
      <c r="B4" s="5" t="s">
        <v>1</v>
      </c>
      <c r="C4" s="12">
        <v>0.02</v>
      </c>
      <c r="D4" s="12">
        <v>0.01</v>
      </c>
      <c r="E4" s="21">
        <v>0</v>
      </c>
      <c r="G4" s="26">
        <v>0.15</v>
      </c>
      <c r="J4" s="5" t="s">
        <v>50</v>
      </c>
      <c r="K4" s="21">
        <f>G4-$G$9</f>
        <v>0.09</v>
      </c>
      <c r="M4" s="44" cm="1">
        <f t="array" ref="M4:M6">MMULT(_xlfn.ANCHORARRAY(C9),K4:K6)</f>
        <v>4.4285714285714288</v>
      </c>
      <c r="N4" s="46">
        <f>SUM(_xlfn.ANCHORARRAY(M4))</f>
        <v>5.8571428571428577</v>
      </c>
      <c r="P4" s="5" t="s">
        <v>11</v>
      </c>
      <c r="Q4" s="13">
        <f>M4/$N$4</f>
        <v>0.75609756097560976</v>
      </c>
      <c r="S4" t="str" cm="1">
        <f t="array" ref="S4:U5">TRANSPOSE(P4:Q6)</f>
        <v>x1</v>
      </c>
      <c r="T4" t="str">
        <v>x2</v>
      </c>
      <c r="U4" s="6" t="str">
        <v>x3</v>
      </c>
      <c r="W4" s="5" t="s">
        <v>42</v>
      </c>
      <c r="X4" s="37" cm="1">
        <f t="array" ref="X4">MMULT(S5:U5,G4:G6)</f>
        <v>0.13829268292682928</v>
      </c>
    </row>
    <row r="5" spans="1:24" x14ac:dyDescent="0.2">
      <c r="B5" s="5" t="s">
        <v>2</v>
      </c>
      <c r="C5" s="12">
        <v>0.01</v>
      </c>
      <c r="D5" s="12">
        <v>0.02</v>
      </c>
      <c r="E5" s="22">
        <v>0.01</v>
      </c>
      <c r="G5" s="26">
        <v>0.12</v>
      </c>
      <c r="J5" s="5" t="s">
        <v>51</v>
      </c>
      <c r="K5" s="21">
        <f t="shared" ref="K5:K6" si="0">G5-$G$9</f>
        <v>0.06</v>
      </c>
      <c r="M5" s="44">
        <v>0.14285714285714279</v>
      </c>
      <c r="N5" s="18"/>
      <c r="P5" s="5" t="s">
        <v>12</v>
      </c>
      <c r="Q5" s="13">
        <f>M5/$N$4</f>
        <v>2.4390243902439011E-2</v>
      </c>
      <c r="S5" s="13">
        <v>0.75609756097560976</v>
      </c>
      <c r="T5" s="13">
        <v>2.4390243902439011E-2</v>
      </c>
      <c r="U5" s="18">
        <v>0.21951219512195125</v>
      </c>
      <c r="W5" s="5" t="s">
        <v>28</v>
      </c>
      <c r="X5" s="37" cm="1">
        <f t="array" ref="X5">MMULT(MMULT(S5:U5,C4:E6),Q4:Q6)</f>
        <v>1.3367043426531828E-2</v>
      </c>
    </row>
    <row r="6" spans="1:24" ht="17" thickBot="1" x14ac:dyDescent="0.25">
      <c r="B6" s="7" t="s">
        <v>3</v>
      </c>
      <c r="C6" s="23">
        <v>0</v>
      </c>
      <c r="D6" s="23">
        <v>0.01</v>
      </c>
      <c r="E6" s="24">
        <v>0.03</v>
      </c>
      <c r="G6" s="27">
        <v>0.1</v>
      </c>
      <c r="J6" s="7" t="s">
        <v>52</v>
      </c>
      <c r="K6" s="29">
        <f t="shared" si="0"/>
        <v>4.0000000000000008E-2</v>
      </c>
      <c r="M6" s="45">
        <v>1.285714285714286</v>
      </c>
      <c r="N6" s="32"/>
      <c r="P6" s="7" t="s">
        <v>13</v>
      </c>
      <c r="Q6" s="14">
        <f>M6/$N$4</f>
        <v>0.21951219512195125</v>
      </c>
      <c r="R6" s="8"/>
      <c r="S6" s="8"/>
      <c r="T6" s="8"/>
      <c r="U6" s="15"/>
      <c r="W6" s="7" t="s">
        <v>30</v>
      </c>
      <c r="X6" s="38">
        <f>SQRT(X5)</f>
        <v>0.11561593067796422</v>
      </c>
    </row>
    <row r="7" spans="1:24" ht="17" thickBot="1" x14ac:dyDescent="0.25"/>
    <row r="8" spans="1:24" x14ac:dyDescent="0.2">
      <c r="B8" s="2" t="s">
        <v>0</v>
      </c>
      <c r="C8" s="3" t="s">
        <v>1</v>
      </c>
      <c r="D8" s="3" t="s">
        <v>2</v>
      </c>
      <c r="E8" s="4" t="s">
        <v>3</v>
      </c>
      <c r="G8" t="s">
        <v>48</v>
      </c>
      <c r="I8" s="9" t="s">
        <v>22</v>
      </c>
    </row>
    <row r="9" spans="1:24" x14ac:dyDescent="0.2">
      <c r="B9" s="5" t="s">
        <v>1</v>
      </c>
      <c r="C9" cm="1">
        <f t="array" ref="C9:E11">MINVERSE(C4:E6)</f>
        <v>71.428571428571431</v>
      </c>
      <c r="D9">
        <v>-42.857142857142861</v>
      </c>
      <c r="E9" s="6">
        <v>14.285714285714288</v>
      </c>
      <c r="G9" s="12">
        <v>0.06</v>
      </c>
      <c r="I9" s="10">
        <v>1</v>
      </c>
    </row>
    <row r="10" spans="1:24" x14ac:dyDescent="0.2">
      <c r="B10" s="5" t="s">
        <v>2</v>
      </c>
      <c r="C10">
        <v>-42.857142857142861</v>
      </c>
      <c r="D10">
        <v>85.714285714285722</v>
      </c>
      <c r="E10" s="6">
        <v>-28.571428571428573</v>
      </c>
      <c r="I10" s="10">
        <v>1</v>
      </c>
    </row>
    <row r="11" spans="1:24" ht="17" thickBot="1" x14ac:dyDescent="0.25">
      <c r="B11" s="7" t="s">
        <v>3</v>
      </c>
      <c r="C11" s="8">
        <v>14.285714285714288</v>
      </c>
      <c r="D11" s="8">
        <v>-28.571428571428577</v>
      </c>
      <c r="E11" s="15">
        <v>42.857142857142861</v>
      </c>
      <c r="I11" s="11">
        <v>1</v>
      </c>
    </row>
    <row r="14" spans="1:24" ht="17" thickBot="1" x14ac:dyDescent="0.25">
      <c r="A14" t="s">
        <v>57</v>
      </c>
    </row>
    <row r="15" spans="1:24" x14ac:dyDescent="0.2">
      <c r="B15" s="41" t="s">
        <v>23</v>
      </c>
      <c r="C15" s="39" t="s">
        <v>54</v>
      </c>
      <c r="E15" s="90" t="s">
        <v>41</v>
      </c>
      <c r="F15" s="91"/>
      <c r="G15" s="91"/>
      <c r="H15" s="91"/>
      <c r="I15" s="91"/>
      <c r="J15" s="92"/>
      <c r="L15" s="2" t="s">
        <v>59</v>
      </c>
      <c r="M15" s="4" t="s">
        <v>55</v>
      </c>
    </row>
    <row r="16" spans="1:24" x14ac:dyDescent="0.2">
      <c r="B16" s="42" cm="1">
        <f t="array" ref="B16:B18">MMULT(_xlfn.ANCHORARRAY(C9),I9:I11)</f>
        <v>42.857142857142861</v>
      </c>
      <c r="C16" s="40">
        <f>SUM(_xlfn.ANCHORARRAY(B16))</f>
        <v>85.714285714285722</v>
      </c>
      <c r="E16" s="5" t="s">
        <v>11</v>
      </c>
      <c r="F16">
        <f>B16/$C$16</f>
        <v>0.5</v>
      </c>
      <c r="H16" t="str" cm="1">
        <f t="array" ref="H16:J17">TRANSPOSE(E16:F18)</f>
        <v>x1</v>
      </c>
      <c r="I16" t="str">
        <v>x2</v>
      </c>
      <c r="J16" s="6" t="str">
        <v>x3</v>
      </c>
      <c r="L16" s="5" t="s">
        <v>42</v>
      </c>
      <c r="M16" s="37" cm="1">
        <f t="array" ref="M16">MMULT(H17:J17,G4:G6)</f>
        <v>0.12833333333333333</v>
      </c>
    </row>
    <row r="17" spans="1:13" x14ac:dyDescent="0.2">
      <c r="B17" s="42">
        <v>14.285714285714288</v>
      </c>
      <c r="C17" s="6"/>
      <c r="E17" s="5" t="s">
        <v>12</v>
      </c>
      <c r="F17">
        <f>B17/$C$16</f>
        <v>0.16666666666666669</v>
      </c>
      <c r="H17">
        <v>0.5</v>
      </c>
      <c r="I17">
        <v>0.16666666666666669</v>
      </c>
      <c r="J17" s="6">
        <v>0.33333333333333331</v>
      </c>
      <c r="L17" s="5" t="s">
        <v>28</v>
      </c>
      <c r="M17" s="37" cm="1">
        <f t="array" ref="M17">MMULT(MMULT(H17:J17,C4:E6),F16:F18)</f>
        <v>1.1666666666666667E-2</v>
      </c>
    </row>
    <row r="18" spans="1:13" ht="17" thickBot="1" x14ac:dyDescent="0.25">
      <c r="B18" s="43">
        <v>28.571428571428573</v>
      </c>
      <c r="C18" s="15"/>
      <c r="E18" s="7" t="s">
        <v>13</v>
      </c>
      <c r="F18" s="8">
        <f>B18/$C$16</f>
        <v>0.33333333333333331</v>
      </c>
      <c r="G18" s="8"/>
      <c r="H18" s="8"/>
      <c r="I18" s="8"/>
      <c r="J18" s="15"/>
      <c r="L18" s="7" t="s">
        <v>30</v>
      </c>
      <c r="M18" s="38">
        <f>SQRT(M17)</f>
        <v>0.10801234497346433</v>
      </c>
    </row>
    <row r="21" spans="1:13" x14ac:dyDescent="0.2">
      <c r="A21" t="s">
        <v>56</v>
      </c>
      <c r="B21" t="s">
        <v>60</v>
      </c>
    </row>
    <row r="22" spans="1:13" x14ac:dyDescent="0.2">
      <c r="C22" t="s">
        <v>42</v>
      </c>
      <c r="D22" t="s">
        <v>28</v>
      </c>
      <c r="E22" t="s">
        <v>30</v>
      </c>
    </row>
    <row r="23" spans="1:13" x14ac:dyDescent="0.2">
      <c r="B23" t="s">
        <v>61</v>
      </c>
      <c r="C23" s="16">
        <f>X4</f>
        <v>0.13829268292682928</v>
      </c>
    </row>
    <row r="24" spans="1:13" ht="17" thickBot="1" x14ac:dyDescent="0.25">
      <c r="B24" t="s">
        <v>62</v>
      </c>
      <c r="C24" s="16">
        <f>M16</f>
        <v>0.12833333333333333</v>
      </c>
    </row>
    <row r="25" spans="1:13" x14ac:dyDescent="0.2">
      <c r="B25" s="90" t="s">
        <v>41</v>
      </c>
      <c r="C25" s="91"/>
      <c r="D25" s="91"/>
      <c r="E25" s="3" t="s">
        <v>63</v>
      </c>
      <c r="F25" s="3" t="s">
        <v>28</v>
      </c>
      <c r="G25" s="4" t="s">
        <v>30</v>
      </c>
      <c r="J25" t="s">
        <v>64</v>
      </c>
    </row>
    <row r="26" spans="1:13" x14ac:dyDescent="0.2">
      <c r="B26" s="5">
        <v>0</v>
      </c>
      <c r="C26">
        <f>1-B26</f>
        <v>1</v>
      </c>
      <c r="D26">
        <f>SUM(B26:C26)</f>
        <v>1</v>
      </c>
      <c r="E26" s="16" cm="1">
        <f t="array" ref="E26">MMULT(B26:C26,$C$23:$C$24)</f>
        <v>0.12833333333333333</v>
      </c>
      <c r="F26" s="16" cm="1">
        <f t="array" ref="F26">MMULT(MMULT(_xlfn.ANCHORARRAY(J26),$C$4:$E$6),TRANSPOSE(_xlfn.ANCHORARRAY(J26)))</f>
        <v>1.1666666666666667E-2</v>
      </c>
      <c r="G26" s="37">
        <f>SQRT(F26)</f>
        <v>0.10801234497346433</v>
      </c>
      <c r="J26" s="12" cm="1">
        <f t="array" ref="J26:L26">TRANSPOSE(B26*$Q$4:$Q$6+C26*$F$16:$F$18)</f>
        <v>0.5</v>
      </c>
      <c r="K26" s="12">
        <v>0.16666666666666669</v>
      </c>
      <c r="L26" s="12">
        <v>0.33333333333333331</v>
      </c>
      <c r="M26" s="47">
        <f>SUM(_xlfn.ANCHORARRAY(J26))</f>
        <v>1</v>
      </c>
    </row>
    <row r="27" spans="1:13" x14ac:dyDescent="0.2">
      <c r="B27" s="5">
        <v>0.1</v>
      </c>
      <c r="C27">
        <f t="shared" ref="C27:C46" si="1">1-B27</f>
        <v>0.9</v>
      </c>
      <c r="D27">
        <f t="shared" ref="D27:D46" si="2">SUM(B27:C27)</f>
        <v>1</v>
      </c>
      <c r="E27" s="16" cm="1">
        <f t="array" ref="E27">MMULT(B27:C27,$C$23:$C$24)</f>
        <v>0.12932926829268293</v>
      </c>
      <c r="F27" s="16" cm="1">
        <f t="array" ref="F27">MMULT(MMULT(_xlfn.ANCHORARRAY(J27),$C$4:$E$6),TRANSPOSE(_xlfn.ANCHORARRAY(J27)))</f>
        <v>1.1683670434265318E-2</v>
      </c>
      <c r="G27" s="37">
        <f t="shared" ref="G27:G46" si="3">SQRT(F27)</f>
        <v>0.10809102846335268</v>
      </c>
      <c r="J27" s="12" cm="1">
        <f t="array" ref="J27:L27">TRANSPOSE(B27*$Q$4:$Q$6+C27*$F$16:$F$18)</f>
        <v>0.525609756097561</v>
      </c>
      <c r="K27" s="12">
        <v>0.15243902439024393</v>
      </c>
      <c r="L27" s="12">
        <v>0.32195121951219513</v>
      </c>
      <c r="M27" s="47">
        <f t="shared" ref="M27:M46" si="4">SUM(_xlfn.ANCHORARRAY(J27))</f>
        <v>1</v>
      </c>
    </row>
    <row r="28" spans="1:13" x14ac:dyDescent="0.2">
      <c r="B28" s="5">
        <v>0.2</v>
      </c>
      <c r="C28">
        <f t="shared" si="1"/>
        <v>0.8</v>
      </c>
      <c r="D28">
        <f t="shared" si="2"/>
        <v>1</v>
      </c>
      <c r="E28" s="16" cm="1">
        <f t="array" ref="E28">MMULT(B28:C28,$C$23:$C$24)</f>
        <v>0.13032520325203253</v>
      </c>
      <c r="F28" s="16" cm="1">
        <f t="array" ref="F28">MMULT(MMULT(_xlfn.ANCHORARRAY(J28),$C$4:$E$6),TRANSPOSE(_xlfn.ANCHORARRAY(J28)))</f>
        <v>1.1734681737061275E-2</v>
      </c>
      <c r="G28" s="37">
        <f t="shared" si="3"/>
        <v>0.10832673602145167</v>
      </c>
      <c r="J28" s="12" cm="1">
        <f t="array" ref="J28:L28">TRANSPOSE(B28*$Q$4:$Q$6+C28*$F$16:$F$18)</f>
        <v>0.551219512195122</v>
      </c>
      <c r="K28" s="12">
        <v>0.13821138211382117</v>
      </c>
      <c r="L28" s="12">
        <v>0.31056910569105689</v>
      </c>
      <c r="M28" s="47">
        <f t="shared" si="4"/>
        <v>1</v>
      </c>
    </row>
    <row r="29" spans="1:13" x14ac:dyDescent="0.2">
      <c r="B29" s="5">
        <v>0.3</v>
      </c>
      <c r="C29">
        <f t="shared" si="1"/>
        <v>0.7</v>
      </c>
      <c r="D29">
        <f t="shared" si="2"/>
        <v>1</v>
      </c>
      <c r="E29" s="16" cm="1">
        <f t="array" ref="E29">MMULT(B29:C29,$C$23:$C$24)</f>
        <v>0.13132113821138211</v>
      </c>
      <c r="F29" s="16" cm="1">
        <f t="array" ref="F29">MMULT(MMULT(_xlfn.ANCHORARRAY(J29),$C$4:$E$6),TRANSPOSE(_xlfn.ANCHORARRAY(J29)))</f>
        <v>1.1819700575054531E-2</v>
      </c>
      <c r="G29" s="37">
        <f t="shared" si="3"/>
        <v>0.10871844634216647</v>
      </c>
      <c r="J29" s="12" cm="1">
        <f t="array" ref="J29:L29">TRANSPOSE(B29*$Q$4:$Q$6+C29*$F$16:$F$18)</f>
        <v>0.57682926829268288</v>
      </c>
      <c r="K29" s="12">
        <v>0.12398373983739837</v>
      </c>
      <c r="L29" s="12">
        <v>0.29918699186991871</v>
      </c>
      <c r="M29" s="47">
        <f t="shared" si="4"/>
        <v>1</v>
      </c>
    </row>
    <row r="30" spans="1:13" x14ac:dyDescent="0.2">
      <c r="B30" s="5">
        <v>0.4</v>
      </c>
      <c r="C30">
        <f t="shared" si="1"/>
        <v>0.6</v>
      </c>
      <c r="D30">
        <f t="shared" si="2"/>
        <v>1</v>
      </c>
      <c r="E30" s="16" cm="1">
        <f t="array" ref="E30">MMULT(B30:C30,$C$23:$C$24)</f>
        <v>0.13231707317073171</v>
      </c>
      <c r="F30" s="16" cm="1">
        <f t="array" ref="F30">MMULT(MMULT(_xlfn.ANCHORARRAY(J30),$C$4:$E$6),TRANSPOSE(_xlfn.ANCHORARRAY(J30)))</f>
        <v>1.1938726948245094E-2</v>
      </c>
      <c r="G30" s="37">
        <f t="shared" si="3"/>
        <v>0.10926448164085663</v>
      </c>
      <c r="J30" s="12" cm="1">
        <f t="array" ref="J30:L30">TRANSPOSE(B30*$Q$4:$Q$6+C30*$F$16:$F$18)</f>
        <v>0.60243902439024399</v>
      </c>
      <c r="K30" s="12">
        <v>0.10975609756097561</v>
      </c>
      <c r="L30" s="12">
        <v>0.28780487804878052</v>
      </c>
      <c r="M30" s="47">
        <f t="shared" si="4"/>
        <v>1</v>
      </c>
    </row>
    <row r="31" spans="1:13" x14ac:dyDescent="0.2">
      <c r="B31" s="5">
        <v>0.5</v>
      </c>
      <c r="C31">
        <f t="shared" si="1"/>
        <v>0.5</v>
      </c>
      <c r="D31">
        <f t="shared" si="2"/>
        <v>1</v>
      </c>
      <c r="E31" s="16" cm="1">
        <f t="array" ref="E31">MMULT(B31:C31,$C$23:$C$24)</f>
        <v>0.13331300813008129</v>
      </c>
      <c r="F31" s="16" cm="1">
        <f t="array" ref="F31">MMULT(MMULT(_xlfn.ANCHORARRAY(J31),$C$4:$E$6),TRANSPOSE(_xlfn.ANCHORARRAY(J31)))</f>
        <v>1.2091760856632957E-2</v>
      </c>
      <c r="G31" s="37">
        <f t="shared" si="3"/>
        <v>0.10996254297092696</v>
      </c>
      <c r="J31" s="12" cm="1">
        <f t="array" ref="J31:L31">TRANSPOSE(B31*$Q$4:$Q$6+C31*$F$16:$F$18)</f>
        <v>0.62804878048780488</v>
      </c>
      <c r="K31" s="12">
        <v>9.5528455284552852E-2</v>
      </c>
      <c r="L31" s="12">
        <v>0.27642276422764228</v>
      </c>
      <c r="M31" s="47">
        <f t="shared" si="4"/>
        <v>1</v>
      </c>
    </row>
    <row r="32" spans="1:13" x14ac:dyDescent="0.2">
      <c r="B32" s="5">
        <v>0.6</v>
      </c>
      <c r="C32">
        <f t="shared" si="1"/>
        <v>0.4</v>
      </c>
      <c r="D32">
        <f t="shared" si="2"/>
        <v>1</v>
      </c>
      <c r="E32" s="16" cm="1">
        <f t="array" ref="E32">MMULT(B32:C32,$C$23:$C$24)</f>
        <v>0.13430894308943089</v>
      </c>
      <c r="F32" s="16" cm="1">
        <f t="array" ref="F32">MMULT(MMULT(_xlfn.ANCHORARRAY(J32),$C$4:$E$6),TRANSPOSE(_xlfn.ANCHORARRAY(J32)))</f>
        <v>1.227880230021812E-2</v>
      </c>
      <c r="G32" s="37">
        <f t="shared" si="3"/>
        <v>0.11080975724284446</v>
      </c>
      <c r="J32" s="12" cm="1">
        <f t="array" ref="J32:L32">TRANSPOSE(B32*$Q$4:$Q$6+C32*$F$16:$F$18)</f>
        <v>0.65365853658536577</v>
      </c>
      <c r="K32" s="12">
        <v>8.1300813008130079E-2</v>
      </c>
      <c r="L32" s="12">
        <v>0.26504065040650404</v>
      </c>
      <c r="M32" s="47">
        <f t="shared" si="4"/>
        <v>0.99999999999999989</v>
      </c>
    </row>
    <row r="33" spans="2:13" x14ac:dyDescent="0.2">
      <c r="B33" s="5">
        <v>0.7</v>
      </c>
      <c r="C33">
        <f t="shared" si="1"/>
        <v>0.30000000000000004</v>
      </c>
      <c r="D33">
        <f t="shared" si="2"/>
        <v>1</v>
      </c>
      <c r="E33" s="16" cm="1">
        <f t="array" ref="E33">MMULT(B33:C33,$C$23:$C$24)</f>
        <v>0.1353048780487805</v>
      </c>
      <c r="F33" s="16" cm="1">
        <f t="array" ref="F33">MMULT(MMULT(_xlfn.ANCHORARRAY(J33),$C$4:$E$6),TRANSPOSE(_xlfn.ANCHORARRAY(J33)))</f>
        <v>1.2499851279000593E-2</v>
      </c>
      <c r="G33" s="37">
        <f t="shared" si="3"/>
        <v>0.11180273377248247</v>
      </c>
      <c r="J33" s="12" cm="1">
        <f t="array" ref="J33:L33">TRANSPOSE(B33*$Q$4:$Q$6+C33*$F$16:$F$18)</f>
        <v>0.67926829268292677</v>
      </c>
      <c r="K33" s="12">
        <v>6.7073170731707321E-2</v>
      </c>
      <c r="L33" s="12">
        <v>0.25365853658536586</v>
      </c>
      <c r="M33" s="47">
        <f t="shared" si="4"/>
        <v>1</v>
      </c>
    </row>
    <row r="34" spans="2:13" x14ac:dyDescent="0.2">
      <c r="B34" s="5">
        <v>0.8</v>
      </c>
      <c r="C34">
        <f t="shared" si="1"/>
        <v>0.19999999999999996</v>
      </c>
      <c r="D34">
        <f t="shared" si="2"/>
        <v>1</v>
      </c>
      <c r="E34" s="16" cm="1">
        <f t="array" ref="E34">MMULT(B34:C34,$C$23:$C$24)</f>
        <v>0.1363008130081301</v>
      </c>
      <c r="F34" s="16" cm="1">
        <f t="array" ref="F34">MMULT(MMULT(_xlfn.ANCHORARRAY(J34),$C$4:$E$6),TRANSPOSE(_xlfn.ANCHORARRAY(J34)))</f>
        <v>1.2754907792980373E-2</v>
      </c>
      <c r="G34" s="37">
        <f t="shared" si="3"/>
        <v>0.11293762788805321</v>
      </c>
      <c r="J34" s="12" cm="1">
        <f t="array" ref="J34:L34">TRANSPOSE(B34*$Q$4:$Q$6+C34*$F$16:$F$18)</f>
        <v>0.70487804878048788</v>
      </c>
      <c r="K34" s="12">
        <v>5.2845528455284542E-2</v>
      </c>
      <c r="L34" s="12">
        <v>0.24227642276422767</v>
      </c>
      <c r="M34" s="47">
        <f t="shared" si="4"/>
        <v>1</v>
      </c>
    </row>
    <row r="35" spans="2:13" x14ac:dyDescent="0.2">
      <c r="B35" s="5">
        <v>0.9</v>
      </c>
      <c r="C35">
        <f t="shared" si="1"/>
        <v>9.9999999999999978E-2</v>
      </c>
      <c r="D35">
        <f t="shared" si="2"/>
        <v>1</v>
      </c>
      <c r="E35" s="16" cm="1">
        <f t="array" ref="E35">MMULT(B35:C35,$C$23:$C$24)</f>
        <v>0.13729674796747968</v>
      </c>
      <c r="F35" s="16" cm="1">
        <f t="array" ref="F35">MMULT(MMULT(_xlfn.ANCHORARRAY(J35),$C$4:$E$6),TRANSPOSE(_xlfn.ANCHORARRAY(J35)))</f>
        <v>1.3043971842157444E-2</v>
      </c>
      <c r="G35" s="37">
        <f t="shared" si="3"/>
        <v>0.11421020901021696</v>
      </c>
      <c r="J35" s="12" cm="1">
        <f t="array" ref="J35:L35">TRANSPOSE(B35*$Q$4:$Q$6+C35*$F$16:$F$18)</f>
        <v>0.73048780487804876</v>
      </c>
      <c r="K35" s="12">
        <v>3.8617886178861777E-2</v>
      </c>
      <c r="L35" s="12">
        <v>0.23089430894308946</v>
      </c>
      <c r="M35" s="47">
        <f t="shared" si="4"/>
        <v>1</v>
      </c>
    </row>
    <row r="36" spans="2:13" x14ac:dyDescent="0.2">
      <c r="B36" s="5">
        <v>1</v>
      </c>
      <c r="C36">
        <f t="shared" si="1"/>
        <v>0</v>
      </c>
      <c r="D36">
        <f t="shared" si="2"/>
        <v>1</v>
      </c>
      <c r="E36" s="16" cm="1">
        <f t="array" ref="E36">MMULT(B36:C36,$C$23:$C$24)</f>
        <v>0.13829268292682928</v>
      </c>
      <c r="F36" s="16" cm="1">
        <f t="array" ref="F36">MMULT(MMULT(_xlfn.ANCHORARRAY(J36),$C$4:$E$6),TRANSPOSE(_xlfn.ANCHORARRAY(J36)))</f>
        <v>1.3367043426531828E-2</v>
      </c>
      <c r="G36" s="37">
        <f t="shared" si="3"/>
        <v>0.11561593067796422</v>
      </c>
      <c r="J36" s="12" cm="1">
        <f t="array" ref="J36:L36">TRANSPOSE(B36*$Q$4:$Q$6+C36*$F$16:$F$18)</f>
        <v>0.75609756097560976</v>
      </c>
      <c r="K36" s="12">
        <v>2.4390243902439011E-2</v>
      </c>
      <c r="L36" s="12">
        <v>0.21951219512195125</v>
      </c>
      <c r="M36" s="47">
        <f t="shared" si="4"/>
        <v>1</v>
      </c>
    </row>
    <row r="37" spans="2:13" x14ac:dyDescent="0.2">
      <c r="B37" s="5">
        <v>1.1000000000000001</v>
      </c>
      <c r="C37">
        <f t="shared" si="1"/>
        <v>-0.10000000000000009</v>
      </c>
      <c r="D37">
        <f t="shared" si="2"/>
        <v>1</v>
      </c>
      <c r="E37" s="16" cm="1">
        <f t="array" ref="E37">MMULT(B37:C37,$C$23:$C$24)</f>
        <v>0.13928861788617888</v>
      </c>
      <c r="F37" s="16" cm="1">
        <f t="array" ref="F37">MMULT(MMULT(_xlfn.ANCHORARRAY(J37),$C$4:$E$6),TRANSPOSE(_xlfn.ANCHORARRAY(J37)))</f>
        <v>1.372412254610351E-2</v>
      </c>
      <c r="G37" s="37">
        <f t="shared" si="3"/>
        <v>0.11715000019677127</v>
      </c>
      <c r="J37" s="12" cm="1">
        <f t="array" ref="J37:L37">TRANSPOSE(B37*$Q$4:$Q$6+C37*$F$16:$F$18)</f>
        <v>0.78170731707317076</v>
      </c>
      <c r="K37" s="12">
        <v>1.0162601626016232E-2</v>
      </c>
      <c r="L37" s="12">
        <v>0.20813008130081304</v>
      </c>
      <c r="M37" s="47">
        <f t="shared" si="4"/>
        <v>1</v>
      </c>
    </row>
    <row r="38" spans="2:13" x14ac:dyDescent="0.2">
      <c r="B38" s="5">
        <v>1.2</v>
      </c>
      <c r="C38">
        <f t="shared" si="1"/>
        <v>-0.19999999999999996</v>
      </c>
      <c r="D38">
        <f t="shared" si="2"/>
        <v>1</v>
      </c>
      <c r="E38" s="16" cm="1">
        <f t="array" ref="E38">MMULT(B38:C38,$C$23:$C$24)</f>
        <v>0.14028455284552846</v>
      </c>
      <c r="F38" s="16" cm="1">
        <f t="array" ref="F38">MMULT(MMULT(_xlfn.ANCHORARRAY(J38),$C$4:$E$6),TRANSPOSE(_xlfn.ANCHORARRAY(J38)))</f>
        <v>1.4115209200872494E-2</v>
      </c>
      <c r="G38" s="37">
        <f t="shared" si="3"/>
        <v>0.118807445898279</v>
      </c>
      <c r="J38" s="12" cm="1">
        <f t="array" ref="J38:L38">TRANSPOSE(B38*$Q$4:$Q$6+C38*$F$16:$F$18)</f>
        <v>0.80731707317073165</v>
      </c>
      <c r="K38" s="12">
        <v>-4.0650406504065192E-3</v>
      </c>
      <c r="L38" s="12">
        <v>0.19674796747967482</v>
      </c>
      <c r="M38" s="47">
        <f t="shared" si="4"/>
        <v>1</v>
      </c>
    </row>
    <row r="39" spans="2:13" x14ac:dyDescent="0.2">
      <c r="B39" s="5">
        <v>1.3</v>
      </c>
      <c r="C39">
        <f t="shared" si="1"/>
        <v>-0.30000000000000004</v>
      </c>
      <c r="D39">
        <f t="shared" si="2"/>
        <v>1</v>
      </c>
      <c r="E39" s="16" cm="1">
        <f t="array" ref="E39">MMULT(B39:C39,$C$23:$C$24)</f>
        <v>0.14128048780487806</v>
      </c>
      <c r="F39" s="16" cm="1">
        <f t="array" ref="F39">MMULT(MMULT(_xlfn.ANCHORARRAY(J39),$C$4:$E$6),TRANSPOSE(_xlfn.ANCHORARRAY(J39)))</f>
        <v>1.4540303390838789E-2</v>
      </c>
      <c r="G39" s="37">
        <f t="shared" si="3"/>
        <v>0.12058318038117417</v>
      </c>
      <c r="J39" s="12" cm="1">
        <f t="array" ref="J39:L39">TRANSPOSE(B39*$Q$4:$Q$6+C39*$F$16:$F$18)</f>
        <v>0.83292682926829276</v>
      </c>
      <c r="K39" s="12">
        <v>-1.8292682926829291E-2</v>
      </c>
      <c r="L39" s="12">
        <v>0.18536585365853661</v>
      </c>
      <c r="M39" s="47">
        <f t="shared" si="4"/>
        <v>1</v>
      </c>
    </row>
    <row r="40" spans="2:13" x14ac:dyDescent="0.2">
      <c r="B40" s="5">
        <v>1.4</v>
      </c>
      <c r="C40">
        <f t="shared" si="1"/>
        <v>-0.39999999999999991</v>
      </c>
      <c r="D40">
        <f t="shared" si="2"/>
        <v>1</v>
      </c>
      <c r="E40" s="16" cm="1">
        <f t="array" ref="E40">MMULT(B40:C40,$C$23:$C$24)</f>
        <v>0.14227642276422767</v>
      </c>
      <c r="F40" s="16" cm="1">
        <f t="array" ref="F40">MMULT(MMULT(_xlfn.ANCHORARRAY(J40),$C$4:$E$6),TRANSPOSE(_xlfn.ANCHORARRAY(J40)))</f>
        <v>1.4999405116002376E-2</v>
      </c>
      <c r="G40" s="37">
        <f t="shared" si="3"/>
        <v>0.12247205851132893</v>
      </c>
      <c r="J40" s="12" cm="1">
        <f t="array" ref="J40:L40">TRANSPOSE(B40*$Q$4:$Q$6+C40*$F$16:$F$18)</f>
        <v>0.85853658536585353</v>
      </c>
      <c r="K40" s="12">
        <v>-3.252032520325205E-2</v>
      </c>
      <c r="L40" s="12">
        <v>0.1739837398373984</v>
      </c>
      <c r="M40" s="47">
        <f t="shared" si="4"/>
        <v>0.99999999999999978</v>
      </c>
    </row>
    <row r="41" spans="2:13" x14ac:dyDescent="0.2">
      <c r="B41" s="5">
        <v>1.5</v>
      </c>
      <c r="C41">
        <f t="shared" si="1"/>
        <v>-0.5</v>
      </c>
      <c r="D41">
        <f t="shared" si="2"/>
        <v>1</v>
      </c>
      <c r="E41" s="16" cm="1">
        <f t="array" ref="E41">MMULT(B41:C41,$C$23:$C$24)</f>
        <v>0.14327235772357727</v>
      </c>
      <c r="F41" s="16" cm="1">
        <f t="array" ref="F41">MMULT(MMULT(_xlfn.ANCHORARRAY(J41),$C$4:$E$6),TRANSPOSE(_xlfn.ANCHORARRAY(J41)))</f>
        <v>1.549251437636328E-2</v>
      </c>
      <c r="G41" s="37">
        <f t="shared" si="3"/>
        <v>0.12446892936136021</v>
      </c>
      <c r="J41" s="12" cm="1">
        <f t="array" ref="J41:L41">TRANSPOSE(B41*$Q$4:$Q$6+C41*$F$16:$F$18)</f>
        <v>0.88414634146341475</v>
      </c>
      <c r="K41" s="12">
        <v>-4.6747967479674829E-2</v>
      </c>
      <c r="L41" s="12">
        <v>0.16260162601626024</v>
      </c>
      <c r="M41" s="47">
        <f t="shared" si="4"/>
        <v>1.0000000000000002</v>
      </c>
    </row>
    <row r="42" spans="2:13" x14ac:dyDescent="0.2">
      <c r="B42" s="5">
        <v>1.6</v>
      </c>
      <c r="C42">
        <f t="shared" si="1"/>
        <v>-0.60000000000000009</v>
      </c>
      <c r="D42">
        <f t="shared" si="2"/>
        <v>1</v>
      </c>
      <c r="E42" s="16" cm="1">
        <f t="array" ref="E42">MMULT(B42:C42,$C$23:$C$24)</f>
        <v>0.14426829268292685</v>
      </c>
      <c r="F42" s="16" cm="1">
        <f t="array" ref="F42">MMULT(MMULT(_xlfn.ANCHORARRAY(J42),$C$4:$E$6),TRANSPOSE(_xlfn.ANCHORARRAY(J42)))</f>
        <v>1.601963117192148E-2</v>
      </c>
      <c r="G42" s="37">
        <f t="shared" si="3"/>
        <v>0.12656868163934346</v>
      </c>
      <c r="J42" s="12" cm="1">
        <f t="array" ref="J42:L42">TRANSPOSE(B42*$Q$4:$Q$6+C42*$F$16:$F$18)</f>
        <v>0.90975609756097575</v>
      </c>
      <c r="K42" s="12">
        <v>-6.0975609756097601E-2</v>
      </c>
      <c r="L42" s="12">
        <v>0.15121951219512203</v>
      </c>
      <c r="M42" s="47">
        <f t="shared" si="4"/>
        <v>1.0000000000000002</v>
      </c>
    </row>
    <row r="43" spans="2:13" x14ac:dyDescent="0.2">
      <c r="B43" s="5">
        <v>1.7</v>
      </c>
      <c r="C43">
        <f t="shared" si="1"/>
        <v>-0.7</v>
      </c>
      <c r="D43">
        <f t="shared" si="2"/>
        <v>1</v>
      </c>
      <c r="E43" s="16" cm="1">
        <f t="array" ref="E43">MMULT(B43:C43,$C$23:$C$24)</f>
        <v>0.14526422764227645</v>
      </c>
      <c r="F43" s="16" cm="1">
        <f t="array" ref="F43">MMULT(MMULT(_xlfn.ANCHORARRAY(J43),$C$4:$E$6),TRANSPOSE(_xlfn.ANCHORARRAY(J43)))</f>
        <v>1.6580755502676982E-2</v>
      </c>
      <c r="G43" s="37">
        <f t="shared" si="3"/>
        <v>0.12876628247595323</v>
      </c>
      <c r="J43" s="12" cm="1">
        <f t="array" ref="J43:L43">TRANSPOSE(B43*$Q$4:$Q$6+C43*$F$16:$F$18)</f>
        <v>0.93536585365853664</v>
      </c>
      <c r="K43" s="12">
        <v>-7.5203252032520346E-2</v>
      </c>
      <c r="L43" s="12">
        <v>0.13983739837398382</v>
      </c>
      <c r="M43" s="47">
        <f t="shared" si="4"/>
        <v>1.0000000000000002</v>
      </c>
    </row>
    <row r="44" spans="2:13" x14ac:dyDescent="0.2">
      <c r="B44" s="5">
        <v>1.8</v>
      </c>
      <c r="C44">
        <f t="shared" si="1"/>
        <v>-0.8</v>
      </c>
      <c r="D44">
        <f t="shared" si="2"/>
        <v>1</v>
      </c>
      <c r="E44" s="16" cm="1">
        <f t="array" ref="E44">MMULT(B44:C44,$C$23:$C$24)</f>
        <v>0.14626016260162605</v>
      </c>
      <c r="F44" s="16" cm="1">
        <f t="array" ref="F44">MMULT(MMULT(_xlfn.ANCHORARRAY(J44),$C$4:$E$6),TRANSPOSE(_xlfn.ANCHORARRAY(J44)))</f>
        <v>1.7175887368629784E-2</v>
      </c>
      <c r="G44" s="37">
        <f t="shared" si="3"/>
        <v>0.13105680969957181</v>
      </c>
      <c r="J44" s="12" cm="1">
        <f t="array" ref="J44:L44">TRANSPOSE(B44*$Q$4:$Q$6+C44*$F$16:$F$18)</f>
        <v>0.96097560975609764</v>
      </c>
      <c r="K44" s="12">
        <v>-8.9430894308943132E-2</v>
      </c>
      <c r="L44" s="12">
        <v>0.12845528455284561</v>
      </c>
      <c r="M44" s="47">
        <f t="shared" si="4"/>
        <v>1</v>
      </c>
    </row>
    <row r="45" spans="2:13" x14ac:dyDescent="0.2">
      <c r="B45" s="5">
        <v>1.9</v>
      </c>
      <c r="C45">
        <f t="shared" si="1"/>
        <v>-0.89999999999999991</v>
      </c>
      <c r="D45">
        <f t="shared" si="2"/>
        <v>1</v>
      </c>
      <c r="E45" s="16" cm="1">
        <f t="array" ref="E45">MMULT(B45:C45,$C$23:$C$24)</f>
        <v>0.14725609756097563</v>
      </c>
      <c r="F45" s="16" cm="1">
        <f t="array" ref="F45">MMULT(MMULT(_xlfn.ANCHORARRAY(J45),$C$4:$E$6),TRANSPOSE(_xlfn.ANCHORARRAY(J45)))</f>
        <v>1.7805026769779891E-2</v>
      </c>
      <c r="G45" s="37">
        <f t="shared" si="3"/>
        <v>0.13343547792764821</v>
      </c>
      <c r="J45" s="12" cm="1">
        <f t="array" ref="J45:L45">TRANSPOSE(B45*$Q$4:$Q$6+C45*$F$16:$F$18)</f>
        <v>0.98658536585365852</v>
      </c>
      <c r="K45" s="12">
        <v>-0.10365853658536588</v>
      </c>
      <c r="L45" s="12">
        <v>0.11707317073170742</v>
      </c>
      <c r="M45" s="47">
        <f t="shared" si="4"/>
        <v>1</v>
      </c>
    </row>
    <row r="46" spans="2:13" ht="17" thickBot="1" x14ac:dyDescent="0.25">
      <c r="B46" s="7">
        <v>2</v>
      </c>
      <c r="C46" s="8">
        <f t="shared" si="1"/>
        <v>-1</v>
      </c>
      <c r="D46" s="8">
        <f t="shared" si="2"/>
        <v>1</v>
      </c>
      <c r="E46" s="36" cm="1">
        <f t="array" ref="E46">MMULT(B46:C46,$C$23:$C$24)</f>
        <v>0.14825203252032523</v>
      </c>
      <c r="F46" s="36" cm="1">
        <f t="array" ref="F46">MMULT(MMULT(_xlfn.ANCHORARRAY(J46),$C$4:$E$6),TRANSPOSE(_xlfn.ANCHORARRAY(J46)))</f>
        <v>1.8468173706127303E-2</v>
      </c>
      <c r="G46" s="38">
        <f t="shared" si="3"/>
        <v>0.13589765894277686</v>
      </c>
      <c r="J46" s="12" cm="1">
        <f t="array" ref="J46:L46">TRANSPOSE(B46*$Q$4:$Q$6+C46*$F$16:$F$18)</f>
        <v>1.0121951219512195</v>
      </c>
      <c r="K46" s="12">
        <v>-0.11788617886178866</v>
      </c>
      <c r="L46" s="12">
        <v>0.10569105691056918</v>
      </c>
      <c r="M46" s="47">
        <f t="shared" si="4"/>
        <v>1</v>
      </c>
    </row>
  </sheetData>
  <mergeCells count="3">
    <mergeCell ref="P3:U3"/>
    <mergeCell ref="E15:J15"/>
    <mergeCell ref="B25:D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3D6E-BD1C-3C41-841A-3195AD1E2F09}">
  <dimension ref="A2:Q46"/>
  <sheetViews>
    <sheetView topLeftCell="D1" workbookViewId="0">
      <selection activeCell="O5" sqref="O5"/>
    </sheetView>
  </sheetViews>
  <sheetFormatPr baseColWidth="10" defaultRowHeight="16" x14ac:dyDescent="0.2"/>
  <cols>
    <col min="14" max="16" width="13.6640625" bestFit="1" customWidth="1"/>
  </cols>
  <sheetData>
    <row r="2" spans="1:17" x14ac:dyDescent="0.2">
      <c r="B2" s="12"/>
      <c r="C2" s="12"/>
    </row>
    <row r="3" spans="1:17" x14ac:dyDescent="0.2">
      <c r="A3" t="s">
        <v>76</v>
      </c>
      <c r="B3" t="s">
        <v>65</v>
      </c>
      <c r="C3" s="12" t="s">
        <v>66</v>
      </c>
      <c r="D3" s="12" t="s">
        <v>67</v>
      </c>
      <c r="E3" t="s">
        <v>68</v>
      </c>
      <c r="F3" t="s">
        <v>69</v>
      </c>
      <c r="H3" t="s">
        <v>70</v>
      </c>
      <c r="I3" t="s">
        <v>71</v>
      </c>
      <c r="J3" t="s">
        <v>72</v>
      </c>
      <c r="K3" t="s">
        <v>73</v>
      </c>
      <c r="O3" t="s">
        <v>71</v>
      </c>
      <c r="P3" t="s">
        <v>72</v>
      </c>
      <c r="Q3" t="s">
        <v>73</v>
      </c>
    </row>
    <row r="4" spans="1:17" x14ac:dyDescent="0.2">
      <c r="B4" s="13">
        <v>-4.1997506398057782E-3</v>
      </c>
      <c r="C4" s="13">
        <v>-1.166538756715276E-2</v>
      </c>
      <c r="D4" s="13">
        <v>3.4293552812071329E-3</v>
      </c>
      <c r="E4" s="13">
        <v>-3.9393939393939734E-3</v>
      </c>
      <c r="F4" s="13">
        <v>0.01</v>
      </c>
      <c r="H4" s="13">
        <f>B4-$F4</f>
        <v>-1.4199750639805778E-2</v>
      </c>
      <c r="I4" s="13">
        <f>C4-$F$4</f>
        <v>-2.166538756715276E-2</v>
      </c>
      <c r="J4" s="13">
        <f>D4-$F$4</f>
        <v>-6.5706447187928677E-3</v>
      </c>
      <c r="K4" s="13">
        <f>E4-$F$4</f>
        <v>-1.3939393939393974E-2</v>
      </c>
      <c r="N4" t="s">
        <v>74</v>
      </c>
      <c r="O4" s="16">
        <f>INTERCEPT(I4:I46,$H$4:$H$46)</f>
        <v>8.5393768186122609E-3</v>
      </c>
      <c r="P4" s="16">
        <f>INTERCEPT(J4:J46,$H$4:$H$46)</f>
        <v>-5.2682700184184207E-3</v>
      </c>
      <c r="Q4" s="16">
        <f>INTERCEPT(K4:K46,$H$4:$H$46)</f>
        <v>-9.010923032980277E-3</v>
      </c>
    </row>
    <row r="5" spans="1:17" x14ac:dyDescent="0.2">
      <c r="B5" s="13">
        <v>4.5484508899142359E-3</v>
      </c>
      <c r="C5" s="13">
        <v>6.1776061776061776E-3</v>
      </c>
      <c r="D5" s="13">
        <v>1.0745233968804238E-2</v>
      </c>
      <c r="E5" s="13">
        <v>9.1743119266055051E-3</v>
      </c>
      <c r="F5" s="13">
        <v>0.01</v>
      </c>
      <c r="H5" s="13">
        <f t="shared" ref="H5:H46" si="0">B5-$F5</f>
        <v>-5.4515491100857643E-3</v>
      </c>
      <c r="I5" s="13">
        <f t="shared" ref="I5:I46" si="1">C5-$F$4</f>
        <v>-3.8223938223938226E-3</v>
      </c>
      <c r="J5" s="13">
        <f t="shared" ref="J5:J46" si="2">D5-$F$4</f>
        <v>7.4523396880423788E-4</v>
      </c>
      <c r="K5" s="13">
        <f t="shared" ref="K5:K46" si="3">E5-$F$4</f>
        <v>-8.2568807339449511E-4</v>
      </c>
      <c r="N5" t="s">
        <v>75</v>
      </c>
      <c r="O5" s="16">
        <f>SLOPE(I4:I46,$H$4:$H$46)</f>
        <v>1.6429400852632399</v>
      </c>
      <c r="P5" s="16">
        <f>SLOPE(J4:J46,$H$4:$H$46)</f>
        <v>0.26807105596893405</v>
      </c>
      <c r="Q5" s="16">
        <f>SLOPE(K4:K46,$H$4:$H$46)</f>
        <v>3.2967856617416608E-2</v>
      </c>
    </row>
    <row r="6" spans="1:17" x14ac:dyDescent="0.2">
      <c r="B6" s="13">
        <v>-3.3646649178541315E-3</v>
      </c>
      <c r="C6" s="13">
        <v>-3.9993847100446437E-3</v>
      </c>
      <c r="D6" s="13">
        <v>-3.4650034650042527E-4</v>
      </c>
      <c r="E6" s="13">
        <v>-2.4405125076266362E-3</v>
      </c>
      <c r="F6" s="13">
        <v>0.01</v>
      </c>
      <c r="H6" s="13">
        <f t="shared" si="0"/>
        <v>-1.3364664917854131E-2</v>
      </c>
      <c r="I6" s="13">
        <f t="shared" si="1"/>
        <v>-1.3999384710044645E-2</v>
      </c>
      <c r="J6" s="13">
        <f t="shared" si="2"/>
        <v>-1.0346500346500425E-2</v>
      </c>
      <c r="K6" s="13">
        <f t="shared" si="3"/>
        <v>-1.2440512507626636E-2</v>
      </c>
    </row>
    <row r="7" spans="1:17" x14ac:dyDescent="0.2">
      <c r="B7" s="13">
        <v>9.330876676123763E-3</v>
      </c>
      <c r="C7" s="13">
        <v>2.0244821092278681E-2</v>
      </c>
      <c r="D7" s="13">
        <v>-3.1088082901553618E-3</v>
      </c>
      <c r="E7" s="13">
        <v>2.4464831804281695E-3</v>
      </c>
      <c r="F7" s="13">
        <v>0.01</v>
      </c>
      <c r="H7" s="13">
        <f t="shared" si="0"/>
        <v>-6.6912332387623723E-4</v>
      </c>
      <c r="I7" s="13">
        <f t="shared" si="1"/>
        <v>1.0244821092278681E-2</v>
      </c>
      <c r="J7" s="13">
        <f t="shared" si="2"/>
        <v>-1.3108808290155361E-2</v>
      </c>
      <c r="K7" s="13">
        <f t="shared" si="3"/>
        <v>-7.5535168195718302E-3</v>
      </c>
    </row>
    <row r="8" spans="1:17" x14ac:dyDescent="0.2">
      <c r="B8" s="13">
        <v>-8.3697730016110937E-3</v>
      </c>
      <c r="C8" s="13">
        <v>-6.5481758652945615E-3</v>
      </c>
      <c r="D8" s="13">
        <v>-3.453038674033934E-4</v>
      </c>
      <c r="E8" s="13">
        <v>-1.8312818973281363E-2</v>
      </c>
      <c r="F8" s="13">
        <v>0.01</v>
      </c>
      <c r="H8" s="13">
        <f t="shared" si="0"/>
        <v>-1.8369773001611092E-2</v>
      </c>
      <c r="I8" s="13">
        <f t="shared" si="1"/>
        <v>-1.6548175865294563E-2</v>
      </c>
      <c r="J8" s="13">
        <f t="shared" si="2"/>
        <v>-1.0345303867403394E-2</v>
      </c>
      <c r="K8" s="13">
        <f t="shared" si="3"/>
        <v>-2.8312818973281362E-2</v>
      </c>
    </row>
    <row r="9" spans="1:17" x14ac:dyDescent="0.2">
      <c r="B9" s="13">
        <v>-3.0483236561152666E-3</v>
      </c>
      <c r="C9" s="13">
        <v>-1.4012143858009923E-3</v>
      </c>
      <c r="D9" s="13">
        <v>-3.7873754152823846E-2</v>
      </c>
      <c r="E9" s="13">
        <v>3.3132530120482612E-3</v>
      </c>
      <c r="F9" s="13">
        <v>0.01</v>
      </c>
      <c r="H9" s="13">
        <f t="shared" si="0"/>
        <v>-1.3048323656115267E-2</v>
      </c>
      <c r="I9" s="13">
        <f t="shared" si="1"/>
        <v>-1.1401214385800992E-2</v>
      </c>
      <c r="J9" s="13">
        <f t="shared" si="2"/>
        <v>-4.7873754152823848E-2</v>
      </c>
      <c r="K9" s="13">
        <f t="shared" si="3"/>
        <v>-6.686746987951739E-3</v>
      </c>
    </row>
    <row r="10" spans="1:17" x14ac:dyDescent="0.2">
      <c r="B10" s="13">
        <v>-2.3028994391428925E-2</v>
      </c>
      <c r="C10" s="13">
        <v>-3.0636884998490897E-2</v>
      </c>
      <c r="D10" s="13">
        <v>-1.9543973941368076E-2</v>
      </c>
      <c r="E10" s="13">
        <v>4.8426150121066063E-3</v>
      </c>
      <c r="F10" s="13">
        <v>0.01</v>
      </c>
      <c r="H10" s="13">
        <f t="shared" si="0"/>
        <v>-3.3028994391428923E-2</v>
      </c>
      <c r="I10" s="13">
        <f t="shared" si="1"/>
        <v>-4.0636884998490899E-2</v>
      </c>
      <c r="J10" s="13">
        <f t="shared" si="2"/>
        <v>-2.9543973941368075E-2</v>
      </c>
      <c r="K10" s="13">
        <f t="shared" si="3"/>
        <v>-5.1573849878933939E-3</v>
      </c>
    </row>
    <row r="11" spans="1:17" x14ac:dyDescent="0.2">
      <c r="B11" s="13">
        <v>2.0613598905588358E-2</v>
      </c>
      <c r="C11" s="13">
        <v>2.4111282843894934E-2</v>
      </c>
      <c r="D11" s="13">
        <v>6.2274664044574797E-3</v>
      </c>
      <c r="E11" s="13">
        <v>3.9320541050644857E-2</v>
      </c>
      <c r="F11" s="13">
        <v>0.01</v>
      </c>
      <c r="H11" s="13">
        <f t="shared" si="0"/>
        <v>1.0613598905588358E-2</v>
      </c>
      <c r="I11" s="13">
        <f t="shared" si="1"/>
        <v>1.4111282843894934E-2</v>
      </c>
      <c r="J11" s="13">
        <f t="shared" si="2"/>
        <v>-3.7725335955425205E-3</v>
      </c>
      <c r="K11" s="13">
        <f t="shared" si="3"/>
        <v>2.9320541050644855E-2</v>
      </c>
    </row>
    <row r="12" spans="1:17" x14ac:dyDescent="0.2">
      <c r="B12" s="13">
        <v>-5.5484877468960133E-3</v>
      </c>
      <c r="C12" s="13">
        <v>-5.2275522755227209E-3</v>
      </c>
      <c r="D12" s="13">
        <v>-1.5171078114912809E-2</v>
      </c>
      <c r="E12" s="13">
        <v>1.3065646908859037E-2</v>
      </c>
      <c r="F12" s="13">
        <v>0.01</v>
      </c>
      <c r="H12" s="13">
        <f t="shared" si="0"/>
        <v>-1.5548487746896014E-2</v>
      </c>
      <c r="I12" s="13">
        <f t="shared" si="1"/>
        <v>-1.5227552275522721E-2</v>
      </c>
      <c r="J12" s="13">
        <f t="shared" si="2"/>
        <v>-2.5171078114912808E-2</v>
      </c>
      <c r="K12" s="13">
        <f t="shared" si="3"/>
        <v>3.0656469088590366E-3</v>
      </c>
    </row>
    <row r="13" spans="1:17" x14ac:dyDescent="0.2">
      <c r="B13" s="13">
        <v>-1.688029506281041E-2</v>
      </c>
      <c r="C13" s="13">
        <v>-2.4156039009752474E-2</v>
      </c>
      <c r="D13" s="13">
        <v>-8.005123278898494E-3</v>
      </c>
      <c r="E13" s="13">
        <v>-1.1653543307086579E-2</v>
      </c>
      <c r="F13" s="13">
        <v>0.01</v>
      </c>
      <c r="H13" s="13">
        <f t="shared" si="0"/>
        <v>-2.6880295062810408E-2</v>
      </c>
      <c r="I13" s="13">
        <f t="shared" si="1"/>
        <v>-3.4156039009752476E-2</v>
      </c>
      <c r="J13" s="13">
        <f t="shared" si="2"/>
        <v>-1.8005123278898492E-2</v>
      </c>
      <c r="K13" s="13">
        <f t="shared" si="3"/>
        <v>-2.1653543307086579E-2</v>
      </c>
    </row>
    <row r="14" spans="1:17" x14ac:dyDescent="0.2">
      <c r="B14" s="13">
        <v>-1.6220294228593137E-2</v>
      </c>
      <c r="C14" s="13">
        <v>-2.401522916971735E-2</v>
      </c>
      <c r="D14" s="13">
        <v>1.9921619856303144E-2</v>
      </c>
      <c r="E14" s="13">
        <v>-3.1486146095725039E-4</v>
      </c>
      <c r="F14" s="13">
        <v>0.01</v>
      </c>
      <c r="H14" s="13">
        <f t="shared" si="0"/>
        <v>-2.6220294228593136E-2</v>
      </c>
      <c r="I14" s="13">
        <f t="shared" si="1"/>
        <v>-3.4015229169717352E-2</v>
      </c>
      <c r="J14" s="13">
        <f t="shared" si="2"/>
        <v>9.9216198563031443E-3</v>
      </c>
      <c r="K14" s="13">
        <f t="shared" si="3"/>
        <v>-1.0314861460957251E-2</v>
      </c>
    </row>
    <row r="15" spans="1:17" x14ac:dyDescent="0.2">
      <c r="B15" s="13">
        <v>1.8710486106663538E-2</v>
      </c>
      <c r="C15" s="13">
        <v>1.3655929939141949E-2</v>
      </c>
      <c r="D15" s="13">
        <v>8.8962108731465844E-3</v>
      </c>
      <c r="E15" s="13">
        <v>1.9255455712451859E-2</v>
      </c>
      <c r="F15" s="13">
        <v>0.01</v>
      </c>
      <c r="H15" s="13">
        <f t="shared" si="0"/>
        <v>8.7104861066635373E-3</v>
      </c>
      <c r="I15" s="13">
        <f t="shared" si="1"/>
        <v>3.6559299391419487E-3</v>
      </c>
      <c r="J15" s="13">
        <f t="shared" si="2"/>
        <v>-1.1037891268534158E-3</v>
      </c>
      <c r="K15" s="13">
        <f t="shared" si="3"/>
        <v>9.2554557124518589E-3</v>
      </c>
    </row>
    <row r="16" spans="1:17" x14ac:dyDescent="0.2">
      <c r="B16" s="13">
        <v>-5.7717760605468195E-3</v>
      </c>
      <c r="C16" s="13">
        <v>-1.1445341159207563E-2</v>
      </c>
      <c r="D16" s="13">
        <v>-1.843467011642946E-2</v>
      </c>
      <c r="E16" s="13">
        <v>4.5132172791748359E-3</v>
      </c>
      <c r="F16" s="13">
        <v>0.01</v>
      </c>
      <c r="H16" s="13">
        <f t="shared" si="0"/>
        <v>-1.5771776060546819E-2</v>
      </c>
      <c r="I16" s="13">
        <f t="shared" si="1"/>
        <v>-2.1445341159207564E-2</v>
      </c>
      <c r="J16" s="13">
        <f t="shared" si="2"/>
        <v>-2.8434670116429459E-2</v>
      </c>
      <c r="K16" s="13">
        <f t="shared" si="3"/>
        <v>-5.4867827208251643E-3</v>
      </c>
    </row>
    <row r="17" spans="2:11" x14ac:dyDescent="0.2">
      <c r="B17" s="13">
        <v>-5.1763066328216088E-3</v>
      </c>
      <c r="C17" s="13">
        <v>-3.5092849831846432E-3</v>
      </c>
      <c r="D17" s="13">
        <v>3.9327731092436938E-2</v>
      </c>
      <c r="E17" s="13">
        <v>1.9379844961239206E-3</v>
      </c>
      <c r="F17" s="13">
        <v>0.01</v>
      </c>
      <c r="H17" s="13">
        <f t="shared" si="0"/>
        <v>-1.5176306632821608E-2</v>
      </c>
      <c r="I17" s="13">
        <f t="shared" si="1"/>
        <v>-1.3509284983184643E-2</v>
      </c>
      <c r="J17" s="13">
        <f t="shared" si="2"/>
        <v>2.9327731092436936E-2</v>
      </c>
      <c r="K17" s="13">
        <f t="shared" si="3"/>
        <v>-8.0620155038760802E-3</v>
      </c>
    </row>
    <row r="18" spans="2:11" x14ac:dyDescent="0.2">
      <c r="B18" s="13">
        <v>5.0798126335895553E-3</v>
      </c>
      <c r="C18" s="13">
        <v>9.2975206611569574E-3</v>
      </c>
      <c r="D18" s="13">
        <v>2.4449035812672257E-2</v>
      </c>
      <c r="E18" s="13">
        <v>7.4845427920599127E-3</v>
      </c>
      <c r="F18" s="13">
        <v>0.01</v>
      </c>
      <c r="H18" s="13">
        <f t="shared" si="0"/>
        <v>-4.9201873664104449E-3</v>
      </c>
      <c r="I18" s="13">
        <f t="shared" si="1"/>
        <v>-7.0247933884304281E-4</v>
      </c>
      <c r="J18" s="13">
        <f t="shared" si="2"/>
        <v>1.4449035812672257E-2</v>
      </c>
      <c r="K18" s="13">
        <f t="shared" si="3"/>
        <v>-2.5154572079400875E-3</v>
      </c>
    </row>
    <row r="19" spans="2:11" x14ac:dyDescent="0.2">
      <c r="B19" s="13">
        <v>1.9273968295917007E-3</v>
      </c>
      <c r="C19" s="13">
        <v>1.9222238651487036E-3</v>
      </c>
      <c r="D19" s="13">
        <v>1.1846689895470304E-2</v>
      </c>
      <c r="E19" s="13">
        <v>-1.1897106109324722E-2</v>
      </c>
      <c r="F19" s="13">
        <v>0.01</v>
      </c>
      <c r="H19" s="13">
        <f t="shared" si="0"/>
        <v>-8.0726031704082997E-3</v>
      </c>
      <c r="I19" s="13">
        <f t="shared" si="1"/>
        <v>-8.0777761348512968E-3</v>
      </c>
      <c r="J19" s="13">
        <f t="shared" si="2"/>
        <v>1.8466898954703041E-3</v>
      </c>
      <c r="K19" s="13">
        <f t="shared" si="3"/>
        <v>-2.1897106109324722E-2</v>
      </c>
    </row>
    <row r="20" spans="2:11" x14ac:dyDescent="0.2">
      <c r="B20" s="13">
        <v>7.825020779471243E-3</v>
      </c>
      <c r="C20" s="13">
        <v>1.8984480940183679E-2</v>
      </c>
      <c r="D20" s="13">
        <v>1.3418079096045239E-2</v>
      </c>
      <c r="E20" s="13">
        <v>-3.2144005143048128E-4</v>
      </c>
      <c r="F20" s="13">
        <v>0.01</v>
      </c>
      <c r="H20" s="13">
        <f t="shared" si="0"/>
        <v>-2.1749792205287572E-3</v>
      </c>
      <c r="I20" s="13">
        <f t="shared" si="1"/>
        <v>8.9844809401836787E-3</v>
      </c>
      <c r="J20" s="13">
        <f t="shared" si="2"/>
        <v>3.4180790960452387E-3</v>
      </c>
      <c r="K20" s="13">
        <f t="shared" si="3"/>
        <v>-1.0321440051430481E-2</v>
      </c>
    </row>
    <row r="21" spans="2:11" x14ac:dyDescent="0.2">
      <c r="B21" s="13">
        <v>-5.0488128405075849E-4</v>
      </c>
      <c r="C21" s="13">
        <v>2.8709579933516032E-3</v>
      </c>
      <c r="D21" s="13">
        <v>-3.5186488388458835E-3</v>
      </c>
      <c r="E21" s="13">
        <v>-4.1613316261202129E-3</v>
      </c>
      <c r="F21" s="13">
        <v>0.01</v>
      </c>
      <c r="H21" s="13">
        <f t="shared" si="0"/>
        <v>-1.0504881284050759E-2</v>
      </c>
      <c r="I21" s="13">
        <f t="shared" si="1"/>
        <v>-7.1290420066483975E-3</v>
      </c>
      <c r="J21" s="13">
        <f t="shared" si="2"/>
        <v>-1.3518648838845883E-2</v>
      </c>
      <c r="K21" s="13">
        <f t="shared" si="3"/>
        <v>-1.4161331626120214E-2</v>
      </c>
    </row>
    <row r="22" spans="2:11" x14ac:dyDescent="0.2">
      <c r="B22" s="13">
        <v>-1.4685298639322811E-4</v>
      </c>
      <c r="C22" s="13">
        <v>9.765028989929779E-3</v>
      </c>
      <c r="D22" s="13">
        <v>-9.0655509065551698E-3</v>
      </c>
      <c r="E22" s="13">
        <v>7.741935483870894E-3</v>
      </c>
      <c r="F22" s="13">
        <v>0.01</v>
      </c>
      <c r="H22" s="13">
        <f t="shared" si="0"/>
        <v>-1.0146852986393229E-2</v>
      </c>
      <c r="I22" s="13">
        <f t="shared" si="1"/>
        <v>-2.3497101007022118E-4</v>
      </c>
      <c r="J22" s="13">
        <f t="shared" si="2"/>
        <v>-1.9065550906555172E-2</v>
      </c>
      <c r="K22" s="13">
        <f t="shared" si="3"/>
        <v>-2.2580645161291062E-3</v>
      </c>
    </row>
    <row r="23" spans="2:11" x14ac:dyDescent="0.2">
      <c r="B23" s="13">
        <v>3.9484353691350135E-3</v>
      </c>
      <c r="C23" s="13">
        <v>7.3778051029817927E-3</v>
      </c>
      <c r="D23" s="13">
        <v>5.6100981767181722E-3</v>
      </c>
      <c r="E23" s="13">
        <v>5.1880674448768578E-3</v>
      </c>
      <c r="F23" s="13">
        <v>0.01</v>
      </c>
      <c r="H23" s="13">
        <f t="shared" si="0"/>
        <v>-6.0515646308649867E-3</v>
      </c>
      <c r="I23" s="13">
        <f t="shared" si="1"/>
        <v>-2.6221948970182075E-3</v>
      </c>
      <c r="J23" s="13">
        <f t="shared" si="2"/>
        <v>-4.389901823281828E-3</v>
      </c>
      <c r="K23" s="13">
        <f t="shared" si="3"/>
        <v>-4.8119325551231424E-3</v>
      </c>
    </row>
    <row r="24" spans="2:11" x14ac:dyDescent="0.2">
      <c r="B24" s="13">
        <v>1.5752379704420519E-2</v>
      </c>
      <c r="C24" s="13">
        <v>2.1350078492935673E-2</v>
      </c>
      <c r="D24" s="13">
        <v>1.2424565140220093E-2</v>
      </c>
      <c r="E24" s="13">
        <v>-2.9097963142581122E-3</v>
      </c>
      <c r="F24" s="13">
        <v>0.01</v>
      </c>
      <c r="H24" s="13">
        <f t="shared" si="0"/>
        <v>5.7523797044205186E-3</v>
      </c>
      <c r="I24" s="13">
        <f t="shared" si="1"/>
        <v>1.1350078492935673E-2</v>
      </c>
      <c r="J24" s="13">
        <f t="shared" si="2"/>
        <v>2.4245651402200925E-3</v>
      </c>
      <c r="K24" s="13">
        <f t="shared" si="3"/>
        <v>-1.2909796314258112E-2</v>
      </c>
    </row>
    <row r="25" spans="2:11" x14ac:dyDescent="0.2">
      <c r="B25" s="13">
        <v>-1.0621550542652911E-2</v>
      </c>
      <c r="C25" s="13">
        <v>-1.0869565217391304E-2</v>
      </c>
      <c r="D25" s="13">
        <v>-1.8808777429467204E-2</v>
      </c>
      <c r="E25" s="13">
        <v>-1.2452107279693415E-2</v>
      </c>
      <c r="F25" s="13">
        <v>0.01</v>
      </c>
      <c r="H25" s="13">
        <f t="shared" si="0"/>
        <v>-2.0621550542652911E-2</v>
      </c>
      <c r="I25" s="13">
        <f t="shared" si="1"/>
        <v>-2.0869565217391306E-2</v>
      </c>
      <c r="J25" s="13">
        <f t="shared" si="2"/>
        <v>-2.8808777429467206E-2</v>
      </c>
      <c r="K25" s="13">
        <f t="shared" si="3"/>
        <v>-2.2452107279693413E-2</v>
      </c>
    </row>
    <row r="26" spans="2:11" x14ac:dyDescent="0.2">
      <c r="B26" s="13">
        <v>-1.5467089698179705E-2</v>
      </c>
      <c r="C26" s="13">
        <v>-5.4054054054054057E-3</v>
      </c>
      <c r="D26" s="13">
        <v>-1.8796992481203006E-2</v>
      </c>
      <c r="E26" s="13">
        <v>-4.7664442326024788E-3</v>
      </c>
      <c r="F26" s="13">
        <v>0.01</v>
      </c>
      <c r="H26" s="13">
        <f t="shared" si="0"/>
        <v>-2.5467089698179707E-2</v>
      </c>
      <c r="I26" s="13">
        <f t="shared" si="1"/>
        <v>-1.5405405405405406E-2</v>
      </c>
      <c r="J26" s="13">
        <f t="shared" si="2"/>
        <v>-2.8796992481203008E-2</v>
      </c>
      <c r="K26" s="13">
        <f t="shared" si="3"/>
        <v>-1.4766444232602479E-2</v>
      </c>
    </row>
    <row r="27" spans="2:11" x14ac:dyDescent="0.2">
      <c r="B27" s="13">
        <v>3.8852278967601303E-3</v>
      </c>
      <c r="C27" s="13">
        <v>1.5467904098994587E-3</v>
      </c>
      <c r="D27" s="13">
        <v>4.4627531754205677E-3</v>
      </c>
      <c r="E27" s="13">
        <v>-2.5356576862123974E-3</v>
      </c>
      <c r="F27" s="13">
        <v>0.01</v>
      </c>
      <c r="H27" s="13">
        <f t="shared" si="0"/>
        <v>-6.1147721032398699E-3</v>
      </c>
      <c r="I27" s="13">
        <f t="shared" si="1"/>
        <v>-8.4532095901005411E-3</v>
      </c>
      <c r="J27" s="13">
        <f t="shared" si="2"/>
        <v>-5.5372468245794325E-3</v>
      </c>
      <c r="K27" s="13">
        <f t="shared" si="3"/>
        <v>-1.2535657686212398E-2</v>
      </c>
    </row>
    <row r="28" spans="2:11" x14ac:dyDescent="0.2">
      <c r="B28" s="13">
        <v>1.1624515645181299E-2</v>
      </c>
      <c r="C28" s="13">
        <v>1.1737089201877934E-2</v>
      </c>
      <c r="D28" s="13">
        <v>-1.3712718546451054E-3</v>
      </c>
      <c r="E28" s="13">
        <v>1.8070345272668677E-2</v>
      </c>
      <c r="F28" s="13">
        <v>0.01</v>
      </c>
      <c r="H28" s="13">
        <f t="shared" si="0"/>
        <v>1.624515645181299E-3</v>
      </c>
      <c r="I28" s="13">
        <f t="shared" si="1"/>
        <v>1.7370892018779335E-3</v>
      </c>
      <c r="J28" s="13">
        <f t="shared" si="2"/>
        <v>-1.1371271854645105E-2</v>
      </c>
      <c r="K28" s="13">
        <f t="shared" si="3"/>
        <v>8.0703452726686772E-3</v>
      </c>
    </row>
    <row r="29" spans="2:11" x14ac:dyDescent="0.2">
      <c r="B29" s="13">
        <v>-7.4028122415217695E-3</v>
      </c>
      <c r="C29" s="13">
        <v>-1.0529575720037094E-2</v>
      </c>
      <c r="D29" s="13">
        <v>6.86106346483666E-4</v>
      </c>
      <c r="E29" s="13">
        <v>-9.9041533546326607E-3</v>
      </c>
      <c r="F29" s="13">
        <v>0.01</v>
      </c>
      <c r="H29" s="13">
        <f t="shared" si="0"/>
        <v>-1.7402812241521771E-2</v>
      </c>
      <c r="I29" s="13">
        <f t="shared" si="1"/>
        <v>-2.0529575720037094E-2</v>
      </c>
      <c r="J29" s="13">
        <f t="shared" si="2"/>
        <v>-9.313893653516335E-3</v>
      </c>
      <c r="K29" s="13">
        <f t="shared" si="3"/>
        <v>-1.9904153354632661E-2</v>
      </c>
    </row>
    <row r="30" spans="2:11" x14ac:dyDescent="0.2">
      <c r="B30" s="13">
        <v>-3.6945981952781312E-3</v>
      </c>
      <c r="C30" s="13">
        <v>-9.3572633839546296E-3</v>
      </c>
      <c r="D30" s="13">
        <v>2.0625644551393015E-3</v>
      </c>
      <c r="E30" s="13">
        <v>-2.8671551449505491E-3</v>
      </c>
      <c r="F30" s="13">
        <v>0.01</v>
      </c>
      <c r="H30" s="13">
        <f t="shared" si="0"/>
        <v>-1.3694598195278131E-2</v>
      </c>
      <c r="I30" s="13">
        <f t="shared" si="1"/>
        <v>-1.9357263383954632E-2</v>
      </c>
      <c r="J30" s="13">
        <f t="shared" si="2"/>
        <v>-7.9374355448606979E-3</v>
      </c>
      <c r="K30" s="13">
        <f t="shared" si="3"/>
        <v>-1.286715514495055E-2</v>
      </c>
    </row>
    <row r="31" spans="2:11" x14ac:dyDescent="0.2">
      <c r="B31" s="13">
        <v>1.6516348811883848E-2</v>
      </c>
      <c r="C31" s="13">
        <v>2.661417322834642E-2</v>
      </c>
      <c r="D31" s="13">
        <v>1.0420284821118444E-2</v>
      </c>
      <c r="E31" s="13">
        <v>-9.4667087409277383E-3</v>
      </c>
      <c r="F31" s="13">
        <v>0.01</v>
      </c>
      <c r="H31" s="13">
        <f t="shared" si="0"/>
        <v>6.5163488118838483E-3</v>
      </c>
      <c r="I31" s="13">
        <f t="shared" si="1"/>
        <v>1.6614173228346421E-2</v>
      </c>
      <c r="J31" s="13">
        <f t="shared" si="2"/>
        <v>4.2028482111844401E-4</v>
      </c>
      <c r="K31" s="13">
        <f t="shared" si="3"/>
        <v>-1.9466708740927739E-2</v>
      </c>
    </row>
    <row r="32" spans="2:11" x14ac:dyDescent="0.2">
      <c r="B32" s="13">
        <v>6.3129302674097398E-3</v>
      </c>
      <c r="C32" s="13">
        <v>6.9774817633999004E-3</v>
      </c>
      <c r="D32" s="13">
        <v>1.1950790861159849E-2</v>
      </c>
      <c r="E32" s="13">
        <v>-1.0923845193508116E-2</v>
      </c>
      <c r="F32" s="13">
        <v>0.01</v>
      </c>
      <c r="H32" s="13">
        <f t="shared" si="0"/>
        <v>-3.6870697325902604E-3</v>
      </c>
      <c r="I32" s="13">
        <f t="shared" si="1"/>
        <v>-3.0225182366000998E-3</v>
      </c>
      <c r="J32" s="13">
        <f t="shared" si="2"/>
        <v>1.9507908611598491E-3</v>
      </c>
      <c r="K32" s="13">
        <f t="shared" si="3"/>
        <v>-2.0923845193508116E-2</v>
      </c>
    </row>
    <row r="33" spans="2:11" x14ac:dyDescent="0.2">
      <c r="B33" s="13">
        <v>5.4668995945736558E-3</v>
      </c>
      <c r="C33" s="13">
        <v>7.9923273657289007E-3</v>
      </c>
      <c r="D33" s="13">
        <v>3.2667876588021776E-2</v>
      </c>
      <c r="E33" s="13">
        <v>9.3720712277399097E-4</v>
      </c>
      <c r="F33" s="13">
        <v>0.01</v>
      </c>
      <c r="H33" s="13">
        <f t="shared" si="0"/>
        <v>-4.5331004054263444E-3</v>
      </c>
      <c r="I33" s="13">
        <f t="shared" si="1"/>
        <v>-2.0076726342710995E-3</v>
      </c>
      <c r="J33" s="13">
        <f t="shared" si="2"/>
        <v>2.2667876588021774E-2</v>
      </c>
      <c r="K33" s="13">
        <f t="shared" si="3"/>
        <v>-9.0627928772260089E-3</v>
      </c>
    </row>
    <row r="34" spans="2:11" x14ac:dyDescent="0.2">
      <c r="B34" s="13">
        <v>-1.3091000343888576E-2</v>
      </c>
      <c r="C34" s="13">
        <v>-1.8512707875745143E-2</v>
      </c>
      <c r="D34" s="13">
        <v>-8.9928057553956831E-3</v>
      </c>
      <c r="E34" s="13">
        <v>-9.3632958801483936E-4</v>
      </c>
      <c r="F34" s="13">
        <v>0.01</v>
      </c>
      <c r="H34" s="13">
        <f t="shared" si="0"/>
        <v>-2.3091000343888578E-2</v>
      </c>
      <c r="I34" s="13">
        <f t="shared" si="1"/>
        <v>-2.8512707875745141E-2</v>
      </c>
      <c r="J34" s="13">
        <f t="shared" si="2"/>
        <v>-1.8992805755395685E-2</v>
      </c>
      <c r="K34" s="13">
        <f t="shared" si="3"/>
        <v>-1.093632958801484E-2</v>
      </c>
    </row>
    <row r="35" spans="2:11" x14ac:dyDescent="0.2">
      <c r="B35" s="13">
        <v>-2.6187595885998629E-3</v>
      </c>
      <c r="C35" s="13">
        <v>5.6800252445566787E-3</v>
      </c>
      <c r="D35" s="13">
        <v>2.9629629629629631E-2</v>
      </c>
      <c r="E35" s="13">
        <v>-2.4906600249066358E-3</v>
      </c>
      <c r="F35" s="13">
        <v>0.01</v>
      </c>
      <c r="H35" s="13">
        <f t="shared" si="0"/>
        <v>-1.2618759588599864E-2</v>
      </c>
      <c r="I35" s="13">
        <f t="shared" si="1"/>
        <v>-4.3199747554433215E-3</v>
      </c>
      <c r="J35" s="13">
        <f t="shared" si="2"/>
        <v>1.9629629629629629E-2</v>
      </c>
      <c r="K35" s="13">
        <f t="shared" si="3"/>
        <v>-1.2490660024906636E-2</v>
      </c>
    </row>
    <row r="36" spans="2:11" x14ac:dyDescent="0.2">
      <c r="B36" s="13">
        <v>1.1021607411468863E-2</v>
      </c>
      <c r="C36" s="13">
        <v>1.700898587933233E-2</v>
      </c>
      <c r="D36" s="13">
        <v>2.0408163265306034E-2</v>
      </c>
      <c r="E36" s="13">
        <v>7.2122922546253108E-3</v>
      </c>
      <c r="F36" s="13">
        <v>0.01</v>
      </c>
      <c r="H36" s="13">
        <f t="shared" si="0"/>
        <v>1.0216074114688632E-3</v>
      </c>
      <c r="I36" s="13">
        <f t="shared" si="1"/>
        <v>7.0089858793323297E-3</v>
      </c>
      <c r="J36" s="13">
        <f t="shared" si="2"/>
        <v>1.0408163265306034E-2</v>
      </c>
      <c r="K36" s="13">
        <f t="shared" si="3"/>
        <v>-2.7877077453746894E-3</v>
      </c>
    </row>
    <row r="37" spans="2:11" x14ac:dyDescent="0.2">
      <c r="B37" s="13">
        <v>-4.3561351245025151E-4</v>
      </c>
      <c r="C37" s="13">
        <v>6.2974325851769602E-3</v>
      </c>
      <c r="D37" s="13">
        <v>-1.268656716417902E-2</v>
      </c>
      <c r="E37" s="13">
        <v>-1.0242085661080111E-2</v>
      </c>
      <c r="F37" s="13">
        <v>0.01</v>
      </c>
      <c r="H37" s="13">
        <f t="shared" si="0"/>
        <v>-1.0435613512450252E-2</v>
      </c>
      <c r="I37" s="13">
        <f t="shared" si="1"/>
        <v>-3.70256741482304E-3</v>
      </c>
      <c r="J37" s="13">
        <f t="shared" si="2"/>
        <v>-2.2686567164179022E-2</v>
      </c>
      <c r="K37" s="13">
        <f t="shared" si="3"/>
        <v>-2.0242085661080111E-2</v>
      </c>
    </row>
    <row r="38" spans="2:11" x14ac:dyDescent="0.2">
      <c r="B38" s="13">
        <v>-2.0100784398050355E-3</v>
      </c>
      <c r="C38" s="13">
        <v>-2.0947470190139676E-3</v>
      </c>
      <c r="D38" s="13">
        <v>-1.4903129657227172E-3</v>
      </c>
      <c r="E38" s="13">
        <v>-2.1678538247134984E-3</v>
      </c>
      <c r="F38" s="13">
        <v>0.01</v>
      </c>
      <c r="H38" s="13">
        <f t="shared" si="0"/>
        <v>-1.2010078439805037E-2</v>
      </c>
      <c r="I38" s="13">
        <f t="shared" si="1"/>
        <v>-1.2094747019013967E-2</v>
      </c>
      <c r="J38" s="13">
        <f t="shared" si="2"/>
        <v>-1.1490312965722718E-2</v>
      </c>
      <c r="K38" s="13">
        <f t="shared" si="3"/>
        <v>-1.2167853824713498E-2</v>
      </c>
    </row>
    <row r="39" spans="2:11" x14ac:dyDescent="0.2">
      <c r="B39" s="13">
        <v>-8.4084251121742896E-3</v>
      </c>
      <c r="C39" s="13">
        <v>-5.448717948717912E-3</v>
      </c>
      <c r="D39" s="13">
        <v>2.989536621823447E-3</v>
      </c>
      <c r="E39" s="13">
        <v>-2.0327669902912758E-2</v>
      </c>
      <c r="F39" s="13">
        <v>0.01</v>
      </c>
      <c r="H39" s="13">
        <f t="shared" si="0"/>
        <v>-1.840842511217429E-2</v>
      </c>
      <c r="I39" s="13">
        <f t="shared" si="1"/>
        <v>-1.5448717948717912E-2</v>
      </c>
      <c r="J39" s="13">
        <f t="shared" si="2"/>
        <v>-7.0104633781765532E-3</v>
      </c>
      <c r="K39" s="13">
        <f t="shared" si="3"/>
        <v>-3.032766990291276E-2</v>
      </c>
    </row>
    <row r="40" spans="2:11" x14ac:dyDescent="0.2">
      <c r="B40" s="13">
        <v>-7.2887907233571197E-3</v>
      </c>
      <c r="C40" s="13">
        <v>-1.2189330378344222E-2</v>
      </c>
      <c r="D40" s="13">
        <v>6.7720090293454148E-3</v>
      </c>
      <c r="E40" s="13">
        <v>1.4778325123152743E-2</v>
      </c>
      <c r="F40" s="13">
        <v>0.01</v>
      </c>
      <c r="H40" s="13">
        <f t="shared" si="0"/>
        <v>-1.7288790723357119E-2</v>
      </c>
      <c r="I40" s="13">
        <f t="shared" si="1"/>
        <v>-2.2189330378344224E-2</v>
      </c>
      <c r="J40" s="13">
        <f t="shared" si="2"/>
        <v>-3.2279909706545854E-3</v>
      </c>
      <c r="K40" s="13">
        <f t="shared" si="3"/>
        <v>4.7783251231527431E-3</v>
      </c>
    </row>
    <row r="41" spans="2:11" x14ac:dyDescent="0.2">
      <c r="B41" s="13">
        <v>-7.3176747882807503E-3</v>
      </c>
      <c r="C41" s="13">
        <v>-1.2814502265978953E-2</v>
      </c>
      <c r="D41" s="13">
        <v>5.2950075642966502E-3</v>
      </c>
      <c r="E41" s="13">
        <v>7.1317829457364697E-3</v>
      </c>
      <c r="F41" s="13">
        <v>0.01</v>
      </c>
      <c r="H41" s="13">
        <f t="shared" si="0"/>
        <v>-1.7317674788280751E-2</v>
      </c>
      <c r="I41" s="13">
        <f t="shared" si="1"/>
        <v>-2.2814502265978955E-2</v>
      </c>
      <c r="J41" s="13">
        <f t="shared" si="2"/>
        <v>-4.70499243570335E-3</v>
      </c>
      <c r="K41" s="13">
        <f t="shared" si="3"/>
        <v>-2.8682170542635305E-3</v>
      </c>
    </row>
    <row r="42" spans="2:11" x14ac:dyDescent="0.2">
      <c r="B42" s="13">
        <v>9.3549257220495993E-2</v>
      </c>
      <c r="C42" s="13">
        <v>0.17262231995601965</v>
      </c>
      <c r="D42" s="13">
        <v>1.614142966948497E-2</v>
      </c>
      <c r="E42" s="13">
        <v>-1.3761467889908258E-2</v>
      </c>
      <c r="F42" s="13">
        <v>0.01</v>
      </c>
      <c r="H42" s="13">
        <f t="shared" si="0"/>
        <v>8.3549257220495998E-2</v>
      </c>
      <c r="I42" s="13">
        <f t="shared" si="1"/>
        <v>0.16262231995601964</v>
      </c>
      <c r="J42" s="13">
        <f t="shared" si="2"/>
        <v>6.1414296694849695E-3</v>
      </c>
      <c r="K42" s="13">
        <f t="shared" si="3"/>
        <v>-2.376146788990826E-2</v>
      </c>
    </row>
    <row r="43" spans="2:11" x14ac:dyDescent="0.2">
      <c r="B43" s="13">
        <v>1.5826462006850211E-2</v>
      </c>
      <c r="C43" s="13">
        <v>2.8070836473248102E-2</v>
      </c>
      <c r="D43" s="13">
        <v>-1.514004542013626E-2</v>
      </c>
      <c r="E43" s="13">
        <v>6.463527239150578E-3</v>
      </c>
      <c r="F43" s="13">
        <v>0.01</v>
      </c>
      <c r="H43" s="13">
        <f t="shared" si="0"/>
        <v>5.8264620068502106E-3</v>
      </c>
      <c r="I43" s="13">
        <f t="shared" si="1"/>
        <v>1.80708364732481E-2</v>
      </c>
      <c r="J43" s="13">
        <f t="shared" si="2"/>
        <v>-2.5140045420136259E-2</v>
      </c>
      <c r="K43" s="13">
        <f t="shared" si="3"/>
        <v>-3.5364727608494222E-3</v>
      </c>
    </row>
    <row r="44" spans="2:11" x14ac:dyDescent="0.2">
      <c r="B44" s="13">
        <v>-8.5074912208325769E-3</v>
      </c>
      <c r="C44" s="13">
        <v>-1.0993106018259905E-2</v>
      </c>
      <c r="D44" s="13">
        <v>1.4592933947772703E-2</v>
      </c>
      <c r="E44" s="13">
        <v>9.6333126165319017E-3</v>
      </c>
      <c r="F44" s="13">
        <v>0.01</v>
      </c>
      <c r="H44" s="13">
        <f t="shared" si="0"/>
        <v>-1.8507491220832575E-2</v>
      </c>
      <c r="I44" s="13">
        <f t="shared" si="1"/>
        <v>-2.0993106018259905E-2</v>
      </c>
      <c r="J44" s="13">
        <f t="shared" si="2"/>
        <v>4.5929339477727028E-3</v>
      </c>
      <c r="K44" s="13">
        <f t="shared" si="3"/>
        <v>-3.6668738346809851E-4</v>
      </c>
    </row>
    <row r="45" spans="2:11" x14ac:dyDescent="0.2">
      <c r="B45" s="13">
        <v>-8.3615210385048992E-3</v>
      </c>
      <c r="C45" s="13">
        <v>-1.3419117647058739E-2</v>
      </c>
      <c r="D45" s="13">
        <v>7.7399380804953569E-3</v>
      </c>
      <c r="E45" s="13">
        <v>1.2268008807801304E-2</v>
      </c>
      <c r="F45" s="13">
        <v>0.01</v>
      </c>
      <c r="H45" s="13">
        <f t="shared" si="0"/>
        <v>-1.8361521038504899E-2</v>
      </c>
      <c r="I45" s="13">
        <f t="shared" si="1"/>
        <v>-2.341911764705874E-2</v>
      </c>
      <c r="J45" s="13">
        <f t="shared" si="2"/>
        <v>-2.2600619195046433E-3</v>
      </c>
      <c r="K45" s="13">
        <f t="shared" si="3"/>
        <v>2.2680088078013035E-3</v>
      </c>
    </row>
    <row r="46" spans="2:11" x14ac:dyDescent="0.2">
      <c r="B46" s="13">
        <v>-1.3174607863409443E-2</v>
      </c>
      <c r="C46" s="13">
        <v>-1.1088892928558485E-2</v>
      </c>
      <c r="D46" s="13">
        <v>-2.7474595408355333E-2</v>
      </c>
      <c r="E46" s="13">
        <v>-5.9412132582865353E-3</v>
      </c>
      <c r="F46" s="13">
        <v>0.01</v>
      </c>
      <c r="H46" s="13">
        <f t="shared" si="0"/>
        <v>-2.3174607863409441E-2</v>
      </c>
      <c r="I46" s="13">
        <f t="shared" si="1"/>
        <v>-2.1088892928558485E-2</v>
      </c>
      <c r="J46" s="13">
        <f t="shared" si="2"/>
        <v>-3.7474595408355335E-2</v>
      </c>
      <c r="K46" s="13">
        <f t="shared" si="3"/>
        <v>-1.5941213258286534E-2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F2DC-961A-FF48-9083-5D07FBBD05A5}">
  <dimension ref="A1:U51"/>
  <sheetViews>
    <sheetView workbookViewId="0">
      <selection activeCell="U15" sqref="U15"/>
    </sheetView>
  </sheetViews>
  <sheetFormatPr baseColWidth="10" defaultRowHeight="16" x14ac:dyDescent="0.2"/>
  <sheetData>
    <row r="1" spans="1:21" x14ac:dyDescent="0.2">
      <c r="A1" s="1" t="s">
        <v>119</v>
      </c>
      <c r="B1" s="1" t="s">
        <v>66</v>
      </c>
      <c r="C1" s="49" t="s">
        <v>120</v>
      </c>
      <c r="D1" s="1" t="s">
        <v>67</v>
      </c>
      <c r="E1" s="1" t="s">
        <v>68</v>
      </c>
      <c r="F1" s="49" t="s">
        <v>121</v>
      </c>
      <c r="G1" s="49" t="s">
        <v>122</v>
      </c>
      <c r="H1" s="49" t="s">
        <v>123</v>
      </c>
      <c r="I1" s="1" t="s">
        <v>124</v>
      </c>
      <c r="J1" s="1"/>
      <c r="K1" s="1" t="s">
        <v>125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50">
        <v>45169</v>
      </c>
      <c r="B2" s="51">
        <v>2.1399999999999999E-2</v>
      </c>
      <c r="C2" s="51">
        <v>1.4E-3</v>
      </c>
      <c r="D2" s="51">
        <v>1.24E-2</v>
      </c>
      <c r="E2" s="51">
        <v>-2.8999999999999998E-3</v>
      </c>
      <c r="F2" s="1">
        <v>-0.12</v>
      </c>
      <c r="G2" s="1">
        <v>0.28000000000000003</v>
      </c>
      <c r="H2" s="1">
        <v>-7.0000000000000007E-2</v>
      </c>
      <c r="I2" s="1">
        <v>0.02</v>
      </c>
      <c r="J2" s="1"/>
      <c r="K2" s="52" cm="1">
        <f t="array" ref="K2:N2">LINEST($B$2:$B$24,$F$2:$H$24,TRUE)</f>
        <v>1.6833971498878868E-2</v>
      </c>
      <c r="L2" s="52">
        <v>-4.7082568343756979E-2</v>
      </c>
      <c r="M2" s="52">
        <v>9.1271507701732157E-3</v>
      </c>
      <c r="N2" s="52">
        <v>5.7986146149575811E-3</v>
      </c>
      <c r="O2" s="1"/>
      <c r="P2" s="1" t="s">
        <v>126</v>
      </c>
      <c r="Q2" s="1" t="s">
        <v>127</v>
      </c>
      <c r="R2" s="1"/>
      <c r="S2" s="1"/>
      <c r="T2" s="1"/>
      <c r="U2" s="1"/>
    </row>
    <row r="3" spans="1:21" x14ac:dyDescent="0.2">
      <c r="A3" s="50">
        <v>45168</v>
      </c>
      <c r="B3" s="51">
        <v>-1.09E-2</v>
      </c>
      <c r="C3" s="51">
        <v>-3.09E-2</v>
      </c>
      <c r="D3" s="51">
        <v>-1.8800000000000001E-2</v>
      </c>
      <c r="E3" s="51">
        <v>-1.2500000000000001E-2</v>
      </c>
      <c r="F3" s="1">
        <v>0.33</v>
      </c>
      <c r="G3" s="1">
        <v>-0.04</v>
      </c>
      <c r="H3" s="1">
        <v>-0.1</v>
      </c>
      <c r="I3" s="1">
        <v>0.02</v>
      </c>
      <c r="J3" s="1"/>
      <c r="K3" s="1"/>
      <c r="L3" s="1"/>
      <c r="M3" s="1"/>
      <c r="N3" s="1"/>
      <c r="O3" s="1"/>
      <c r="P3" s="1" cm="1">
        <f t="array" ref="P3:Q3">LINEST($C$2:$C$24,$F$2:$F$24,TRUE)</f>
        <v>1.2188371064256199E-2</v>
      </c>
      <c r="Q3" s="1">
        <v>-1.0423797911507009E-2</v>
      </c>
      <c r="R3" s="1"/>
      <c r="S3" s="1"/>
      <c r="T3" s="1"/>
      <c r="U3" s="1"/>
    </row>
    <row r="4" spans="1:21" x14ac:dyDescent="0.2">
      <c r="A4" s="50">
        <v>45167</v>
      </c>
      <c r="B4" s="51">
        <v>-5.4000000000000003E-3</v>
      </c>
      <c r="C4" s="51">
        <v>-2.5399999999999999E-2</v>
      </c>
      <c r="D4" s="51">
        <v>-1.8800000000000001E-2</v>
      </c>
      <c r="E4" s="51">
        <v>-4.7999999999999996E-3</v>
      </c>
      <c r="F4" s="1">
        <v>1.43</v>
      </c>
      <c r="G4" s="1">
        <v>-0.09</v>
      </c>
      <c r="H4" s="1">
        <v>-0.3</v>
      </c>
      <c r="I4" s="1">
        <v>0.02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50">
        <v>45166</v>
      </c>
      <c r="B5" s="51">
        <v>1.5E-3</v>
      </c>
      <c r="C5" s="51">
        <v>-1.8499999999999999E-2</v>
      </c>
      <c r="D5" s="51">
        <v>4.4999999999999997E-3</v>
      </c>
      <c r="E5" s="51">
        <v>-2.5000000000000001E-3</v>
      </c>
      <c r="F5" s="1">
        <v>0.78</v>
      </c>
      <c r="G5" s="1">
        <v>-0.16</v>
      </c>
      <c r="H5" s="1">
        <v>0.38</v>
      </c>
      <c r="I5" s="1">
        <v>0.02</v>
      </c>
      <c r="J5" s="1"/>
      <c r="K5" s="1" t="s">
        <v>128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50">
        <v>45163</v>
      </c>
      <c r="B6" s="51">
        <v>1.17E-2</v>
      </c>
      <c r="C6" s="51">
        <v>-8.3000000000000001E-3</v>
      </c>
      <c r="D6" s="51">
        <v>-1.4E-3</v>
      </c>
      <c r="E6" s="51">
        <v>1.8100000000000002E-2</v>
      </c>
      <c r="F6" s="1">
        <v>0.26</v>
      </c>
      <c r="G6" s="1">
        <v>-0.33</v>
      </c>
      <c r="H6" s="1">
        <v>-0.3</v>
      </c>
      <c r="I6" s="1">
        <v>0.02</v>
      </c>
      <c r="J6" s="1"/>
      <c r="K6" s="1" t="s">
        <v>129</v>
      </c>
      <c r="L6" s="1"/>
      <c r="M6" s="1" t="s">
        <v>130</v>
      </c>
      <c r="N6" s="1"/>
      <c r="O6" s="1" t="s">
        <v>131</v>
      </c>
      <c r="P6" s="1"/>
      <c r="Q6" s="1"/>
      <c r="R6" s="1"/>
      <c r="S6" s="1" t="s">
        <v>132</v>
      </c>
      <c r="T6" s="1"/>
      <c r="U6" s="1"/>
    </row>
    <row r="7" spans="1:21" x14ac:dyDescent="0.2">
      <c r="A7" s="50">
        <v>45162</v>
      </c>
      <c r="B7" s="51">
        <v>-1.0500000000000001E-2</v>
      </c>
      <c r="C7" s="51">
        <v>-3.0499999999999999E-2</v>
      </c>
      <c r="D7" s="51">
        <v>6.9999999999999999E-4</v>
      </c>
      <c r="E7" s="51">
        <v>-9.9000000000000008E-3</v>
      </c>
      <c r="F7" s="1">
        <v>-1.17</v>
      </c>
      <c r="G7" s="1">
        <v>0.11</v>
      </c>
      <c r="H7" s="1">
        <v>0.49</v>
      </c>
      <c r="I7" s="1">
        <v>0.02</v>
      </c>
      <c r="J7" s="1"/>
      <c r="K7" s="49">
        <v>1.25</v>
      </c>
      <c r="L7" s="49">
        <v>0.25</v>
      </c>
      <c r="M7" s="1">
        <v>1</v>
      </c>
      <c r="N7" s="1"/>
      <c r="O7" s="1" cm="1">
        <f t="array" ref="O7:Q9">MINVERSE($K$7:$M$9)</f>
        <v>-14.545454545454495</v>
      </c>
      <c r="P7" s="1">
        <v>23.636363636363555</v>
      </c>
      <c r="Q7" s="1">
        <v>-9.0909090909090597</v>
      </c>
      <c r="R7" s="1"/>
      <c r="S7" s="1">
        <v>0.16</v>
      </c>
      <c r="T7" s="1"/>
      <c r="U7" s="1"/>
    </row>
    <row r="8" spans="1:21" x14ac:dyDescent="0.2">
      <c r="A8" s="50">
        <v>45161</v>
      </c>
      <c r="B8" s="51">
        <v>-9.4000000000000004E-3</v>
      </c>
      <c r="C8" s="51">
        <v>-2.9399999999999999E-2</v>
      </c>
      <c r="D8" s="51">
        <v>2.0999999999999999E-3</v>
      </c>
      <c r="E8" s="51">
        <v>-2.8999999999999998E-3</v>
      </c>
      <c r="F8" s="1">
        <v>0.95</v>
      </c>
      <c r="G8" s="1">
        <v>-7.0000000000000007E-2</v>
      </c>
      <c r="H8" s="1">
        <v>-0.34</v>
      </c>
      <c r="I8" s="1">
        <v>0.02</v>
      </c>
      <c r="J8" s="1"/>
      <c r="K8" s="49">
        <v>1.1000000000000001</v>
      </c>
      <c r="L8" s="49">
        <v>0.5</v>
      </c>
      <c r="M8" s="1">
        <v>1</v>
      </c>
      <c r="N8" s="1"/>
      <c r="O8" s="1">
        <v>-12.727272727272689</v>
      </c>
      <c r="P8" s="1">
        <v>18.181818181818119</v>
      </c>
      <c r="Q8" s="1">
        <v>-5.454545454545431</v>
      </c>
      <c r="R8" s="1"/>
      <c r="S8" s="1">
        <v>0.15</v>
      </c>
      <c r="T8" s="1"/>
      <c r="U8" s="1"/>
    </row>
    <row r="9" spans="1:21" x14ac:dyDescent="0.2">
      <c r="A9" s="50">
        <v>45160</v>
      </c>
      <c r="B9" s="51">
        <v>2.6599999999999999E-2</v>
      </c>
      <c r="C9" s="51">
        <v>6.6E-3</v>
      </c>
      <c r="D9" s="51">
        <v>1.04E-2</v>
      </c>
      <c r="E9" s="51">
        <v>-9.4999999999999998E-3</v>
      </c>
      <c r="F9" s="1">
        <v>-0.08</v>
      </c>
      <c r="G9" s="1">
        <v>0.26</v>
      </c>
      <c r="H9" s="1">
        <v>-0.3</v>
      </c>
      <c r="I9" s="1">
        <v>0.02</v>
      </c>
      <c r="J9" s="1"/>
      <c r="K9" s="49">
        <v>0.75</v>
      </c>
      <c r="L9" s="49">
        <v>0.9</v>
      </c>
      <c r="M9" s="1">
        <v>1</v>
      </c>
      <c r="N9" s="1"/>
      <c r="O9" s="1">
        <v>22.363636363636292</v>
      </c>
      <c r="P9" s="1">
        <v>-34.090909090908973</v>
      </c>
      <c r="Q9" s="1">
        <v>12.727272727272682</v>
      </c>
      <c r="R9" s="1"/>
      <c r="S9" s="1">
        <v>0.125</v>
      </c>
      <c r="T9" s="1"/>
      <c r="U9" s="1"/>
    </row>
    <row r="10" spans="1:21" x14ac:dyDescent="0.2">
      <c r="A10" s="50">
        <v>45159</v>
      </c>
      <c r="B10" s="51">
        <v>7.0000000000000001E-3</v>
      </c>
      <c r="C10" s="51">
        <v>-1.2999999999999999E-2</v>
      </c>
      <c r="D10" s="51">
        <v>1.2E-2</v>
      </c>
      <c r="E10" s="51">
        <v>-1.09E-2</v>
      </c>
      <c r="F10" s="1">
        <v>0.41</v>
      </c>
      <c r="G10" s="1">
        <v>-0.5</v>
      </c>
      <c r="H10" s="1">
        <v>-0.64</v>
      </c>
      <c r="I10" s="1">
        <v>0.02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50">
        <v>45156</v>
      </c>
      <c r="B11" s="51">
        <v>8.0000000000000002E-3</v>
      </c>
      <c r="C11" s="51">
        <v>-1.2E-2</v>
      </c>
      <c r="D11" s="51">
        <v>3.27E-2</v>
      </c>
      <c r="E11" s="51">
        <v>8.9999999999999998E-4</v>
      </c>
      <c r="F11" s="1">
        <v>-0.17</v>
      </c>
      <c r="G11" s="1">
        <v>-0.16</v>
      </c>
      <c r="H11" s="1">
        <v>0.09</v>
      </c>
      <c r="I11" s="1">
        <v>0.02</v>
      </c>
      <c r="J11" s="1"/>
      <c r="K11" s="1" t="s">
        <v>133</v>
      </c>
      <c r="L11" s="1"/>
      <c r="M11" s="1"/>
      <c r="N11" s="1"/>
      <c r="O11" s="1" t="s">
        <v>134</v>
      </c>
      <c r="P11" s="1"/>
      <c r="Q11" s="1"/>
      <c r="R11" s="1"/>
      <c r="S11" s="49" t="s">
        <v>135</v>
      </c>
      <c r="T11" s="1"/>
      <c r="U11" s="1" t="s">
        <v>136</v>
      </c>
    </row>
    <row r="12" spans="1:21" x14ac:dyDescent="0.2">
      <c r="A12" s="50">
        <v>45155</v>
      </c>
      <c r="B12" s="51">
        <v>-1.8499999999999999E-2</v>
      </c>
      <c r="C12" s="51">
        <v>-3.85E-2</v>
      </c>
      <c r="D12" s="51">
        <v>-8.9999999999999993E-3</v>
      </c>
      <c r="E12" s="51">
        <v>-8.9999999999999998E-4</v>
      </c>
      <c r="F12" s="1">
        <v>-0.8</v>
      </c>
      <c r="G12" s="1">
        <v>-0.04</v>
      </c>
      <c r="H12" s="1">
        <v>0.56000000000000005</v>
      </c>
      <c r="I12" s="1">
        <v>0.02</v>
      </c>
      <c r="J12" s="1"/>
      <c r="K12" s="52">
        <v>0</v>
      </c>
      <c r="L12" s="52">
        <v>0</v>
      </c>
      <c r="M12" s="52">
        <v>1</v>
      </c>
      <c r="N12" s="1"/>
      <c r="O12" s="49" cm="1">
        <f t="array" ref="O12:Q12">MMULT(K12:M12,_xlfn.ANCHORARRAY(O7))</f>
        <v>22.363636363636292</v>
      </c>
      <c r="P12" s="49">
        <v>-34.090909090908973</v>
      </c>
      <c r="Q12" s="49">
        <v>12.727272727272682</v>
      </c>
      <c r="R12" s="1"/>
      <c r="S12" s="49" cm="1">
        <f t="array" ref="S12">MMULT(_xlfn.ANCHORARRAY(O12),S7:S9)</f>
        <v>5.5454545454546755E-2</v>
      </c>
      <c r="T12" s="1"/>
      <c r="U12" s="1"/>
    </row>
    <row r="13" spans="1:21" x14ac:dyDescent="0.2">
      <c r="A13" s="50">
        <v>45154</v>
      </c>
      <c r="B13" s="51">
        <v>5.7000000000000002E-3</v>
      </c>
      <c r="C13" s="51">
        <v>-1.43E-2</v>
      </c>
      <c r="D13" s="51">
        <v>2.9600000000000001E-2</v>
      </c>
      <c r="E13" s="51">
        <v>-2.5000000000000001E-3</v>
      </c>
      <c r="F13" s="1">
        <v>-0.78</v>
      </c>
      <c r="G13" s="1">
        <v>-0.25</v>
      </c>
      <c r="H13" s="1">
        <v>-0.01</v>
      </c>
      <c r="I13" s="1">
        <v>0.02</v>
      </c>
      <c r="J13" s="1"/>
      <c r="K13" s="1"/>
      <c r="L13" s="1"/>
      <c r="M13" s="1"/>
      <c r="N13" s="1"/>
      <c r="O13" s="1">
        <f>SUM(_xlfn.ANCHORARRAY(O12))</f>
        <v>1.0000000000000018</v>
      </c>
      <c r="P13" s="1"/>
      <c r="Q13" s="1"/>
      <c r="R13" s="1"/>
      <c r="S13" s="1"/>
      <c r="T13" s="1"/>
      <c r="U13" s="1"/>
    </row>
    <row r="14" spans="1:21" x14ac:dyDescent="0.2">
      <c r="A14" s="50">
        <v>45153</v>
      </c>
      <c r="B14" s="51">
        <v>1.7000000000000001E-2</v>
      </c>
      <c r="C14" s="51">
        <v>-3.0000000000000001E-3</v>
      </c>
      <c r="D14" s="51">
        <v>2.0400000000000001E-2</v>
      </c>
      <c r="E14" s="51">
        <v>7.1999999999999998E-3</v>
      </c>
      <c r="F14" s="1">
        <v>-1.04</v>
      </c>
      <c r="G14" s="1">
        <v>0.35</v>
      </c>
      <c r="H14" s="1">
        <v>-0.33</v>
      </c>
      <c r="I14" s="1">
        <v>0.02</v>
      </c>
      <c r="J14" s="1"/>
      <c r="K14" s="1" t="s">
        <v>137</v>
      </c>
      <c r="L14" s="1"/>
      <c r="M14" s="1"/>
      <c r="N14" s="1"/>
      <c r="O14" s="1" t="s">
        <v>138</v>
      </c>
      <c r="P14" s="1"/>
      <c r="Q14" s="1"/>
      <c r="R14" s="1"/>
      <c r="S14" s="1" t="s">
        <v>139</v>
      </c>
      <c r="T14" s="1"/>
      <c r="U14" s="1" t="s">
        <v>140</v>
      </c>
    </row>
    <row r="15" spans="1:21" x14ac:dyDescent="0.2">
      <c r="A15" s="50">
        <v>45152</v>
      </c>
      <c r="B15" s="51">
        <v>6.3E-3</v>
      </c>
      <c r="C15" s="51">
        <v>-1.37E-2</v>
      </c>
      <c r="D15" s="51">
        <v>-1.2699999999999999E-2</v>
      </c>
      <c r="E15" s="51">
        <v>-1.0200000000000001E-2</v>
      </c>
      <c r="F15" s="1">
        <v>0.08</v>
      </c>
      <c r="G15" s="1">
        <v>-0.54</v>
      </c>
      <c r="H15" s="1">
        <v>-0.57999999999999996</v>
      </c>
      <c r="I15" s="1">
        <v>0.02</v>
      </c>
      <c r="J15" s="1"/>
      <c r="K15" s="49">
        <v>1</v>
      </c>
      <c r="L15" s="49">
        <v>0</v>
      </c>
      <c r="M15" s="49">
        <v>1</v>
      </c>
      <c r="N15" s="1"/>
      <c r="O15" s="1" cm="1">
        <f t="array" ref="O15:Q15">MMULT(K15:M15,_xlfn.ANCHORARRAY(O7))</f>
        <v>7.818181818181797</v>
      </c>
      <c r="P15" s="1">
        <v>-10.454545454545418</v>
      </c>
      <c r="Q15" s="1">
        <v>3.6363636363636225</v>
      </c>
      <c r="R15" s="1"/>
      <c r="S15" s="52" cm="1">
        <f t="array" ref="S15">MMULT(_xlfn.ANCHORARRAY(O15),S7:S9)</f>
        <v>0.13727272727272788</v>
      </c>
      <c r="T15" s="1"/>
      <c r="U15" s="1">
        <f>S15-S12</f>
        <v>8.1818181818181124E-2</v>
      </c>
    </row>
    <row r="16" spans="1:21" x14ac:dyDescent="0.2">
      <c r="A16" s="50">
        <v>45149</v>
      </c>
      <c r="B16" s="51">
        <v>-2.0999999999999999E-3</v>
      </c>
      <c r="C16" s="51">
        <v>-2.2100000000000002E-2</v>
      </c>
      <c r="D16" s="51">
        <v>-1.5E-3</v>
      </c>
      <c r="E16" s="51">
        <v>-2.2000000000000001E-3</v>
      </c>
      <c r="F16" s="1">
        <v>-0.36</v>
      </c>
      <c r="G16" s="1">
        <v>0.06</v>
      </c>
      <c r="H16" s="1">
        <v>0.28000000000000003</v>
      </c>
      <c r="I16" s="1">
        <v>0.02</v>
      </c>
      <c r="J16" s="1"/>
      <c r="K16" s="1"/>
      <c r="L16" s="1"/>
      <c r="M16" s="1"/>
      <c r="N16" s="1"/>
      <c r="O16" s="1">
        <f>SUM(_xlfn.ANCHORARRAY(O15))</f>
        <v>1.0000000000000018</v>
      </c>
      <c r="P16" s="1"/>
      <c r="Q16" s="1"/>
      <c r="R16" s="1"/>
      <c r="S16" s="1"/>
      <c r="T16" s="1"/>
      <c r="U16" s="1"/>
    </row>
    <row r="17" spans="1:21" x14ac:dyDescent="0.2">
      <c r="A17" s="50">
        <v>45148</v>
      </c>
      <c r="B17" s="51">
        <v>-5.4000000000000003E-3</v>
      </c>
      <c r="C17" s="51">
        <v>-2.5399999999999999E-2</v>
      </c>
      <c r="D17" s="51">
        <v>3.0000000000000001E-3</v>
      </c>
      <c r="E17" s="51">
        <v>-2.0299999999999999E-2</v>
      </c>
      <c r="F17" s="1">
        <v>0.18</v>
      </c>
      <c r="G17" s="1">
        <v>-0.26</v>
      </c>
      <c r="H17" s="1">
        <v>-0.16</v>
      </c>
      <c r="I17" s="1">
        <v>0.02</v>
      </c>
      <c r="J17" s="1"/>
      <c r="K17" s="1" t="s">
        <v>141</v>
      </c>
      <c r="L17" s="1"/>
      <c r="M17" s="1"/>
      <c r="N17" s="1"/>
      <c r="O17" s="1" t="s">
        <v>142</v>
      </c>
      <c r="P17" s="1"/>
      <c r="Q17" s="1"/>
      <c r="R17" s="1"/>
      <c r="S17" s="1" t="s">
        <v>143</v>
      </c>
      <c r="T17" s="1"/>
      <c r="U17" s="1" t="s">
        <v>144</v>
      </c>
    </row>
    <row r="18" spans="1:21" x14ac:dyDescent="0.2">
      <c r="A18" s="50">
        <v>45147</v>
      </c>
      <c r="B18" s="51">
        <v>-1.2200000000000001E-2</v>
      </c>
      <c r="C18" s="51">
        <v>-3.2199999999999999E-2</v>
      </c>
      <c r="D18" s="51">
        <v>6.7999999999999996E-3</v>
      </c>
      <c r="E18" s="51">
        <v>1.4800000000000001E-2</v>
      </c>
      <c r="F18" s="1">
        <v>-0.4</v>
      </c>
      <c r="G18" s="1">
        <v>0.19</v>
      </c>
      <c r="H18" s="1">
        <v>0.01</v>
      </c>
      <c r="I18" s="1">
        <v>0.02</v>
      </c>
      <c r="J18" s="1"/>
      <c r="K18" s="1">
        <v>0</v>
      </c>
      <c r="L18" s="1">
        <v>1</v>
      </c>
      <c r="M18" s="1">
        <v>1</v>
      </c>
      <c r="N18" s="1"/>
      <c r="O18" s="1" cm="1">
        <f t="array" ref="O18:Q18">MMULT(K18:M18,_xlfn.ANCHORARRAY(O7))</f>
        <v>9.6363636363636029</v>
      </c>
      <c r="P18" s="1">
        <v>-15.909090909090853</v>
      </c>
      <c r="Q18" s="1">
        <v>7.2727272727272512</v>
      </c>
      <c r="R18" s="1"/>
      <c r="S18" s="52" cm="1">
        <f t="array" ref="S18">MMULT(_xlfn.ANCHORARRAY(O18),S7:S9)</f>
        <v>6.4545454545455017E-2</v>
      </c>
      <c r="T18" s="1"/>
      <c r="U18" s="1">
        <f>S18-S12</f>
        <v>9.0909090909082613E-3</v>
      </c>
    </row>
    <row r="19" spans="1:21" x14ac:dyDescent="0.2">
      <c r="A19" s="50">
        <v>45146</v>
      </c>
      <c r="B19" s="51">
        <v>-1.2800000000000001E-2</v>
      </c>
      <c r="C19" s="51">
        <v>-3.2800000000000003E-2</v>
      </c>
      <c r="D19" s="51">
        <v>5.3E-3</v>
      </c>
      <c r="E19" s="51">
        <v>7.1000000000000004E-3</v>
      </c>
      <c r="F19" s="1">
        <v>-0.56000000000000005</v>
      </c>
      <c r="G19" s="1">
        <v>-0.18</v>
      </c>
      <c r="H19" s="1">
        <v>0.03</v>
      </c>
      <c r="I19" s="1">
        <v>0.02</v>
      </c>
      <c r="J19" s="1"/>
      <c r="K19" s="1"/>
      <c r="L19" s="1"/>
      <c r="M19" s="1"/>
      <c r="N19" s="1"/>
      <c r="O19" s="1">
        <f>SUM(_xlfn.ANCHORARRAY(O18))</f>
        <v>1.0000000000000009</v>
      </c>
      <c r="P19" s="1"/>
      <c r="Q19" s="1"/>
      <c r="R19" s="1"/>
      <c r="S19" s="1"/>
      <c r="T19" s="1"/>
      <c r="U19" s="1"/>
    </row>
    <row r="20" spans="1:21" x14ac:dyDescent="0.2">
      <c r="A20" s="50">
        <v>45145</v>
      </c>
      <c r="B20" s="51">
        <v>0.1726</v>
      </c>
      <c r="C20" s="51">
        <v>0.15260000000000001</v>
      </c>
      <c r="D20" s="51">
        <v>1.61E-2</v>
      </c>
      <c r="E20" s="51">
        <v>-1.38E-2</v>
      </c>
      <c r="F20" s="1">
        <v>0.48</v>
      </c>
      <c r="G20" s="1">
        <v>-0.69</v>
      </c>
      <c r="H20" s="1">
        <v>0.15</v>
      </c>
      <c r="I20" s="1">
        <v>0.02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50">
        <v>45142</v>
      </c>
      <c r="B21" s="51">
        <v>2.81E-2</v>
      </c>
      <c r="C21" s="51">
        <v>8.0999999999999996E-3</v>
      </c>
      <c r="D21" s="51">
        <v>-1.5100000000000001E-2</v>
      </c>
      <c r="E21" s="51">
        <v>6.4999999999999997E-3</v>
      </c>
      <c r="F21" s="1">
        <v>-0.06</v>
      </c>
      <c r="G21" s="1">
        <v>0.39</v>
      </c>
      <c r="H21" s="1">
        <v>0.21</v>
      </c>
      <c r="I21" s="1">
        <v>0.02</v>
      </c>
      <c r="J21" s="1"/>
      <c r="K21" s="1" t="s">
        <v>90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50">
        <v>45141</v>
      </c>
      <c r="B22" s="51">
        <v>-1.0999999999999999E-2</v>
      </c>
      <c r="C22" s="51">
        <v>-3.1E-2</v>
      </c>
      <c r="D22" s="51">
        <v>1.46E-2</v>
      </c>
      <c r="E22" s="51">
        <v>9.5999999999999992E-3</v>
      </c>
      <c r="F22" s="1">
        <v>-0.33</v>
      </c>
      <c r="G22" s="1">
        <v>-0.02</v>
      </c>
      <c r="H22" s="1">
        <v>0.16</v>
      </c>
      <c r="I22" s="1">
        <v>0.02</v>
      </c>
      <c r="J22" s="1"/>
      <c r="K22" s="49" t="s">
        <v>129</v>
      </c>
      <c r="L22" s="49"/>
      <c r="M22" s="49" t="s">
        <v>130</v>
      </c>
      <c r="N22" s="1"/>
      <c r="O22" s="1" t="s">
        <v>127</v>
      </c>
      <c r="P22" s="1"/>
      <c r="Q22" s="1"/>
      <c r="R22" s="1"/>
      <c r="S22" s="1"/>
      <c r="T22" s="1"/>
      <c r="U22" s="1"/>
    </row>
    <row r="23" spans="1:21" x14ac:dyDescent="0.2">
      <c r="A23" s="50">
        <v>45140</v>
      </c>
      <c r="B23" s="51">
        <v>-1.34E-2</v>
      </c>
      <c r="C23" s="51">
        <v>-3.3399999999999999E-2</v>
      </c>
      <c r="D23" s="51">
        <v>7.7000000000000002E-3</v>
      </c>
      <c r="E23" s="51">
        <v>1.23E-2</v>
      </c>
      <c r="F23" s="1">
        <v>-1.58</v>
      </c>
      <c r="G23" s="1">
        <v>0</v>
      </c>
      <c r="H23" s="1">
        <v>0.37</v>
      </c>
      <c r="I23" s="1">
        <v>0.02</v>
      </c>
      <c r="J23" s="1"/>
      <c r="K23" s="49">
        <v>2</v>
      </c>
      <c r="L23" s="49">
        <v>2</v>
      </c>
      <c r="M23" s="49">
        <v>1</v>
      </c>
      <c r="N23" s="1"/>
      <c r="O23" s="49">
        <v>0.06</v>
      </c>
      <c r="P23" s="1"/>
      <c r="Q23" s="1"/>
      <c r="R23" s="1"/>
      <c r="S23" s="1"/>
      <c r="T23" s="1"/>
      <c r="U23" s="1"/>
    </row>
    <row r="24" spans="1:21" x14ac:dyDescent="0.2">
      <c r="A24" s="50">
        <v>45139</v>
      </c>
      <c r="B24" s="51">
        <v>-1.11E-2</v>
      </c>
      <c r="C24" s="51">
        <v>-3.1099999999999999E-2</v>
      </c>
      <c r="D24" s="51">
        <v>-2.75E-2</v>
      </c>
      <c r="E24" s="51">
        <v>-5.8999999999999999E-3</v>
      </c>
      <c r="F24" s="1">
        <v>-0.49</v>
      </c>
      <c r="G24" s="1">
        <v>-0.09</v>
      </c>
      <c r="H24" s="1">
        <v>0.03</v>
      </c>
      <c r="I24" s="1">
        <v>0.02</v>
      </c>
      <c r="J24" s="1"/>
      <c r="K24" s="49">
        <v>3</v>
      </c>
      <c r="L24" s="49">
        <v>1</v>
      </c>
      <c r="M24" s="49">
        <v>1</v>
      </c>
      <c r="N24" s="1"/>
      <c r="O24" s="49">
        <v>0.05</v>
      </c>
      <c r="P24" s="1"/>
      <c r="Q24" s="1"/>
      <c r="R24" s="1"/>
      <c r="S24" s="1"/>
      <c r="T24" s="1"/>
      <c r="U24" s="1"/>
    </row>
    <row r="25" spans="1:21" x14ac:dyDescent="0.2">
      <c r="A25" s="50"/>
      <c r="B25" s="1"/>
      <c r="C25" s="1"/>
      <c r="D25" s="1"/>
      <c r="E25" s="1"/>
      <c r="F25" s="1"/>
      <c r="G25" s="1"/>
      <c r="H25" s="1"/>
      <c r="I25" s="1"/>
      <c r="J25" s="1"/>
      <c r="K25" s="49">
        <v>3</v>
      </c>
      <c r="L25" s="49">
        <v>0</v>
      </c>
      <c r="M25" s="49">
        <v>1</v>
      </c>
      <c r="N25" s="1"/>
      <c r="O25" s="49">
        <v>0.04</v>
      </c>
      <c r="P25" s="1"/>
      <c r="Q25" s="1"/>
      <c r="R25" s="1"/>
      <c r="S25" s="1"/>
      <c r="T25" s="1"/>
      <c r="U25" s="1"/>
    </row>
    <row r="26" spans="1:2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131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 cm="1">
        <f t="array" ref="K28:M30">MINVERSE(K23:M25)</f>
        <v>-0.99999999999999989</v>
      </c>
      <c r="L28" s="1">
        <v>2</v>
      </c>
      <c r="M28" s="1">
        <v>-1</v>
      </c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>
        <v>0</v>
      </c>
      <c r="L29" s="1">
        <v>1</v>
      </c>
      <c r="M29" s="1">
        <v>-1</v>
      </c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>
        <v>2.9999999999999996</v>
      </c>
      <c r="L30" s="1">
        <v>-6</v>
      </c>
      <c r="M30" s="1">
        <v>4</v>
      </c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137</v>
      </c>
      <c r="L32" s="1"/>
      <c r="M32" s="1"/>
      <c r="N32" s="1"/>
      <c r="O32" s="1" t="s">
        <v>145</v>
      </c>
      <c r="P32" s="1"/>
      <c r="Q32" s="1"/>
      <c r="R32" s="1"/>
      <c r="S32" s="1" t="s">
        <v>146</v>
      </c>
      <c r="T32" s="1" t="s">
        <v>147</v>
      </c>
      <c r="U32" s="1"/>
    </row>
    <row r="33" spans="1:2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>
        <v>1</v>
      </c>
      <c r="L33" s="1">
        <v>0</v>
      </c>
      <c r="M33" s="1">
        <v>1</v>
      </c>
      <c r="N33" s="1"/>
      <c r="O33" s="52" cm="1">
        <f t="array" ref="O33:Q33">MMULT(K33:M33,_xlfn.ANCHORARRAY(K28))</f>
        <v>1.9999999999999996</v>
      </c>
      <c r="P33" s="52">
        <v>-4</v>
      </c>
      <c r="Q33" s="52">
        <v>3</v>
      </c>
      <c r="R33" s="1"/>
      <c r="S33" s="52" cm="1">
        <f t="array" ref="S33">MMULT(_xlfn.ANCHORARRAY(O33),O23:O25)</f>
        <v>3.9999999999999952E-2</v>
      </c>
      <c r="T33" s="1">
        <f>S33-S39</f>
        <v>0</v>
      </c>
      <c r="U33" s="1"/>
    </row>
    <row r="34" spans="1:2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141</v>
      </c>
      <c r="L35" s="1"/>
      <c r="M35" s="1"/>
      <c r="N35" s="1"/>
      <c r="O35" s="1" t="s">
        <v>148</v>
      </c>
      <c r="P35" s="1"/>
      <c r="Q35" s="1"/>
      <c r="R35" s="1"/>
      <c r="S35" s="1"/>
      <c r="T35" s="1"/>
      <c r="U35" s="1"/>
    </row>
    <row r="36" spans="1:2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>
        <v>0</v>
      </c>
      <c r="L36" s="1">
        <v>1</v>
      </c>
      <c r="M36" s="1">
        <v>1</v>
      </c>
      <c r="N36" s="1"/>
      <c r="O36" s="52" cm="1">
        <f t="array" ref="O36:Q36">MMULT(K36:M36,_xlfn.ANCHORARRAY(K28))</f>
        <v>2.9999999999999996</v>
      </c>
      <c r="P36" s="52">
        <v>-5</v>
      </c>
      <c r="Q36" s="52">
        <v>3</v>
      </c>
      <c r="R36" s="1"/>
      <c r="S36" s="1" cm="1">
        <f t="array" ref="S36">MMULT(_xlfn.ANCHORARRAY(O36),O23:O25)</f>
        <v>4.9999999999999961E-2</v>
      </c>
      <c r="T36" s="1">
        <f>S36-S39</f>
        <v>1.0000000000000037E-2</v>
      </c>
      <c r="U36" s="1"/>
    </row>
    <row r="37" spans="1:2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133</v>
      </c>
      <c r="L38" s="1"/>
      <c r="M38" s="1"/>
      <c r="N38" s="1"/>
      <c r="O38" s="1" t="s">
        <v>149</v>
      </c>
      <c r="P38" s="1"/>
      <c r="Q38" s="1"/>
      <c r="R38" s="1"/>
      <c r="S38" s="1"/>
      <c r="T38" s="1"/>
      <c r="U38" s="1"/>
    </row>
    <row r="39" spans="1:2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52">
        <v>0</v>
      </c>
      <c r="L39" s="52">
        <v>0</v>
      </c>
      <c r="M39" s="52">
        <v>1</v>
      </c>
      <c r="N39" s="1"/>
      <c r="O39" s="1" cm="1">
        <f t="array" ref="O39:Q39">MMULT(K39:M39,_xlfn.ANCHORARRAY(K28))</f>
        <v>2.9999999999999996</v>
      </c>
      <c r="P39" s="1">
        <v>-6</v>
      </c>
      <c r="Q39" s="1">
        <v>4</v>
      </c>
      <c r="R39" s="1"/>
      <c r="S39" s="52" cm="1">
        <f t="array" ref="S39">MMULT(_xlfn.ANCHORARRAY(O39),O23:O25)</f>
        <v>3.9999999999999925E-2</v>
      </c>
      <c r="T39" s="1"/>
      <c r="U39" s="1"/>
    </row>
    <row r="40" spans="1:2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57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150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129</v>
      </c>
      <c r="L44" s="1"/>
      <c r="M44" s="1" t="s">
        <v>130</v>
      </c>
      <c r="N44" s="1"/>
      <c r="O44" s="1"/>
      <c r="P44" s="1" t="s">
        <v>127</v>
      </c>
      <c r="Q44" s="1"/>
      <c r="R44" s="1" t="s">
        <v>151</v>
      </c>
      <c r="S44" s="1"/>
      <c r="T44" s="1"/>
      <c r="U44" s="1"/>
    </row>
    <row r="45" spans="1:2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49">
        <v>3</v>
      </c>
      <c r="L45" s="49">
        <v>1</v>
      </c>
      <c r="M45" s="1">
        <v>1</v>
      </c>
      <c r="N45" s="1"/>
      <c r="O45" s="1"/>
      <c r="P45" s="49">
        <v>0.05</v>
      </c>
      <c r="Q45" s="1"/>
      <c r="R45" s="1" cm="1">
        <f t="array" ref="R45:T47">MINVERSE(K45:M47)</f>
        <v>0</v>
      </c>
      <c r="S45" s="1">
        <v>0.5</v>
      </c>
      <c r="T45" s="1">
        <v>-0.49999999999999994</v>
      </c>
      <c r="U45" s="1"/>
    </row>
    <row r="46" spans="1:2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49">
        <v>3</v>
      </c>
      <c r="L46" s="49">
        <v>0</v>
      </c>
      <c r="M46" s="1">
        <v>1</v>
      </c>
      <c r="N46" s="1"/>
      <c r="O46" s="1"/>
      <c r="P46" s="49">
        <v>0.04</v>
      </c>
      <c r="Q46" s="1"/>
      <c r="R46" s="1">
        <v>1</v>
      </c>
      <c r="S46" s="1">
        <v>-1</v>
      </c>
      <c r="T46" s="1">
        <v>0</v>
      </c>
      <c r="U46" s="1"/>
    </row>
    <row r="47" spans="1:2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49">
        <v>1</v>
      </c>
      <c r="L47" s="49">
        <v>0</v>
      </c>
      <c r="M47" s="1">
        <v>1</v>
      </c>
      <c r="N47" s="1"/>
      <c r="O47" s="1"/>
      <c r="P47" s="49">
        <v>0.08</v>
      </c>
      <c r="Q47" s="1"/>
      <c r="R47" s="1">
        <v>0</v>
      </c>
      <c r="S47" s="1">
        <v>-0.49999999999999994</v>
      </c>
      <c r="T47" s="1">
        <v>1.4999999999999998</v>
      </c>
      <c r="U47" s="1"/>
    </row>
    <row r="48" spans="1:2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133</v>
      </c>
      <c r="L50" s="1"/>
      <c r="M50" s="1"/>
      <c r="N50" s="1"/>
      <c r="O50" s="1"/>
      <c r="P50" s="1" t="s">
        <v>152</v>
      </c>
      <c r="Q50" s="1"/>
      <c r="R50" s="1"/>
      <c r="S50" s="1"/>
      <c r="T50" s="1" t="s">
        <v>153</v>
      </c>
      <c r="U50" s="1"/>
    </row>
    <row r="51" spans="1:2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52">
        <v>0</v>
      </c>
      <c r="L51" s="52">
        <v>0</v>
      </c>
      <c r="M51" s="52">
        <v>1</v>
      </c>
      <c r="N51" s="52"/>
      <c r="O51" s="1"/>
      <c r="P51" s="1" cm="1">
        <f t="array" ref="P51:R51">MMULT(K51:M51,_xlfn.ANCHORARRAY(R45))</f>
        <v>0</v>
      </c>
      <c r="Q51" s="1">
        <v>-0.49999999999999994</v>
      </c>
      <c r="R51" s="1">
        <v>1.4999999999999998</v>
      </c>
      <c r="S51" s="1"/>
      <c r="T51" s="49" cm="1">
        <f t="array" ref="T51">MMULT(_xlfn.ANCHORARRAY(P51),P45:P47)</f>
        <v>9.9999999999999978E-2</v>
      </c>
      <c r="U51" s="1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99A5-7A53-3648-868B-C1CFFE8B3029}">
  <dimension ref="A1:R51"/>
  <sheetViews>
    <sheetView tabSelected="1" topLeftCell="A20" workbookViewId="0">
      <selection activeCell="G34" sqref="G34"/>
    </sheetView>
  </sheetViews>
  <sheetFormatPr baseColWidth="10" defaultColWidth="8.83203125" defaultRowHeight="16" x14ac:dyDescent="0.2"/>
  <cols>
    <col min="1" max="1" width="13.33203125" customWidth="1"/>
    <col min="10" max="10" width="12.83203125" bestFit="1" customWidth="1"/>
    <col min="15" max="15" width="9.6640625" bestFit="1" customWidth="1"/>
  </cols>
  <sheetData>
    <row r="1" spans="1:18" x14ac:dyDescent="0.2">
      <c r="A1" s="53" t="s">
        <v>47</v>
      </c>
      <c r="L1" t="s">
        <v>87</v>
      </c>
      <c r="N1" t="s">
        <v>57</v>
      </c>
    </row>
    <row r="2" spans="1:18" x14ac:dyDescent="0.2">
      <c r="A2" t="s">
        <v>155</v>
      </c>
      <c r="B2" t="s">
        <v>156</v>
      </c>
      <c r="C2" t="s">
        <v>184</v>
      </c>
      <c r="F2" t="s">
        <v>157</v>
      </c>
      <c r="H2" t="s">
        <v>158</v>
      </c>
      <c r="L2" t="s">
        <v>94</v>
      </c>
      <c r="N2" t="s">
        <v>159</v>
      </c>
      <c r="O2" t="s">
        <v>185</v>
      </c>
      <c r="P2" t="s">
        <v>83</v>
      </c>
      <c r="Q2" t="s">
        <v>160</v>
      </c>
    </row>
    <row r="3" spans="1:18" x14ac:dyDescent="0.2">
      <c r="B3">
        <v>0</v>
      </c>
      <c r="C3">
        <v>0</v>
      </c>
      <c r="D3">
        <v>45</v>
      </c>
      <c r="F3">
        <v>20</v>
      </c>
      <c r="H3" cm="1">
        <f t="array" ref="H3:J5">MINVERSE(B3:D5)</f>
        <v>2.2222222222222223E-2</v>
      </c>
      <c r="I3">
        <v>-0.59999999999999942</v>
      </c>
      <c r="J3">
        <v>0.33333333333333298</v>
      </c>
      <c r="L3" s="48" cm="1">
        <f t="array" ref="L3:L5">MMULT(_xlfn.ANCHORARRAY(H3),F3:F5)</f>
        <v>0.41111111111110965</v>
      </c>
      <c r="N3">
        <f>SUM(_xlfn.ANCHORARRAY(L3))</f>
        <v>0.9750000000000012</v>
      </c>
      <c r="O3" s="54">
        <f>1/N3-1</f>
        <v>2.564102564102444E-2</v>
      </c>
      <c r="P3" s="48">
        <f>L3/$N$3</f>
        <v>0.42165242165241962</v>
      </c>
      <c r="R3" t="s">
        <v>161</v>
      </c>
    </row>
    <row r="4" spans="1:18" x14ac:dyDescent="0.2">
      <c r="B4">
        <v>20</v>
      </c>
      <c r="C4">
        <v>20</v>
      </c>
      <c r="D4">
        <v>20</v>
      </c>
      <c r="F4">
        <v>19.5</v>
      </c>
      <c r="H4">
        <v>-4.4444444444444446E-2</v>
      </c>
      <c r="I4">
        <v>0.64999999999999936</v>
      </c>
      <c r="J4">
        <v>-0.33333333333333293</v>
      </c>
      <c r="L4" s="48">
        <v>0.11944444444444713</v>
      </c>
      <c r="P4" s="48">
        <f t="shared" ref="P4:P5" si="0">L4/$N$3</f>
        <v>0.12250712250712512</v>
      </c>
      <c r="R4" s="55">
        <f>B4/F4-1</f>
        <v>2.564102564102555E-2</v>
      </c>
    </row>
    <row r="5" spans="1:18" x14ac:dyDescent="0.2">
      <c r="B5">
        <v>39</v>
      </c>
      <c r="C5">
        <v>36</v>
      </c>
      <c r="D5">
        <v>33</v>
      </c>
      <c r="F5">
        <v>35</v>
      </c>
      <c r="H5">
        <v>2.2222222222222223E-2</v>
      </c>
      <c r="I5">
        <v>0</v>
      </c>
      <c r="J5">
        <v>0</v>
      </c>
      <c r="L5" s="48">
        <v>0.44444444444444448</v>
      </c>
      <c r="P5" s="48">
        <f t="shared" si="0"/>
        <v>0.45584045584045529</v>
      </c>
    </row>
    <row r="6" spans="1:18" x14ac:dyDescent="0.2">
      <c r="G6" t="s">
        <v>186</v>
      </c>
      <c r="L6" s="48"/>
      <c r="P6" s="48"/>
    </row>
    <row r="7" spans="1:18" x14ac:dyDescent="0.2">
      <c r="A7" t="s">
        <v>162</v>
      </c>
      <c r="C7" t="s">
        <v>163</v>
      </c>
      <c r="F7">
        <f>100/F3</f>
        <v>5</v>
      </c>
      <c r="G7">
        <f>100/F4</f>
        <v>5.1282051282051286</v>
      </c>
      <c r="H7">
        <f>100/F5</f>
        <v>2.8571428571428572</v>
      </c>
      <c r="L7" s="48"/>
      <c r="P7" s="48"/>
    </row>
    <row r="8" spans="1:18" x14ac:dyDescent="0.2">
      <c r="A8" s="55" t="s">
        <v>164</v>
      </c>
      <c r="B8" s="48" cm="1">
        <f t="array" ref="B8:D8">MMULT(F7:H7,B3:D5)</f>
        <v>213.99267399267399</v>
      </c>
      <c r="C8" s="48">
        <v>205.42124542124543</v>
      </c>
      <c r="D8" s="48">
        <v>421.84981684981682</v>
      </c>
      <c r="F8" s="48"/>
      <c r="L8" s="48"/>
      <c r="P8" s="48"/>
    </row>
    <row r="9" spans="1:18" x14ac:dyDescent="0.2">
      <c r="B9" s="48"/>
      <c r="C9" s="48"/>
      <c r="D9" s="48"/>
      <c r="F9" s="48"/>
      <c r="L9" s="48"/>
      <c r="P9" s="48"/>
    </row>
    <row r="10" spans="1:18" x14ac:dyDescent="0.2">
      <c r="A10" t="s">
        <v>165</v>
      </c>
      <c r="B10" s="48">
        <f>SUM(B3:B5)</f>
        <v>59</v>
      </c>
      <c r="C10" s="48">
        <f t="shared" ref="C10:D10" si="1">SUM(C3:C5)</f>
        <v>56</v>
      </c>
      <c r="D10" s="48">
        <f t="shared" si="1"/>
        <v>98</v>
      </c>
      <c r="E10" t="s">
        <v>166</v>
      </c>
      <c r="F10" s="48">
        <f>SUM(F3:F5)</f>
        <v>74.5</v>
      </c>
    </row>
    <row r="11" spans="1:18" x14ac:dyDescent="0.2">
      <c r="B11" s="48"/>
      <c r="C11" s="48"/>
      <c r="D11" s="48"/>
      <c r="F11" s="48"/>
    </row>
    <row r="12" spans="1:18" x14ac:dyDescent="0.2">
      <c r="I12" t="s">
        <v>184</v>
      </c>
    </row>
    <row r="13" spans="1:18" x14ac:dyDescent="0.2">
      <c r="A13" t="s">
        <v>167</v>
      </c>
      <c r="B13" t="s">
        <v>156</v>
      </c>
      <c r="F13" t="s">
        <v>187</v>
      </c>
      <c r="H13" t="s">
        <v>158</v>
      </c>
      <c r="L13" t="s">
        <v>94</v>
      </c>
    </row>
    <row r="14" spans="1:18" x14ac:dyDescent="0.2">
      <c r="B14">
        <v>6</v>
      </c>
      <c r="C14">
        <v>6</v>
      </c>
      <c r="D14">
        <v>106</v>
      </c>
      <c r="F14">
        <v>77</v>
      </c>
      <c r="H14" cm="1">
        <f t="array" ref="H14:J16">MINVERSE(B14:D16)</f>
        <v>1.0000000000000002E-2</v>
      </c>
      <c r="I14">
        <v>-0.17166666666666669</v>
      </c>
      <c r="J14">
        <v>0.1</v>
      </c>
      <c r="L14" s="48" cm="1">
        <f t="array" ref="L14:L16">MMULT(_xlfn.ANCHORARRAY(H14),F14:F16)</f>
        <v>0.29583333333333339</v>
      </c>
    </row>
    <row r="15" spans="1:18" x14ac:dyDescent="0.2">
      <c r="B15">
        <v>12</v>
      </c>
      <c r="C15">
        <v>12</v>
      </c>
      <c r="D15">
        <v>12</v>
      </c>
      <c r="F15">
        <v>11.5</v>
      </c>
      <c r="H15">
        <v>-0.02</v>
      </c>
      <c r="I15">
        <v>0.26</v>
      </c>
      <c r="J15">
        <v>-0.1</v>
      </c>
      <c r="L15" s="54">
        <v>-4.9999999999999822E-2</v>
      </c>
      <c r="M15" s="48" t="s">
        <v>192</v>
      </c>
    </row>
    <row r="16" spans="1:18" x14ac:dyDescent="0.2">
      <c r="B16">
        <v>30</v>
      </c>
      <c r="C16">
        <v>20</v>
      </c>
      <c r="D16">
        <v>10</v>
      </c>
      <c r="F16">
        <v>15</v>
      </c>
      <c r="H16">
        <v>0.01</v>
      </c>
      <c r="I16">
        <v>-5.0000000000000001E-3</v>
      </c>
      <c r="J16">
        <v>0</v>
      </c>
      <c r="L16" s="48">
        <v>0.71250000000000002</v>
      </c>
    </row>
    <row r="17" spans="1:18" x14ac:dyDescent="0.2">
      <c r="L17" s="48"/>
    </row>
    <row r="18" spans="1:18" x14ac:dyDescent="0.2">
      <c r="A18" t="s">
        <v>162</v>
      </c>
      <c r="C18" t="s">
        <v>168</v>
      </c>
      <c r="E18">
        <f>100/F14</f>
        <v>1.2987012987012987</v>
      </c>
      <c r="F18">
        <f>100/F15</f>
        <v>8.695652173913043</v>
      </c>
      <c r="G18">
        <f>100/F16</f>
        <v>6.666666666666667</v>
      </c>
      <c r="L18" s="48"/>
      <c r="P18" s="48"/>
    </row>
    <row r="19" spans="1:18" x14ac:dyDescent="0.2">
      <c r="A19" t="s">
        <v>169</v>
      </c>
      <c r="B19" s="48" cm="1">
        <f t="array" ref="B19:D19">MMULT(E18:G18,B14:D16)</f>
        <v>312.14003387916432</v>
      </c>
      <c r="C19" s="48">
        <v>245.47336721249764</v>
      </c>
      <c r="D19" s="48">
        <v>308.67683041596086</v>
      </c>
      <c r="F19" s="48"/>
      <c r="L19" s="48"/>
      <c r="P19" s="48"/>
    </row>
    <row r="20" spans="1:18" x14ac:dyDescent="0.2">
      <c r="B20" s="48"/>
      <c r="C20" s="48"/>
      <c r="D20" s="48"/>
      <c r="F20" s="48"/>
    </row>
    <row r="21" spans="1:18" x14ac:dyDescent="0.2">
      <c r="A21" t="s">
        <v>165</v>
      </c>
      <c r="B21" s="48">
        <f>SUM(B14:B16)</f>
        <v>48</v>
      </c>
      <c r="C21" s="48">
        <f t="shared" ref="C21:D21" si="2">SUM(C14:C16)</f>
        <v>38</v>
      </c>
      <c r="D21" s="48">
        <f t="shared" si="2"/>
        <v>128</v>
      </c>
      <c r="E21" t="s">
        <v>166</v>
      </c>
      <c r="F21" s="48">
        <f>SUM(F14:F16)</f>
        <v>103.5</v>
      </c>
    </row>
    <row r="22" spans="1:18" x14ac:dyDescent="0.2">
      <c r="B22" s="48"/>
      <c r="C22" s="48"/>
      <c r="D22" s="48"/>
      <c r="F22" s="48"/>
    </row>
    <row r="23" spans="1:18" x14ac:dyDescent="0.2">
      <c r="A23" t="s">
        <v>56</v>
      </c>
      <c r="B23" t="s">
        <v>170</v>
      </c>
    </row>
    <row r="24" spans="1:18" x14ac:dyDescent="0.2">
      <c r="A24" t="s">
        <v>188</v>
      </c>
      <c r="B24" s="55">
        <v>0</v>
      </c>
      <c r="C24" s="55">
        <v>1</v>
      </c>
      <c r="D24" s="55">
        <v>0</v>
      </c>
      <c r="E24" t="s">
        <v>189</v>
      </c>
      <c r="F24" s="48"/>
      <c r="G24" s="48"/>
      <c r="H24" s="48"/>
      <c r="I24" t="s">
        <v>172</v>
      </c>
      <c r="J24" s="48"/>
      <c r="M24" s="48"/>
      <c r="N24" s="48"/>
      <c r="O24" s="48"/>
      <c r="R24" s="48"/>
    </row>
    <row r="25" spans="1:18" x14ac:dyDescent="0.2">
      <c r="B25" t="s">
        <v>173</v>
      </c>
      <c r="M25" s="48"/>
      <c r="N25" s="48"/>
      <c r="O25" s="48"/>
      <c r="R25" s="48"/>
    </row>
    <row r="28" spans="1:18" x14ac:dyDescent="0.2">
      <c r="A28" t="s">
        <v>174</v>
      </c>
      <c r="B28" t="s">
        <v>156</v>
      </c>
      <c r="F28" t="s">
        <v>157</v>
      </c>
      <c r="H28" t="s">
        <v>158</v>
      </c>
      <c r="L28" t="s">
        <v>175</v>
      </c>
    </row>
    <row r="29" spans="1:18" x14ac:dyDescent="0.2">
      <c r="B29">
        <v>5</v>
      </c>
      <c r="C29">
        <v>15</v>
      </c>
      <c r="D29">
        <v>25</v>
      </c>
      <c r="F29">
        <v>19</v>
      </c>
      <c r="H29" s="56" t="e" cm="1">
        <f t="array" ref="H29">MINVERSE(B29:D31)</f>
        <v>#NUM!</v>
      </c>
      <c r="L29" s="48">
        <f>MDETERM(B29:D31)</f>
        <v>0</v>
      </c>
      <c r="M29" s="48" t="s">
        <v>193</v>
      </c>
    </row>
    <row r="30" spans="1:18" x14ac:dyDescent="0.2">
      <c r="B30">
        <v>20</v>
      </c>
      <c r="C30">
        <v>30</v>
      </c>
      <c r="D30">
        <v>40</v>
      </c>
      <c r="F30">
        <v>29</v>
      </c>
    </row>
    <row r="31" spans="1:18" x14ac:dyDescent="0.2">
      <c r="B31">
        <v>15</v>
      </c>
      <c r="C31">
        <v>30</v>
      </c>
      <c r="D31">
        <v>45</v>
      </c>
      <c r="F31">
        <v>32</v>
      </c>
    </row>
    <row r="32" spans="1:18" x14ac:dyDescent="0.2">
      <c r="B32" s="48"/>
      <c r="C32" s="48"/>
      <c r="D32" s="48"/>
      <c r="F32" s="48"/>
    </row>
    <row r="33" spans="1:13" x14ac:dyDescent="0.2">
      <c r="A33" t="s">
        <v>162</v>
      </c>
      <c r="C33" t="s">
        <v>168</v>
      </c>
      <c r="E33">
        <f>100/F29</f>
        <v>5.2631578947368425</v>
      </c>
      <c r="F33">
        <f>100/F30</f>
        <v>3.4482758620689653</v>
      </c>
      <c r="G33">
        <f>100/F31</f>
        <v>3.125</v>
      </c>
    </row>
    <row r="34" spans="1:13" x14ac:dyDescent="0.2">
      <c r="A34" t="s">
        <v>169</v>
      </c>
      <c r="B34" s="48" cm="1">
        <f t="array" ref="B34:D34">MMULT(E33:G33,B29:D31)</f>
        <v>142.15630671506352</v>
      </c>
      <c r="C34" s="48">
        <v>276.14564428312156</v>
      </c>
      <c r="D34" s="48">
        <v>410.13498185117965</v>
      </c>
      <c r="F34" s="48"/>
    </row>
    <row r="35" spans="1:13" x14ac:dyDescent="0.2">
      <c r="B35" s="48"/>
      <c r="C35" s="48"/>
      <c r="D35" s="48"/>
      <c r="F35" s="48"/>
    </row>
    <row r="36" spans="1:13" x14ac:dyDescent="0.2">
      <c r="A36" t="s">
        <v>165</v>
      </c>
      <c r="B36" s="48">
        <f>SUM(B29:B31)</f>
        <v>40</v>
      </c>
      <c r="C36" s="48">
        <f t="shared" ref="C36:F36" si="3">SUM(C29:C31)</f>
        <v>75</v>
      </c>
      <c r="D36" s="48">
        <f t="shared" si="3"/>
        <v>110</v>
      </c>
      <c r="E36" t="s">
        <v>166</v>
      </c>
      <c r="F36" s="48">
        <f>SUM(F29:F31)</f>
        <v>80</v>
      </c>
    </row>
    <row r="38" spans="1:13" x14ac:dyDescent="0.2">
      <c r="A38" t="s">
        <v>56</v>
      </c>
      <c r="B38" t="s">
        <v>176</v>
      </c>
    </row>
    <row r="39" spans="1:13" x14ac:dyDescent="0.2">
      <c r="B39" t="s">
        <v>177</v>
      </c>
    </row>
    <row r="40" spans="1:13" x14ac:dyDescent="0.2">
      <c r="E40" t="s">
        <v>171</v>
      </c>
      <c r="F40" t="s">
        <v>178</v>
      </c>
      <c r="H40" t="s">
        <v>179</v>
      </c>
    </row>
    <row r="41" spans="1:13" x14ac:dyDescent="0.2">
      <c r="B41" cm="1">
        <f t="array" ref="B41:C42">TRANSPOSE(MINVERSE(B29:C30))</f>
        <v>-0.2</v>
      </c>
      <c r="C41">
        <v>0.13333333333333333</v>
      </c>
      <c r="E41" cm="1">
        <f t="array" ref="E41:E42">TRANSPOSE(B31:C31)</f>
        <v>15</v>
      </c>
      <c r="F41" s="48" cm="1">
        <f t="array" ref="F41:F42">MMULT(_xlfn.ANCHORARRAY(B41),_xlfn.ANCHORARRAY(E41))</f>
        <v>1</v>
      </c>
      <c r="H41" cm="1">
        <f t="array" ref="H41">MMULT(TRANSPOSE(_xlfn.ANCHORARRAY(F41)),D29:D30)</f>
        <v>45</v>
      </c>
    </row>
    <row r="42" spans="1:13" x14ac:dyDescent="0.2">
      <c r="B42">
        <v>0.1</v>
      </c>
      <c r="C42">
        <v>-3.3333333333333333E-2</v>
      </c>
      <c r="E42">
        <v>30</v>
      </c>
      <c r="F42" s="48">
        <v>0.5</v>
      </c>
      <c r="I42" t="s">
        <v>180</v>
      </c>
      <c r="K42" cm="1">
        <f t="array" ref="K42">MMULT(TRANSPOSE(_xlfn.ANCHORARRAY(F41)),F29:F30)</f>
        <v>33.5</v>
      </c>
      <c r="L42" t="s">
        <v>181</v>
      </c>
    </row>
    <row r="43" spans="1:13" x14ac:dyDescent="0.2">
      <c r="B43" t="s">
        <v>182</v>
      </c>
    </row>
    <row r="46" spans="1:13" x14ac:dyDescent="0.2">
      <c r="A46" s="53" t="s">
        <v>183</v>
      </c>
      <c r="L46" t="s">
        <v>85</v>
      </c>
    </row>
    <row r="47" spans="1:13" x14ac:dyDescent="0.2">
      <c r="B47" t="s">
        <v>156</v>
      </c>
      <c r="F47" t="s">
        <v>157</v>
      </c>
      <c r="H47" t="s">
        <v>158</v>
      </c>
      <c r="L47" t="s">
        <v>94</v>
      </c>
      <c r="M47" s="55" t="s">
        <v>190</v>
      </c>
    </row>
    <row r="48" spans="1:13" x14ac:dyDescent="0.2">
      <c r="B48">
        <v>11</v>
      </c>
      <c r="C48">
        <v>11</v>
      </c>
      <c r="D48">
        <v>111</v>
      </c>
      <c r="F48">
        <v>125</v>
      </c>
      <c r="H48" cm="1">
        <f t="array" ref="H48:J50">MINVERSE(B48:D50)</f>
        <v>-1.0799999999999999E-2</v>
      </c>
      <c r="I48">
        <v>3.1547368421052636E-2</v>
      </c>
      <c r="J48">
        <v>-0.01</v>
      </c>
      <c r="L48" s="48" cm="1">
        <f t="array" ref="L48:L50">MMULT(_xlfn.ANCHORARRAY(H48),F48:F50)</f>
        <v>0.97866315789473757</v>
      </c>
    </row>
    <row r="49" spans="2:12" x14ac:dyDescent="0.2">
      <c r="B49">
        <v>38</v>
      </c>
      <c r="C49">
        <v>38</v>
      </c>
      <c r="D49">
        <v>38</v>
      </c>
      <c r="F49">
        <v>109</v>
      </c>
      <c r="H49">
        <v>8.0000000000000004E-4</v>
      </c>
      <c r="I49">
        <v>-2.3368421052631576E-3</v>
      </c>
      <c r="J49">
        <v>0.01</v>
      </c>
      <c r="L49" s="48">
        <v>0.95528421052631596</v>
      </c>
    </row>
    <row r="50" spans="2:12" x14ac:dyDescent="0.2">
      <c r="B50">
        <v>8</v>
      </c>
      <c r="C50">
        <v>108</v>
      </c>
      <c r="D50">
        <v>0</v>
      </c>
      <c r="F50">
        <v>111</v>
      </c>
      <c r="H50">
        <v>0.01</v>
      </c>
      <c r="I50">
        <v>-2.8947368421052633E-3</v>
      </c>
      <c r="J50">
        <v>0</v>
      </c>
      <c r="L50" s="48">
        <v>0.93447368421052635</v>
      </c>
    </row>
    <row r="51" spans="2:12" x14ac:dyDescent="0.2">
      <c r="L5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B1DA-9BF3-7C4A-8BF9-62EF7651FF64}">
  <dimension ref="A1:X102"/>
  <sheetViews>
    <sheetView workbookViewId="0">
      <selection activeCell="B103" sqref="B103"/>
    </sheetView>
  </sheetViews>
  <sheetFormatPr baseColWidth="10" defaultColWidth="8.83203125" defaultRowHeight="16" x14ac:dyDescent="0.2"/>
  <cols>
    <col min="2" max="2" width="24" bestFit="1" customWidth="1"/>
    <col min="6" max="6" width="12.6640625" bestFit="1" customWidth="1"/>
  </cols>
  <sheetData>
    <row r="1" spans="1:10" x14ac:dyDescent="0.2">
      <c r="A1" t="s">
        <v>77</v>
      </c>
      <c r="C1" t="s">
        <v>78</v>
      </c>
      <c r="D1" t="s">
        <v>79</v>
      </c>
    </row>
    <row r="2" spans="1:10" x14ac:dyDescent="0.2">
      <c r="B2" t="s">
        <v>80</v>
      </c>
      <c r="C2">
        <v>141494</v>
      </c>
      <c r="D2">
        <v>182105</v>
      </c>
      <c r="F2" t="s">
        <v>81</v>
      </c>
      <c r="G2">
        <v>100368</v>
      </c>
      <c r="I2" t="s">
        <v>82</v>
      </c>
      <c r="J2">
        <v>0.05</v>
      </c>
    </row>
    <row r="3" spans="1:10" x14ac:dyDescent="0.2">
      <c r="B3" t="s">
        <v>83</v>
      </c>
      <c r="C3">
        <v>0.5</v>
      </c>
      <c r="D3">
        <v>0.5</v>
      </c>
      <c r="F3" t="s">
        <v>84</v>
      </c>
      <c r="G3">
        <v>0.2</v>
      </c>
    </row>
    <row r="5" spans="1:10" x14ac:dyDescent="0.2">
      <c r="A5" t="s">
        <v>85</v>
      </c>
      <c r="B5" t="s">
        <v>86</v>
      </c>
      <c r="C5" s="48">
        <f>(C2*C3+D2*D3)/(1+G3)-G2</f>
        <v>34464.916666666686</v>
      </c>
      <c r="D5">
        <f>SUMPRODUCT(C2:D2,C3:D3)/(1+G3)-G2</f>
        <v>34464.916666666686</v>
      </c>
    </row>
    <row r="7" spans="1:10" x14ac:dyDescent="0.2">
      <c r="A7" t="s">
        <v>87</v>
      </c>
      <c r="B7" t="s">
        <v>88</v>
      </c>
      <c r="C7" s="48">
        <f>SUMPRODUCT(C2:D2,C3:D3)/(1+G3)</f>
        <v>134832.91666666669</v>
      </c>
    </row>
    <row r="9" spans="1:10" x14ac:dyDescent="0.2">
      <c r="A9" t="s">
        <v>57</v>
      </c>
      <c r="B9" t="s">
        <v>89</v>
      </c>
      <c r="C9" s="48">
        <f>C2-(1+J2)*G2</f>
        <v>36107.599999999991</v>
      </c>
      <c r="D9" s="48">
        <f>D2-(1+J2)*G2</f>
        <v>76718.599999999991</v>
      </c>
    </row>
    <row r="10" spans="1:10" x14ac:dyDescent="0.2">
      <c r="B10" t="s">
        <v>194</v>
      </c>
      <c r="D10">
        <f>C7</f>
        <v>134832.91666666669</v>
      </c>
      <c r="E10" s="48"/>
    </row>
    <row r="12" spans="1:10" x14ac:dyDescent="0.2">
      <c r="A12" t="s">
        <v>90</v>
      </c>
      <c r="C12" t="s">
        <v>78</v>
      </c>
      <c r="D12" t="s">
        <v>79</v>
      </c>
      <c r="G12" t="s">
        <v>118</v>
      </c>
    </row>
    <row r="13" spans="1:10" x14ac:dyDescent="0.2">
      <c r="B13" t="s">
        <v>80</v>
      </c>
      <c r="C13">
        <v>70</v>
      </c>
      <c r="D13">
        <v>130</v>
      </c>
      <c r="E13" t="s">
        <v>91</v>
      </c>
      <c r="G13" t="s">
        <v>92</v>
      </c>
      <c r="H13">
        <f>1/E15-1</f>
        <v>5.2631578947368363E-2</v>
      </c>
    </row>
    <row r="14" spans="1:10" x14ac:dyDescent="0.2">
      <c r="B14" t="s">
        <v>83</v>
      </c>
      <c r="C14">
        <v>0.55000000000000004</v>
      </c>
      <c r="D14">
        <f>1-C14</f>
        <v>0.44999999999999996</v>
      </c>
      <c r="E14">
        <f>SUM(C14:D14)</f>
        <v>1</v>
      </c>
      <c r="G14" t="s">
        <v>93</v>
      </c>
      <c r="H14">
        <f t="array" ref="H14:I14">C15:D15/E15</f>
        <v>0.63157894736842102</v>
      </c>
      <c r="I14">
        <v>0.36842105263157893</v>
      </c>
    </row>
    <row r="15" spans="1:10" x14ac:dyDescent="0.2">
      <c r="B15" t="s">
        <v>94</v>
      </c>
      <c r="C15">
        <v>0.6</v>
      </c>
      <c r="D15">
        <v>0.35</v>
      </c>
      <c r="E15">
        <f>SUM(C15:D15)</f>
        <v>0.95</v>
      </c>
    </row>
    <row r="17" spans="2:24" x14ac:dyDescent="0.2">
      <c r="B17" s="48"/>
    </row>
    <row r="18" spans="2:24" x14ac:dyDescent="0.2">
      <c r="B18" s="48"/>
      <c r="C18" t="s">
        <v>85</v>
      </c>
      <c r="H18" t="s">
        <v>87</v>
      </c>
      <c r="J18" t="s">
        <v>57</v>
      </c>
      <c r="L18" t="s">
        <v>95</v>
      </c>
      <c r="Q18" t="s">
        <v>96</v>
      </c>
      <c r="V18" t="s">
        <v>97</v>
      </c>
      <c r="X18" t="s">
        <v>98</v>
      </c>
    </row>
    <row r="19" spans="2:24" x14ac:dyDescent="0.2">
      <c r="C19" t="s">
        <v>99</v>
      </c>
      <c r="E19" t="s">
        <v>100</v>
      </c>
      <c r="H19" t="s">
        <v>101</v>
      </c>
      <c r="I19" t="s">
        <v>102</v>
      </c>
      <c r="J19" t="s">
        <v>103</v>
      </c>
      <c r="L19" t="s">
        <v>104</v>
      </c>
      <c r="N19" t="s">
        <v>100</v>
      </c>
      <c r="Q19" t="s">
        <v>104</v>
      </c>
      <c r="S19" t="s">
        <v>100</v>
      </c>
      <c r="V19" t="s">
        <v>105</v>
      </c>
      <c r="X19" t="s">
        <v>106</v>
      </c>
    </row>
    <row r="20" spans="2:24" x14ac:dyDescent="0.2">
      <c r="B20" t="s">
        <v>107</v>
      </c>
      <c r="C20" t="s">
        <v>78</v>
      </c>
      <c r="D20" t="s">
        <v>79</v>
      </c>
      <c r="E20" t="s">
        <v>78</v>
      </c>
      <c r="F20" t="s">
        <v>79</v>
      </c>
      <c r="L20" t="s">
        <v>78</v>
      </c>
      <c r="M20" t="s">
        <v>79</v>
      </c>
      <c r="N20" t="s">
        <v>78</v>
      </c>
      <c r="O20" t="s">
        <v>79</v>
      </c>
      <c r="Q20" t="s">
        <v>108</v>
      </c>
      <c r="R20" t="s">
        <v>109</v>
      </c>
      <c r="S20" t="s">
        <v>108</v>
      </c>
      <c r="T20" t="s">
        <v>109</v>
      </c>
      <c r="X20">
        <f>S21</f>
        <v>0.1085714285714286</v>
      </c>
    </row>
    <row r="21" spans="2:24" x14ac:dyDescent="0.2">
      <c r="B21">
        <v>0</v>
      </c>
      <c r="C21">
        <f>MIN(B21,$C$13)</f>
        <v>0</v>
      </c>
      <c r="D21">
        <f>MIN(B21,$D$13)</f>
        <v>0</v>
      </c>
      <c r="E21">
        <f>$C$13-C21</f>
        <v>70</v>
      </c>
      <c r="F21">
        <f>$D$13-D21</f>
        <v>130</v>
      </c>
      <c r="H21" cm="1">
        <f t="array" ref="H21">MMULT(C21:D21,TRANSPOSE($C$15:$D$15))</f>
        <v>0</v>
      </c>
      <c r="I21" cm="1">
        <f t="array" ref="I21">MMULT(E21:F21,TRANSPOSE($C$15:$D$15))</f>
        <v>87.5</v>
      </c>
      <c r="J21">
        <f t="shared" ref="J21:J47" si="0">SUM(H21:I21)</f>
        <v>87.5</v>
      </c>
      <c r="L21" t="e">
        <f>C21/H21-1</f>
        <v>#DIV/0!</v>
      </c>
      <c r="M21" t="e">
        <f>D21/H21-1</f>
        <v>#DIV/0!</v>
      </c>
      <c r="N21">
        <f>E21/I21-1</f>
        <v>-0.19999999999999996</v>
      </c>
      <c r="O21">
        <f>F21/I21-1</f>
        <v>0.48571428571428577</v>
      </c>
      <c r="Q21" t="e" cm="1">
        <f t="array" ref="Q21">MMULT($C$14:$D$14,TRANSPOSE(L21:M21))</f>
        <v>#DIV/0!</v>
      </c>
      <c r="R21" t="e">
        <f>SQRT($C$14*(L21-Q21)^2+$D$14*(M21-Q21)^2)</f>
        <v>#DIV/0!</v>
      </c>
      <c r="S21" cm="1">
        <f t="array" ref="S21">MMULT($C$14:$D$14,TRANSPOSE(N21:O21))</f>
        <v>0.1085714285714286</v>
      </c>
      <c r="T21">
        <f>SQRT($C$14*(N21-S21)^2+$D$14*(O21-S21)^2)</f>
        <v>0.34113854986512682</v>
      </c>
      <c r="V21">
        <f>H21/J21</f>
        <v>0</v>
      </c>
      <c r="X21" t="e">
        <f>V21*Q21+(1-V21)*S21</f>
        <v>#DIV/0!</v>
      </c>
    </row>
    <row r="22" spans="2:24" x14ac:dyDescent="0.2">
      <c r="B22">
        <f>B21+5</f>
        <v>5</v>
      </c>
      <c r="C22">
        <f t="shared" ref="C22:C47" si="1">MIN(B22,$C$13)</f>
        <v>5</v>
      </c>
      <c r="D22">
        <f t="shared" ref="D22:D47" si="2">MIN(B22,$D$13)</f>
        <v>5</v>
      </c>
      <c r="E22">
        <f t="shared" ref="E22:E47" si="3">$C$13-C22</f>
        <v>65</v>
      </c>
      <c r="F22">
        <f t="shared" ref="F22:F47" si="4">$D$13-D22</f>
        <v>125</v>
      </c>
      <c r="H22" cm="1">
        <f t="array" ref="H22">MMULT(C22:D22,TRANSPOSE($C$15:$D$15))</f>
        <v>4.75</v>
      </c>
      <c r="I22" cm="1">
        <f t="array" ref="I22">MMULT(E22:F22,TRANSPOSE($C$15:$D$15))</f>
        <v>82.75</v>
      </c>
      <c r="J22">
        <f t="shared" si="0"/>
        <v>87.5</v>
      </c>
      <c r="L22">
        <f t="shared" ref="L22:L47" si="5">C22/H22-1</f>
        <v>5.2631578947368363E-2</v>
      </c>
      <c r="M22">
        <f t="shared" ref="M22:M47" si="6">D22/H22-1</f>
        <v>5.2631578947368363E-2</v>
      </c>
      <c r="N22">
        <f t="shared" ref="N22:N47" si="7">E22/I22-1</f>
        <v>-0.21450151057401812</v>
      </c>
      <c r="O22">
        <f t="shared" ref="O22:O47" si="8">F22/I22-1</f>
        <v>0.5105740181268883</v>
      </c>
      <c r="Q22" cm="1">
        <f t="array" ref="Q22">MMULT($C$14:$D$14,TRANSPOSE(L22:M22))</f>
        <v>5.2631578947368363E-2</v>
      </c>
      <c r="R22">
        <f t="shared" ref="R22:R47" si="9">SQRT($C$14*(L22-Q22)^2+$D$14*(M22-Q22)^2)</f>
        <v>0</v>
      </c>
      <c r="S22" cm="1">
        <f t="array" ref="S22">MMULT($C$14:$D$14,TRANSPOSE(N22:O22))</f>
        <v>0.11178247734138974</v>
      </c>
      <c r="T22">
        <f t="shared" ref="T22:T47" si="10">SQRT($C$14*(N22-S22)^2+$D$14*(O22-S22)^2)</f>
        <v>0.36072052100542112</v>
      </c>
      <c r="V22">
        <f t="shared" ref="V22:V47" si="11">H22/J22</f>
        <v>5.4285714285714284E-2</v>
      </c>
      <c r="X22">
        <f t="shared" ref="X22:X47" si="12">V22*Q22+(1-V22)*S22</f>
        <v>0.10857142857142858</v>
      </c>
    </row>
    <row r="23" spans="2:24" x14ac:dyDescent="0.2">
      <c r="B23">
        <f t="shared" ref="B23:B46" si="13">B22+5</f>
        <v>10</v>
      </c>
      <c r="C23">
        <f t="shared" si="1"/>
        <v>10</v>
      </c>
      <c r="D23">
        <f t="shared" si="2"/>
        <v>10</v>
      </c>
      <c r="E23">
        <f t="shared" si="3"/>
        <v>60</v>
      </c>
      <c r="F23">
        <f t="shared" si="4"/>
        <v>120</v>
      </c>
      <c r="H23" cm="1">
        <f t="array" ref="H23">MMULT(C23:D23,TRANSPOSE($C$15:$D$15))</f>
        <v>9.5</v>
      </c>
      <c r="I23" cm="1">
        <f t="array" ref="I23">MMULT(E23:F23,TRANSPOSE($C$15:$D$15))</f>
        <v>78</v>
      </c>
      <c r="J23">
        <f t="shared" si="0"/>
        <v>87.5</v>
      </c>
      <c r="L23">
        <f t="shared" si="5"/>
        <v>5.2631578947368363E-2</v>
      </c>
      <c r="M23">
        <f t="shared" si="6"/>
        <v>5.2631578947368363E-2</v>
      </c>
      <c r="N23">
        <f t="shared" si="7"/>
        <v>-0.23076923076923073</v>
      </c>
      <c r="O23">
        <f t="shared" si="8"/>
        <v>0.53846153846153855</v>
      </c>
      <c r="Q23" cm="1">
        <f t="array" ref="Q23">MMULT($C$14:$D$14,TRANSPOSE(L23:M23))</f>
        <v>5.2631578947368363E-2</v>
      </c>
      <c r="R23">
        <f t="shared" si="9"/>
        <v>0</v>
      </c>
      <c r="S23" cm="1">
        <f t="array" ref="S23">MMULT($C$14:$D$14,TRANSPOSE(N23:O23))</f>
        <v>0.11538461538461542</v>
      </c>
      <c r="T23">
        <f t="shared" si="10"/>
        <v>0.38268747581023849</v>
      </c>
      <c r="V23">
        <f t="shared" si="11"/>
        <v>0.10857142857142857</v>
      </c>
      <c r="X23">
        <f t="shared" si="12"/>
        <v>0.10857142857142861</v>
      </c>
    </row>
    <row r="24" spans="2:24" x14ac:dyDescent="0.2">
      <c r="B24">
        <f t="shared" si="13"/>
        <v>15</v>
      </c>
      <c r="C24">
        <f t="shared" si="1"/>
        <v>15</v>
      </c>
      <c r="D24">
        <f t="shared" si="2"/>
        <v>15</v>
      </c>
      <c r="E24">
        <f t="shared" si="3"/>
        <v>55</v>
      </c>
      <c r="F24">
        <f t="shared" si="4"/>
        <v>115</v>
      </c>
      <c r="H24" cm="1">
        <f t="array" ref="H24">MMULT(C24:D24,TRANSPOSE($C$15:$D$15))</f>
        <v>14.25</v>
      </c>
      <c r="I24" cm="1">
        <f t="array" ref="I24">MMULT(E24:F24,TRANSPOSE($C$15:$D$15))</f>
        <v>73.25</v>
      </c>
      <c r="J24">
        <f t="shared" si="0"/>
        <v>87.5</v>
      </c>
      <c r="L24">
        <f t="shared" si="5"/>
        <v>5.2631578947368363E-2</v>
      </c>
      <c r="M24">
        <f t="shared" si="6"/>
        <v>5.2631578947368363E-2</v>
      </c>
      <c r="N24">
        <f t="shared" si="7"/>
        <v>-0.24914675767918093</v>
      </c>
      <c r="O24">
        <f t="shared" si="8"/>
        <v>0.56996587030716728</v>
      </c>
      <c r="Q24" cm="1">
        <f t="array" ref="Q24">MMULT($C$14:$D$14,TRANSPOSE(L24:M24))</f>
        <v>5.2631578947368363E-2</v>
      </c>
      <c r="R24">
        <f t="shared" si="9"/>
        <v>0</v>
      </c>
      <c r="S24" cm="1">
        <f t="array" ref="S24">MMULT($C$14:$D$14,TRANSPOSE(N24:O24))</f>
        <v>0.11945392491467574</v>
      </c>
      <c r="T24">
        <f t="shared" si="10"/>
        <v>0.4075033872109024</v>
      </c>
      <c r="V24">
        <f t="shared" si="11"/>
        <v>0.16285714285714287</v>
      </c>
      <c r="X24">
        <f t="shared" si="12"/>
        <v>0.10857142857142854</v>
      </c>
    </row>
    <row r="25" spans="2:24" x14ac:dyDescent="0.2">
      <c r="B25">
        <f t="shared" si="13"/>
        <v>20</v>
      </c>
      <c r="C25">
        <f t="shared" si="1"/>
        <v>20</v>
      </c>
      <c r="D25">
        <f t="shared" si="2"/>
        <v>20</v>
      </c>
      <c r="E25">
        <f t="shared" si="3"/>
        <v>50</v>
      </c>
      <c r="F25">
        <f t="shared" si="4"/>
        <v>110</v>
      </c>
      <c r="H25" cm="1">
        <f t="array" ref="H25">MMULT(C25:D25,TRANSPOSE($C$15:$D$15))</f>
        <v>19</v>
      </c>
      <c r="I25" cm="1">
        <f t="array" ref="I25">MMULT(E25:F25,TRANSPOSE($C$15:$D$15))</f>
        <v>68.5</v>
      </c>
      <c r="J25">
        <f t="shared" si="0"/>
        <v>87.5</v>
      </c>
      <c r="L25">
        <f t="shared" si="5"/>
        <v>5.2631578947368363E-2</v>
      </c>
      <c r="M25">
        <f t="shared" si="6"/>
        <v>5.2631578947368363E-2</v>
      </c>
      <c r="N25">
        <f t="shared" si="7"/>
        <v>-0.27007299270072993</v>
      </c>
      <c r="O25">
        <f t="shared" si="8"/>
        <v>0.6058394160583942</v>
      </c>
      <c r="Q25" cm="1">
        <f t="array" ref="Q25">MMULT($C$14:$D$14,TRANSPOSE(L25:M25))</f>
        <v>5.2631578947368363E-2</v>
      </c>
      <c r="R25">
        <f t="shared" si="9"/>
        <v>0</v>
      </c>
      <c r="S25" cm="1">
        <f t="array" ref="S25">MMULT($C$14:$D$14,TRANSPOSE(N25:O25))</f>
        <v>0.1240875912408759</v>
      </c>
      <c r="T25">
        <f t="shared" si="10"/>
        <v>0.43576092136056349</v>
      </c>
      <c r="V25">
        <f t="shared" si="11"/>
        <v>0.21714285714285714</v>
      </c>
      <c r="X25">
        <f t="shared" si="12"/>
        <v>0.10857142857142855</v>
      </c>
    </row>
    <row r="26" spans="2:24" x14ac:dyDescent="0.2">
      <c r="B26">
        <f t="shared" si="13"/>
        <v>25</v>
      </c>
      <c r="C26">
        <f t="shared" si="1"/>
        <v>25</v>
      </c>
      <c r="D26">
        <f t="shared" si="2"/>
        <v>25</v>
      </c>
      <c r="E26">
        <f t="shared" si="3"/>
        <v>45</v>
      </c>
      <c r="F26">
        <f t="shared" si="4"/>
        <v>105</v>
      </c>
      <c r="H26" cm="1">
        <f t="array" ref="H26">MMULT(C26:D26,TRANSPOSE($C$15:$D$15))</f>
        <v>23.75</v>
      </c>
      <c r="I26" cm="1">
        <f t="array" ref="I26">MMULT(E26:F26,TRANSPOSE($C$15:$D$15))</f>
        <v>63.75</v>
      </c>
      <c r="J26">
        <f t="shared" si="0"/>
        <v>87.5</v>
      </c>
      <c r="L26">
        <f t="shared" si="5"/>
        <v>5.2631578947368363E-2</v>
      </c>
      <c r="M26">
        <f t="shared" si="6"/>
        <v>5.2631578947368363E-2</v>
      </c>
      <c r="N26">
        <f t="shared" si="7"/>
        <v>-0.29411764705882348</v>
      </c>
      <c r="O26">
        <f t="shared" si="8"/>
        <v>0.64705882352941169</v>
      </c>
      <c r="Q26" cm="1">
        <f t="array" ref="Q26">MMULT($C$14:$D$14,TRANSPOSE(L26:M26))</f>
        <v>5.2631578947368363E-2</v>
      </c>
      <c r="R26">
        <f t="shared" si="9"/>
        <v>0</v>
      </c>
      <c r="S26" cm="1">
        <f t="array" ref="S26">MMULT($C$14:$D$14,TRANSPOSE(N26:O26))</f>
        <v>0.12941176470588228</v>
      </c>
      <c r="T26">
        <f t="shared" si="10"/>
        <v>0.46822938216782106</v>
      </c>
      <c r="V26">
        <f t="shared" si="11"/>
        <v>0.27142857142857141</v>
      </c>
      <c r="X26">
        <f t="shared" si="12"/>
        <v>0.10857142857142851</v>
      </c>
    </row>
    <row r="27" spans="2:24" x14ac:dyDescent="0.2">
      <c r="B27">
        <f t="shared" si="13"/>
        <v>30</v>
      </c>
      <c r="C27">
        <f t="shared" si="1"/>
        <v>30</v>
      </c>
      <c r="D27">
        <f t="shared" si="2"/>
        <v>30</v>
      </c>
      <c r="E27">
        <f t="shared" si="3"/>
        <v>40</v>
      </c>
      <c r="F27">
        <f t="shared" si="4"/>
        <v>100</v>
      </c>
      <c r="H27" cm="1">
        <f t="array" ref="H27">MMULT(C27:D27,TRANSPOSE($C$15:$D$15))</f>
        <v>28.5</v>
      </c>
      <c r="I27" cm="1">
        <f t="array" ref="I27">MMULT(E27:F27,TRANSPOSE($C$15:$D$15))</f>
        <v>59</v>
      </c>
      <c r="J27">
        <f t="shared" si="0"/>
        <v>87.5</v>
      </c>
      <c r="L27">
        <f t="shared" si="5"/>
        <v>5.2631578947368363E-2</v>
      </c>
      <c r="M27">
        <f t="shared" si="6"/>
        <v>5.2631578947368363E-2</v>
      </c>
      <c r="N27">
        <f t="shared" si="7"/>
        <v>-0.32203389830508478</v>
      </c>
      <c r="O27">
        <f t="shared" si="8"/>
        <v>0.69491525423728806</v>
      </c>
      <c r="Q27" cm="1">
        <f t="array" ref="Q27">MMULT($C$14:$D$14,TRANSPOSE(L27:M27))</f>
        <v>5.2631578947368363E-2</v>
      </c>
      <c r="R27">
        <f t="shared" si="9"/>
        <v>0</v>
      </c>
      <c r="S27" cm="1">
        <f t="array" ref="S27">MMULT($C$14:$D$14,TRANSPOSE(N27:O27))</f>
        <v>0.13559322033898297</v>
      </c>
      <c r="T27">
        <f t="shared" si="10"/>
        <v>0.50592581547794235</v>
      </c>
      <c r="V27">
        <f t="shared" si="11"/>
        <v>0.32571428571428573</v>
      </c>
      <c r="X27">
        <f t="shared" si="12"/>
        <v>0.1085714285714285</v>
      </c>
    </row>
    <row r="28" spans="2:24" x14ac:dyDescent="0.2">
      <c r="B28">
        <f t="shared" si="13"/>
        <v>35</v>
      </c>
      <c r="C28">
        <f t="shared" si="1"/>
        <v>35</v>
      </c>
      <c r="D28">
        <f t="shared" si="2"/>
        <v>35</v>
      </c>
      <c r="E28">
        <f t="shared" si="3"/>
        <v>35</v>
      </c>
      <c r="F28">
        <f t="shared" si="4"/>
        <v>95</v>
      </c>
      <c r="H28" cm="1">
        <f t="array" ref="H28">MMULT(C28:D28,TRANSPOSE($C$15:$D$15))</f>
        <v>33.25</v>
      </c>
      <c r="I28" cm="1">
        <f t="array" ref="I28">MMULT(E28:F28,TRANSPOSE($C$15:$D$15))</f>
        <v>54.25</v>
      </c>
      <c r="J28">
        <f t="shared" si="0"/>
        <v>87.5</v>
      </c>
      <c r="L28">
        <f t="shared" si="5"/>
        <v>5.2631578947368363E-2</v>
      </c>
      <c r="M28">
        <f t="shared" si="6"/>
        <v>5.2631578947368363E-2</v>
      </c>
      <c r="N28">
        <f t="shared" si="7"/>
        <v>-0.35483870967741937</v>
      </c>
      <c r="O28">
        <f t="shared" si="8"/>
        <v>0.75115207373271886</v>
      </c>
      <c r="Q28" cm="1">
        <f t="array" ref="Q28">MMULT($C$14:$D$14,TRANSPOSE(L28:M28))</f>
        <v>5.2631578947368363E-2</v>
      </c>
      <c r="R28">
        <f t="shared" si="9"/>
        <v>0</v>
      </c>
      <c r="S28" cm="1">
        <f t="array" ref="S28">MMULT($C$14:$D$14,TRANSPOSE(N28:O28))</f>
        <v>0.14285714285714279</v>
      </c>
      <c r="T28">
        <f t="shared" si="10"/>
        <v>0.5502234675243981</v>
      </c>
      <c r="V28">
        <f t="shared" si="11"/>
        <v>0.38</v>
      </c>
      <c r="X28">
        <f t="shared" si="12"/>
        <v>0.10857142857142851</v>
      </c>
    </row>
    <row r="29" spans="2:24" x14ac:dyDescent="0.2">
      <c r="B29">
        <f t="shared" si="13"/>
        <v>40</v>
      </c>
      <c r="C29">
        <f t="shared" si="1"/>
        <v>40</v>
      </c>
      <c r="D29">
        <f t="shared" si="2"/>
        <v>40</v>
      </c>
      <c r="E29">
        <f t="shared" si="3"/>
        <v>30</v>
      </c>
      <c r="F29">
        <f t="shared" si="4"/>
        <v>90</v>
      </c>
      <c r="H29" cm="1">
        <f t="array" ref="H29">MMULT(C29:D29,TRANSPOSE($C$15:$D$15))</f>
        <v>38</v>
      </c>
      <c r="I29" cm="1">
        <f t="array" ref="I29">MMULT(E29:F29,TRANSPOSE($C$15:$D$15))</f>
        <v>49.5</v>
      </c>
      <c r="J29">
        <f t="shared" si="0"/>
        <v>87.5</v>
      </c>
      <c r="L29">
        <f t="shared" si="5"/>
        <v>5.2631578947368363E-2</v>
      </c>
      <c r="M29">
        <f t="shared" si="6"/>
        <v>5.2631578947368363E-2</v>
      </c>
      <c r="N29">
        <f t="shared" si="7"/>
        <v>-0.39393939393939392</v>
      </c>
      <c r="O29">
        <f t="shared" si="8"/>
        <v>0.81818181818181812</v>
      </c>
      <c r="Q29" cm="1">
        <f t="array" ref="Q29">MMULT($C$14:$D$14,TRANSPOSE(L29:M29))</f>
        <v>5.2631578947368363E-2</v>
      </c>
      <c r="R29">
        <f t="shared" si="9"/>
        <v>0</v>
      </c>
      <c r="S29" cm="1">
        <f t="array" ref="S29">MMULT($C$14:$D$14,TRANSPOSE(N29:O29))</f>
        <v>0.15151515151515144</v>
      </c>
      <c r="T29">
        <f t="shared" si="10"/>
        <v>0.60302268915552726</v>
      </c>
      <c r="V29">
        <f t="shared" si="11"/>
        <v>0.43428571428571427</v>
      </c>
      <c r="X29">
        <f t="shared" si="12"/>
        <v>0.10857142857142851</v>
      </c>
    </row>
    <row r="30" spans="2:24" x14ac:dyDescent="0.2">
      <c r="B30">
        <f t="shared" si="13"/>
        <v>45</v>
      </c>
      <c r="C30">
        <f t="shared" si="1"/>
        <v>45</v>
      </c>
      <c r="D30">
        <f t="shared" si="2"/>
        <v>45</v>
      </c>
      <c r="E30">
        <f t="shared" si="3"/>
        <v>25</v>
      </c>
      <c r="F30">
        <f t="shared" si="4"/>
        <v>85</v>
      </c>
      <c r="H30" cm="1">
        <f t="array" ref="H30">MMULT(C30:D30,TRANSPOSE($C$15:$D$15))</f>
        <v>42.75</v>
      </c>
      <c r="I30" cm="1">
        <f t="array" ref="I30">MMULT(E30:F30,TRANSPOSE($C$15:$D$15))</f>
        <v>44.75</v>
      </c>
      <c r="J30">
        <f t="shared" si="0"/>
        <v>87.5</v>
      </c>
      <c r="L30">
        <f t="shared" si="5"/>
        <v>5.2631578947368363E-2</v>
      </c>
      <c r="M30">
        <f t="shared" si="6"/>
        <v>5.2631578947368363E-2</v>
      </c>
      <c r="N30">
        <f t="shared" si="7"/>
        <v>-0.44134078212290506</v>
      </c>
      <c r="O30">
        <f t="shared" si="8"/>
        <v>0.8994413407821229</v>
      </c>
      <c r="Q30" cm="1">
        <f t="array" ref="Q30">MMULT($C$14:$D$14,TRANSPOSE(L30:M30))</f>
        <v>5.2631578947368363E-2</v>
      </c>
      <c r="R30">
        <f t="shared" si="9"/>
        <v>0</v>
      </c>
      <c r="S30" cm="1">
        <f t="array" ref="S30">MMULT($C$14:$D$14,TRANSPOSE(N30:O30))</f>
        <v>0.16201117318435748</v>
      </c>
      <c r="T30">
        <f t="shared" si="10"/>
        <v>0.66703068409382349</v>
      </c>
      <c r="V30">
        <f t="shared" si="11"/>
        <v>0.48857142857142855</v>
      </c>
      <c r="X30">
        <f t="shared" si="12"/>
        <v>0.10857142857142853</v>
      </c>
    </row>
    <row r="31" spans="2:24" x14ac:dyDescent="0.2">
      <c r="B31">
        <f t="shared" si="13"/>
        <v>50</v>
      </c>
      <c r="C31">
        <f t="shared" si="1"/>
        <v>50</v>
      </c>
      <c r="D31">
        <f t="shared" si="2"/>
        <v>50</v>
      </c>
      <c r="E31">
        <f t="shared" si="3"/>
        <v>20</v>
      </c>
      <c r="F31">
        <f t="shared" si="4"/>
        <v>80</v>
      </c>
      <c r="H31" cm="1">
        <f t="array" ref="H31">MMULT(C31:D31,TRANSPOSE($C$15:$D$15))</f>
        <v>47.5</v>
      </c>
      <c r="I31" cm="1">
        <f t="array" ref="I31">MMULT(E31:F31,TRANSPOSE($C$15:$D$15))</f>
        <v>40</v>
      </c>
      <c r="J31">
        <f t="shared" si="0"/>
        <v>87.5</v>
      </c>
      <c r="L31">
        <f t="shared" si="5"/>
        <v>5.2631578947368363E-2</v>
      </c>
      <c r="M31">
        <f t="shared" si="6"/>
        <v>5.2631578947368363E-2</v>
      </c>
      <c r="N31">
        <f t="shared" si="7"/>
        <v>-0.5</v>
      </c>
      <c r="O31">
        <f t="shared" si="8"/>
        <v>1</v>
      </c>
      <c r="Q31" cm="1">
        <f t="array" ref="Q31">MMULT($C$14:$D$14,TRANSPOSE(L31:M31))</f>
        <v>5.2631578947368363E-2</v>
      </c>
      <c r="R31">
        <f t="shared" si="9"/>
        <v>0</v>
      </c>
      <c r="S31" cm="1">
        <f t="array" ref="S31">MMULT($C$14:$D$14,TRANSPOSE(N31:O31))</f>
        <v>0.17499999999999993</v>
      </c>
      <c r="T31">
        <f t="shared" si="10"/>
        <v>0.746240577829965</v>
      </c>
      <c r="V31">
        <f t="shared" si="11"/>
        <v>0.54285714285714282</v>
      </c>
      <c r="X31">
        <f t="shared" si="12"/>
        <v>0.10857142857142851</v>
      </c>
    </row>
    <row r="32" spans="2:24" x14ac:dyDescent="0.2">
      <c r="B32">
        <f t="shared" si="13"/>
        <v>55</v>
      </c>
      <c r="C32">
        <f t="shared" si="1"/>
        <v>55</v>
      </c>
      <c r="D32">
        <f t="shared" si="2"/>
        <v>55</v>
      </c>
      <c r="E32">
        <f t="shared" si="3"/>
        <v>15</v>
      </c>
      <c r="F32">
        <f t="shared" si="4"/>
        <v>75</v>
      </c>
      <c r="H32" cm="1">
        <f t="array" ref="H32">MMULT(C32:D32,TRANSPOSE($C$15:$D$15))</f>
        <v>52.25</v>
      </c>
      <c r="I32" cm="1">
        <f t="array" ref="I32">MMULT(E32:F32,TRANSPOSE($C$15:$D$15))</f>
        <v>35.25</v>
      </c>
      <c r="J32">
        <f t="shared" si="0"/>
        <v>87.5</v>
      </c>
      <c r="L32">
        <f t="shared" si="5"/>
        <v>5.2631578947368363E-2</v>
      </c>
      <c r="M32">
        <f t="shared" si="6"/>
        <v>5.2631578947368363E-2</v>
      </c>
      <c r="N32">
        <f t="shared" si="7"/>
        <v>-0.57446808510638303</v>
      </c>
      <c r="O32">
        <f t="shared" si="8"/>
        <v>1.1276595744680851</v>
      </c>
      <c r="Q32" cm="1">
        <f t="array" ref="Q32">MMULT($C$14:$D$14,TRANSPOSE(L32:M32))</f>
        <v>5.2631578947368363E-2</v>
      </c>
      <c r="R32">
        <f t="shared" si="9"/>
        <v>0</v>
      </c>
      <c r="S32" cm="1">
        <f t="array" ref="S32">MMULT($C$14:$D$14,TRANSPOSE(N32:O32))</f>
        <v>0.1914893617021276</v>
      </c>
      <c r="T32">
        <f t="shared" si="10"/>
        <v>0.84679781881414462</v>
      </c>
      <c r="V32">
        <f t="shared" si="11"/>
        <v>0.5971428571428572</v>
      </c>
      <c r="X32">
        <f t="shared" si="12"/>
        <v>0.10857142857142851</v>
      </c>
    </row>
    <row r="33" spans="2:24" x14ac:dyDescent="0.2">
      <c r="B33">
        <f t="shared" si="13"/>
        <v>60</v>
      </c>
      <c r="C33">
        <f t="shared" si="1"/>
        <v>60</v>
      </c>
      <c r="D33">
        <f t="shared" si="2"/>
        <v>60</v>
      </c>
      <c r="E33">
        <f t="shared" si="3"/>
        <v>10</v>
      </c>
      <c r="F33">
        <f t="shared" si="4"/>
        <v>70</v>
      </c>
      <c r="H33" cm="1">
        <f t="array" ref="H33">MMULT(C33:D33,TRANSPOSE($C$15:$D$15))</f>
        <v>57</v>
      </c>
      <c r="I33" cm="1">
        <f t="array" ref="I33">MMULT(E33:F33,TRANSPOSE($C$15:$D$15))</f>
        <v>30.5</v>
      </c>
      <c r="J33">
        <f t="shared" si="0"/>
        <v>87.5</v>
      </c>
      <c r="L33">
        <f t="shared" si="5"/>
        <v>5.2631578947368363E-2</v>
      </c>
      <c r="M33">
        <f t="shared" si="6"/>
        <v>5.2631578947368363E-2</v>
      </c>
      <c r="N33">
        <f t="shared" si="7"/>
        <v>-0.67213114754098369</v>
      </c>
      <c r="O33">
        <f t="shared" si="8"/>
        <v>1.2950819672131146</v>
      </c>
      <c r="Q33" cm="1">
        <f t="array" ref="Q33">MMULT($C$14:$D$14,TRANSPOSE(L33:M33))</f>
        <v>5.2631578947368363E-2</v>
      </c>
      <c r="R33">
        <f t="shared" si="9"/>
        <v>0</v>
      </c>
      <c r="S33" cm="1">
        <f t="array" ref="S33">MMULT($C$14:$D$14,TRANSPOSE(N33:O33))</f>
        <v>0.21311475409836045</v>
      </c>
      <c r="T33">
        <f t="shared" si="10"/>
        <v>0.97867616764585563</v>
      </c>
      <c r="V33">
        <f t="shared" si="11"/>
        <v>0.65142857142857147</v>
      </c>
      <c r="X33">
        <f t="shared" si="12"/>
        <v>0.10857142857142846</v>
      </c>
    </row>
    <row r="34" spans="2:24" x14ac:dyDescent="0.2">
      <c r="B34">
        <f t="shared" si="13"/>
        <v>65</v>
      </c>
      <c r="C34">
        <f t="shared" si="1"/>
        <v>65</v>
      </c>
      <c r="D34">
        <f t="shared" si="2"/>
        <v>65</v>
      </c>
      <c r="E34">
        <f t="shared" si="3"/>
        <v>5</v>
      </c>
      <c r="F34">
        <f t="shared" si="4"/>
        <v>65</v>
      </c>
      <c r="H34" cm="1">
        <f t="array" ref="H34">MMULT(C34:D34,TRANSPOSE($C$15:$D$15))</f>
        <v>61.75</v>
      </c>
      <c r="I34" cm="1">
        <f t="array" ref="I34">MMULT(E34:F34,TRANSPOSE($C$15:$D$15))</f>
        <v>25.75</v>
      </c>
      <c r="J34">
        <f t="shared" si="0"/>
        <v>87.5</v>
      </c>
      <c r="L34">
        <f t="shared" si="5"/>
        <v>5.2631578947368363E-2</v>
      </c>
      <c r="M34">
        <f t="shared" si="6"/>
        <v>5.2631578947368363E-2</v>
      </c>
      <c r="N34">
        <f t="shared" si="7"/>
        <v>-0.80582524271844658</v>
      </c>
      <c r="O34">
        <f t="shared" si="8"/>
        <v>1.5242718446601944</v>
      </c>
      <c r="Q34" cm="1">
        <f t="array" ref="Q34">MMULT($C$14:$D$14,TRANSPOSE(L34:M34))</f>
        <v>5.2631578947368363E-2</v>
      </c>
      <c r="R34">
        <f t="shared" si="9"/>
        <v>0</v>
      </c>
      <c r="S34" cm="1">
        <f t="array" ref="S34">MMULT($C$14:$D$14,TRANSPOSE(N34:O34))</f>
        <v>0.2427184466019417</v>
      </c>
      <c r="T34">
        <f t="shared" si="10"/>
        <v>1.1592086645902369</v>
      </c>
      <c r="V34">
        <f t="shared" si="11"/>
        <v>0.70571428571428574</v>
      </c>
      <c r="X34">
        <f t="shared" si="12"/>
        <v>0.10857142857142851</v>
      </c>
    </row>
    <row r="35" spans="2:24" x14ac:dyDescent="0.2">
      <c r="B35">
        <f t="shared" si="13"/>
        <v>70</v>
      </c>
      <c r="C35">
        <f t="shared" si="1"/>
        <v>70</v>
      </c>
      <c r="D35">
        <f t="shared" si="2"/>
        <v>70</v>
      </c>
      <c r="E35">
        <f t="shared" si="3"/>
        <v>0</v>
      </c>
      <c r="F35">
        <f t="shared" si="4"/>
        <v>60</v>
      </c>
      <c r="H35" cm="1">
        <f t="array" ref="H35">MMULT(C35:D35,TRANSPOSE($C$15:$D$15))</f>
        <v>66.5</v>
      </c>
      <c r="I35" cm="1">
        <f t="array" ref="I35">MMULT(E35:F35,TRANSPOSE($C$15:$D$15))</f>
        <v>21</v>
      </c>
      <c r="J35">
        <f t="shared" si="0"/>
        <v>87.5</v>
      </c>
      <c r="L35">
        <f t="shared" si="5"/>
        <v>5.2631578947368363E-2</v>
      </c>
      <c r="M35">
        <f t="shared" si="6"/>
        <v>5.2631578947368363E-2</v>
      </c>
      <c r="N35">
        <f t="shared" si="7"/>
        <v>-1</v>
      </c>
      <c r="O35">
        <f t="shared" si="8"/>
        <v>1.8571428571428572</v>
      </c>
      <c r="Q35" cm="1">
        <f t="array" ref="Q35">MMULT($C$14:$D$14,TRANSPOSE(L35:M35))</f>
        <v>5.2631578947368363E-2</v>
      </c>
      <c r="R35">
        <f t="shared" si="9"/>
        <v>0</v>
      </c>
      <c r="S35" cm="1">
        <f t="array" ref="S35">MMULT($C$14:$D$14,TRANSPOSE(N35:O35))</f>
        <v>0.28571428571428559</v>
      </c>
      <c r="T35">
        <f t="shared" si="10"/>
        <v>1.4214106244380287</v>
      </c>
      <c r="V35">
        <f t="shared" si="11"/>
        <v>0.76</v>
      </c>
      <c r="X35">
        <f t="shared" si="12"/>
        <v>0.10857142857142849</v>
      </c>
    </row>
    <row r="36" spans="2:24" x14ac:dyDescent="0.2">
      <c r="B36">
        <f t="shared" si="13"/>
        <v>75</v>
      </c>
      <c r="C36">
        <f t="shared" si="1"/>
        <v>70</v>
      </c>
      <c r="D36">
        <f t="shared" si="2"/>
        <v>75</v>
      </c>
      <c r="E36">
        <f t="shared" si="3"/>
        <v>0</v>
      </c>
      <c r="F36">
        <f t="shared" si="4"/>
        <v>55</v>
      </c>
      <c r="H36" cm="1">
        <f t="array" ref="H36">MMULT(C36:D36,TRANSPOSE($C$15:$D$15))</f>
        <v>68.25</v>
      </c>
      <c r="I36" cm="1">
        <f t="array" ref="I36">MMULT(E36:F36,TRANSPOSE($C$15:$D$15))</f>
        <v>19.25</v>
      </c>
      <c r="J36">
        <f t="shared" si="0"/>
        <v>87.5</v>
      </c>
      <c r="L36">
        <f t="shared" si="5"/>
        <v>2.564102564102555E-2</v>
      </c>
      <c r="M36">
        <f t="shared" si="6"/>
        <v>9.8901098901098994E-2</v>
      </c>
      <c r="N36">
        <f t="shared" si="7"/>
        <v>-1</v>
      </c>
      <c r="O36">
        <f t="shared" si="8"/>
        <v>1.8571428571428572</v>
      </c>
      <c r="Q36" cm="1">
        <f t="array" ref="Q36">MMULT($C$14:$D$14,TRANSPOSE(L36:M36))</f>
        <v>5.8608058608058594E-2</v>
      </c>
      <c r="R36">
        <f t="shared" si="9"/>
        <v>3.644642626764185E-2</v>
      </c>
      <c r="S36" cm="1">
        <f t="array" ref="S36">MMULT($C$14:$D$14,TRANSPOSE(N36:O36))</f>
        <v>0.28571428571428559</v>
      </c>
      <c r="T36">
        <f t="shared" si="10"/>
        <v>1.4214106244380287</v>
      </c>
      <c r="V36">
        <f t="shared" si="11"/>
        <v>0.78</v>
      </c>
      <c r="X36">
        <f t="shared" si="12"/>
        <v>0.10857142857142853</v>
      </c>
    </row>
    <row r="37" spans="2:24" x14ac:dyDescent="0.2">
      <c r="B37">
        <f t="shared" si="13"/>
        <v>80</v>
      </c>
      <c r="C37">
        <f t="shared" si="1"/>
        <v>70</v>
      </c>
      <c r="D37">
        <f t="shared" si="2"/>
        <v>80</v>
      </c>
      <c r="E37">
        <f t="shared" si="3"/>
        <v>0</v>
      </c>
      <c r="F37">
        <f t="shared" si="4"/>
        <v>50</v>
      </c>
      <c r="H37" cm="1">
        <f t="array" ref="H37">MMULT(C37:D37,TRANSPOSE($C$15:$D$15))</f>
        <v>70</v>
      </c>
      <c r="I37" cm="1">
        <f t="array" ref="I37">MMULT(E37:F37,TRANSPOSE($C$15:$D$15))</f>
        <v>17.5</v>
      </c>
      <c r="J37">
        <f t="shared" si="0"/>
        <v>87.5</v>
      </c>
      <c r="L37">
        <f t="shared" si="5"/>
        <v>0</v>
      </c>
      <c r="M37">
        <f t="shared" si="6"/>
        <v>0.14285714285714279</v>
      </c>
      <c r="N37">
        <f t="shared" si="7"/>
        <v>-1</v>
      </c>
      <c r="O37">
        <f t="shared" si="8"/>
        <v>1.8571428571428572</v>
      </c>
      <c r="Q37" cm="1">
        <f t="array" ref="Q37">MMULT($C$14:$D$14,TRANSPOSE(L37:M37))</f>
        <v>6.4285714285714252E-2</v>
      </c>
      <c r="R37">
        <f t="shared" si="9"/>
        <v>7.1070531221901392E-2</v>
      </c>
      <c r="S37" cm="1">
        <f t="array" ref="S37">MMULT($C$14:$D$14,TRANSPOSE(N37:O37))</f>
        <v>0.28571428571428559</v>
      </c>
      <c r="T37">
        <f t="shared" si="10"/>
        <v>1.4214106244380287</v>
      </c>
      <c r="V37">
        <f t="shared" si="11"/>
        <v>0.8</v>
      </c>
      <c r="X37">
        <f t="shared" si="12"/>
        <v>0.10857142857142851</v>
      </c>
    </row>
    <row r="38" spans="2:24" x14ac:dyDescent="0.2">
      <c r="B38">
        <f t="shared" si="13"/>
        <v>85</v>
      </c>
      <c r="C38">
        <f t="shared" si="1"/>
        <v>70</v>
      </c>
      <c r="D38">
        <f t="shared" si="2"/>
        <v>85</v>
      </c>
      <c r="E38">
        <f t="shared" si="3"/>
        <v>0</v>
      </c>
      <c r="F38">
        <f t="shared" si="4"/>
        <v>45</v>
      </c>
      <c r="H38" cm="1">
        <f t="array" ref="H38">MMULT(C38:D38,TRANSPOSE($C$15:$D$15))</f>
        <v>71.75</v>
      </c>
      <c r="I38" cm="1">
        <f t="array" ref="I38">MMULT(E38:F38,TRANSPOSE($C$15:$D$15))</f>
        <v>15.749999999999998</v>
      </c>
      <c r="J38">
        <f t="shared" si="0"/>
        <v>87.5</v>
      </c>
      <c r="L38">
        <f t="shared" si="5"/>
        <v>-2.4390243902439046E-2</v>
      </c>
      <c r="M38">
        <f t="shared" si="6"/>
        <v>0.18466898954703836</v>
      </c>
      <c r="N38">
        <f t="shared" si="7"/>
        <v>-1</v>
      </c>
      <c r="O38">
        <f t="shared" si="8"/>
        <v>1.8571428571428577</v>
      </c>
      <c r="Q38" cm="1">
        <f t="array" ref="Q38">MMULT($C$14:$D$14,TRANSPOSE(L38:M38))</f>
        <v>6.968641114982578E-2</v>
      </c>
      <c r="R38">
        <f t="shared" si="9"/>
        <v>0.10400565544668505</v>
      </c>
      <c r="S38" cm="1">
        <f t="array" ref="S38">MMULT($C$14:$D$14,TRANSPOSE(N38:O38))</f>
        <v>0.28571428571428581</v>
      </c>
      <c r="T38">
        <f t="shared" si="10"/>
        <v>1.4214106244380287</v>
      </c>
      <c r="V38">
        <f t="shared" si="11"/>
        <v>0.82</v>
      </c>
      <c r="X38">
        <f t="shared" si="12"/>
        <v>0.1085714285714286</v>
      </c>
    </row>
    <row r="39" spans="2:24" x14ac:dyDescent="0.2">
      <c r="B39">
        <f t="shared" si="13"/>
        <v>90</v>
      </c>
      <c r="C39">
        <f t="shared" si="1"/>
        <v>70</v>
      </c>
      <c r="D39">
        <f t="shared" si="2"/>
        <v>90</v>
      </c>
      <c r="E39">
        <f t="shared" si="3"/>
        <v>0</v>
      </c>
      <c r="F39">
        <f t="shared" si="4"/>
        <v>40</v>
      </c>
      <c r="H39" cm="1">
        <f t="array" ref="H39">MMULT(C39:D39,TRANSPOSE($C$15:$D$15))</f>
        <v>73.5</v>
      </c>
      <c r="I39" cm="1">
        <f t="array" ref="I39">MMULT(E39:F39,TRANSPOSE($C$15:$D$15))</f>
        <v>14</v>
      </c>
      <c r="J39">
        <f t="shared" si="0"/>
        <v>87.5</v>
      </c>
      <c r="L39">
        <f t="shared" si="5"/>
        <v>-4.7619047619047672E-2</v>
      </c>
      <c r="M39">
        <f t="shared" si="6"/>
        <v>0.22448979591836737</v>
      </c>
      <c r="N39">
        <f t="shared" si="7"/>
        <v>-1</v>
      </c>
      <c r="O39">
        <f t="shared" si="8"/>
        <v>1.8571428571428572</v>
      </c>
      <c r="Q39" cm="1">
        <f t="array" ref="Q39">MMULT($C$14:$D$14,TRANSPOSE(L39:M39))</f>
        <v>7.4829931972789088E-2</v>
      </c>
      <c r="R39">
        <f t="shared" si="9"/>
        <v>0.13537244042266941</v>
      </c>
      <c r="S39" cm="1">
        <f t="array" ref="S39">MMULT($C$14:$D$14,TRANSPOSE(N39:O39))</f>
        <v>0.28571428571428559</v>
      </c>
      <c r="T39">
        <f t="shared" si="10"/>
        <v>1.4214106244380287</v>
      </c>
      <c r="V39">
        <f t="shared" si="11"/>
        <v>0.84</v>
      </c>
      <c r="X39">
        <f t="shared" si="12"/>
        <v>0.10857142857142854</v>
      </c>
    </row>
    <row r="40" spans="2:24" x14ac:dyDescent="0.2">
      <c r="B40">
        <f t="shared" si="13"/>
        <v>95</v>
      </c>
      <c r="C40">
        <f t="shared" si="1"/>
        <v>70</v>
      </c>
      <c r="D40">
        <f t="shared" si="2"/>
        <v>95</v>
      </c>
      <c r="E40">
        <f t="shared" si="3"/>
        <v>0</v>
      </c>
      <c r="F40">
        <f t="shared" si="4"/>
        <v>35</v>
      </c>
      <c r="H40" cm="1">
        <f t="array" ref="H40">MMULT(C40:D40,TRANSPOSE($C$15:$D$15))</f>
        <v>75.25</v>
      </c>
      <c r="I40" cm="1">
        <f t="array" ref="I40">MMULT(E40:F40,TRANSPOSE($C$15:$D$15))</f>
        <v>12.25</v>
      </c>
      <c r="J40">
        <f t="shared" si="0"/>
        <v>87.5</v>
      </c>
      <c r="L40">
        <f t="shared" si="5"/>
        <v>-6.9767441860465129E-2</v>
      </c>
      <c r="M40">
        <f t="shared" si="6"/>
        <v>0.2624584717607974</v>
      </c>
      <c r="N40">
        <f t="shared" si="7"/>
        <v>-1</v>
      </c>
      <c r="O40">
        <f t="shared" si="8"/>
        <v>1.8571428571428572</v>
      </c>
      <c r="Q40" cm="1">
        <f t="array" ref="Q40">MMULT($C$14:$D$14,TRANSPOSE(L40:M40))</f>
        <v>7.9734219269102999E-2</v>
      </c>
      <c r="R40">
        <f t="shared" si="9"/>
        <v>0.16528030516721265</v>
      </c>
      <c r="S40" cm="1">
        <f t="array" ref="S40">MMULT($C$14:$D$14,TRANSPOSE(N40:O40))</f>
        <v>0.28571428571428559</v>
      </c>
      <c r="T40">
        <f t="shared" si="10"/>
        <v>1.4214106244380287</v>
      </c>
      <c r="V40">
        <f t="shared" si="11"/>
        <v>0.86</v>
      </c>
      <c r="X40">
        <f t="shared" si="12"/>
        <v>0.10857142857142857</v>
      </c>
    </row>
    <row r="41" spans="2:24" x14ac:dyDescent="0.2">
      <c r="B41">
        <f>B40+5</f>
        <v>100</v>
      </c>
      <c r="C41">
        <f t="shared" si="1"/>
        <v>70</v>
      </c>
      <c r="D41">
        <f t="shared" si="2"/>
        <v>100</v>
      </c>
      <c r="E41">
        <f t="shared" si="3"/>
        <v>0</v>
      </c>
      <c r="F41">
        <f t="shared" si="4"/>
        <v>30</v>
      </c>
      <c r="H41" cm="1">
        <f t="array" ref="H41">MMULT(C41:D41,TRANSPOSE($C$15:$D$15))</f>
        <v>77</v>
      </c>
      <c r="I41" cm="1">
        <f t="array" ref="I41">MMULT(E41:F41,TRANSPOSE($C$15:$D$15))</f>
        <v>10.5</v>
      </c>
      <c r="J41">
        <f t="shared" si="0"/>
        <v>87.5</v>
      </c>
      <c r="L41">
        <f t="shared" si="5"/>
        <v>-9.0909090909090939E-2</v>
      </c>
      <c r="M41">
        <f t="shared" si="6"/>
        <v>0.29870129870129869</v>
      </c>
      <c r="N41">
        <f t="shared" si="7"/>
        <v>-1</v>
      </c>
      <c r="O41">
        <f t="shared" si="8"/>
        <v>1.8571428571428572</v>
      </c>
      <c r="Q41" cm="1">
        <f t="array" ref="Q41">MMULT($C$14:$D$14,TRANSPOSE(L41:M41))</f>
        <v>8.4415584415584388E-2</v>
      </c>
      <c r="R41">
        <f t="shared" si="9"/>
        <v>0.19382872151427663</v>
      </c>
      <c r="S41" cm="1">
        <f t="array" ref="S41">MMULT($C$14:$D$14,TRANSPOSE(N41:O41))</f>
        <v>0.28571428571428559</v>
      </c>
      <c r="T41">
        <f t="shared" si="10"/>
        <v>1.4214106244380287</v>
      </c>
      <c r="V41">
        <f t="shared" si="11"/>
        <v>0.88</v>
      </c>
      <c r="X41">
        <f t="shared" si="12"/>
        <v>0.10857142857142853</v>
      </c>
    </row>
    <row r="42" spans="2:24" x14ac:dyDescent="0.2">
      <c r="B42">
        <f t="shared" si="13"/>
        <v>105</v>
      </c>
      <c r="C42">
        <f t="shared" si="1"/>
        <v>70</v>
      </c>
      <c r="D42">
        <f t="shared" si="2"/>
        <v>105</v>
      </c>
      <c r="E42">
        <f t="shared" si="3"/>
        <v>0</v>
      </c>
      <c r="F42">
        <f t="shared" si="4"/>
        <v>25</v>
      </c>
      <c r="H42" cm="1">
        <f t="array" ref="H42">MMULT(C42:D42,TRANSPOSE($C$15:$D$15))</f>
        <v>78.75</v>
      </c>
      <c r="I42" cm="1">
        <f t="array" ref="I42">MMULT(E42:F42,TRANSPOSE($C$15:$D$15))</f>
        <v>8.75</v>
      </c>
      <c r="J42">
        <f t="shared" si="0"/>
        <v>87.5</v>
      </c>
      <c r="L42">
        <f t="shared" si="5"/>
        <v>-0.11111111111111116</v>
      </c>
      <c r="M42">
        <f t="shared" si="6"/>
        <v>0.33333333333333326</v>
      </c>
      <c r="N42">
        <f t="shared" si="7"/>
        <v>-1</v>
      </c>
      <c r="O42">
        <f t="shared" si="8"/>
        <v>1.8571428571428572</v>
      </c>
      <c r="Q42" cm="1">
        <f t="array" ref="Q42">MMULT($C$14:$D$14,TRANSPOSE(L42:M42))</f>
        <v>8.8888888888888795E-2</v>
      </c>
      <c r="R42">
        <f t="shared" si="9"/>
        <v>0.22110831935702666</v>
      </c>
      <c r="S42" cm="1">
        <f t="array" ref="S42">MMULT($C$14:$D$14,TRANSPOSE(N42:O42))</f>
        <v>0.28571428571428559</v>
      </c>
      <c r="T42">
        <f t="shared" si="10"/>
        <v>1.4214106244380287</v>
      </c>
      <c r="V42">
        <f t="shared" si="11"/>
        <v>0.9</v>
      </c>
      <c r="X42">
        <f t="shared" si="12"/>
        <v>0.10857142857142847</v>
      </c>
    </row>
    <row r="43" spans="2:24" x14ac:dyDescent="0.2">
      <c r="B43">
        <f t="shared" si="13"/>
        <v>110</v>
      </c>
      <c r="C43">
        <f t="shared" si="1"/>
        <v>70</v>
      </c>
      <c r="D43">
        <f t="shared" si="2"/>
        <v>110</v>
      </c>
      <c r="E43">
        <f t="shared" si="3"/>
        <v>0</v>
      </c>
      <c r="F43">
        <f t="shared" si="4"/>
        <v>20</v>
      </c>
      <c r="H43" cm="1">
        <f t="array" ref="H43">MMULT(C43:D43,TRANSPOSE($C$15:$D$15))</f>
        <v>80.5</v>
      </c>
      <c r="I43" cm="1">
        <f t="array" ref="I43">MMULT(E43:F43,TRANSPOSE($C$15:$D$15))</f>
        <v>7</v>
      </c>
      <c r="J43">
        <f t="shared" si="0"/>
        <v>87.5</v>
      </c>
      <c r="L43">
        <f t="shared" si="5"/>
        <v>-0.13043478260869568</v>
      </c>
      <c r="M43">
        <f t="shared" si="6"/>
        <v>0.36645962732919246</v>
      </c>
      <c r="N43">
        <f t="shared" si="7"/>
        <v>-1</v>
      </c>
      <c r="O43">
        <f t="shared" si="8"/>
        <v>1.8571428571428572</v>
      </c>
      <c r="Q43" cm="1">
        <f t="array" ref="Q43">MMULT($C$14:$D$14,TRANSPOSE(L43:M43))</f>
        <v>9.3167701863353977E-2</v>
      </c>
      <c r="R43">
        <f t="shared" si="9"/>
        <v>0.24720184772835274</v>
      </c>
      <c r="S43" cm="1">
        <f t="array" ref="S43">MMULT($C$14:$D$14,TRANSPOSE(N43:O43))</f>
        <v>0.28571428571428559</v>
      </c>
      <c r="T43">
        <f t="shared" si="10"/>
        <v>1.4214106244380287</v>
      </c>
      <c r="V43">
        <f t="shared" si="11"/>
        <v>0.92</v>
      </c>
      <c r="X43">
        <f t="shared" si="12"/>
        <v>0.1085714285714285</v>
      </c>
    </row>
    <row r="44" spans="2:24" x14ac:dyDescent="0.2">
      <c r="B44">
        <f t="shared" si="13"/>
        <v>115</v>
      </c>
      <c r="C44">
        <f t="shared" si="1"/>
        <v>70</v>
      </c>
      <c r="D44">
        <f t="shared" si="2"/>
        <v>115</v>
      </c>
      <c r="E44">
        <f t="shared" si="3"/>
        <v>0</v>
      </c>
      <c r="F44">
        <f t="shared" si="4"/>
        <v>15</v>
      </c>
      <c r="H44" cm="1">
        <f t="array" ref="H44">MMULT(C44:D44,TRANSPOSE($C$15:$D$15))</f>
        <v>82.25</v>
      </c>
      <c r="I44" cm="1">
        <f t="array" ref="I44">MMULT(E44:F44,TRANSPOSE($C$15:$D$15))</f>
        <v>5.25</v>
      </c>
      <c r="J44">
        <f t="shared" si="0"/>
        <v>87.5</v>
      </c>
      <c r="L44">
        <f t="shared" si="5"/>
        <v>-0.14893617021276595</v>
      </c>
      <c r="M44">
        <f t="shared" si="6"/>
        <v>0.39817629179331315</v>
      </c>
      <c r="N44">
        <f t="shared" si="7"/>
        <v>-1</v>
      </c>
      <c r="O44">
        <f t="shared" si="8"/>
        <v>1.8571428571428572</v>
      </c>
      <c r="Q44" cm="1">
        <f t="array" ref="Q44">MMULT($C$14:$D$14,TRANSPOSE(L44:M44))</f>
        <v>9.7264437689969618E-2</v>
      </c>
      <c r="R44">
        <f t="shared" si="9"/>
        <v>0.27218501319026084</v>
      </c>
      <c r="S44" cm="1">
        <f t="array" ref="S44">MMULT($C$14:$D$14,TRANSPOSE(N44:O44))</f>
        <v>0.28571428571428559</v>
      </c>
      <c r="T44">
        <f t="shared" si="10"/>
        <v>1.4214106244380287</v>
      </c>
      <c r="V44">
        <f t="shared" si="11"/>
        <v>0.94</v>
      </c>
      <c r="X44">
        <f t="shared" si="12"/>
        <v>0.1085714285714286</v>
      </c>
    </row>
    <row r="45" spans="2:24" x14ac:dyDescent="0.2">
      <c r="B45">
        <f t="shared" si="13"/>
        <v>120</v>
      </c>
      <c r="C45">
        <f t="shared" si="1"/>
        <v>70</v>
      </c>
      <c r="D45">
        <f t="shared" si="2"/>
        <v>120</v>
      </c>
      <c r="E45">
        <f t="shared" si="3"/>
        <v>0</v>
      </c>
      <c r="F45">
        <f t="shared" si="4"/>
        <v>10</v>
      </c>
      <c r="H45" cm="1">
        <f t="array" ref="H45">MMULT(C45:D45,TRANSPOSE($C$15:$D$15))</f>
        <v>84</v>
      </c>
      <c r="I45" cm="1">
        <f t="array" ref="I45">MMULT(E45:F45,TRANSPOSE($C$15:$D$15))</f>
        <v>3.5</v>
      </c>
      <c r="J45">
        <f t="shared" si="0"/>
        <v>87.5</v>
      </c>
      <c r="L45">
        <f t="shared" si="5"/>
        <v>-0.16666666666666663</v>
      </c>
      <c r="M45">
        <f t="shared" si="6"/>
        <v>0.4285714285714286</v>
      </c>
      <c r="N45">
        <f t="shared" si="7"/>
        <v>-1</v>
      </c>
      <c r="O45">
        <f t="shared" si="8"/>
        <v>1.8571428571428572</v>
      </c>
      <c r="Q45" cm="1">
        <f t="array" ref="Q45">MMULT($C$14:$D$14,TRANSPOSE(L45:M45))</f>
        <v>0.10119047619047621</v>
      </c>
      <c r="R45">
        <f t="shared" si="9"/>
        <v>0.29612721342458925</v>
      </c>
      <c r="S45" cm="1">
        <f t="array" ref="S45">MMULT($C$14:$D$14,TRANSPOSE(N45:O45))</f>
        <v>0.28571428571428559</v>
      </c>
      <c r="T45">
        <f t="shared" si="10"/>
        <v>1.4214106244380287</v>
      </c>
      <c r="V45">
        <f t="shared" si="11"/>
        <v>0.96</v>
      </c>
      <c r="X45">
        <f t="shared" si="12"/>
        <v>0.1085714285714286</v>
      </c>
    </row>
    <row r="46" spans="2:24" x14ac:dyDescent="0.2">
      <c r="B46">
        <f t="shared" si="13"/>
        <v>125</v>
      </c>
      <c r="C46">
        <f t="shared" si="1"/>
        <v>70</v>
      </c>
      <c r="D46">
        <f t="shared" si="2"/>
        <v>125</v>
      </c>
      <c r="E46">
        <f t="shared" si="3"/>
        <v>0</v>
      </c>
      <c r="F46">
        <f t="shared" si="4"/>
        <v>5</v>
      </c>
      <c r="H46" cm="1">
        <f t="array" ref="H46">MMULT(C46:D46,TRANSPOSE($C$15:$D$15))</f>
        <v>85.75</v>
      </c>
      <c r="I46" cm="1">
        <f t="array" ref="I46">MMULT(E46:F46,TRANSPOSE($C$15:$D$15))</f>
        <v>1.75</v>
      </c>
      <c r="J46">
        <f t="shared" si="0"/>
        <v>87.5</v>
      </c>
      <c r="L46">
        <f t="shared" si="5"/>
        <v>-0.18367346938775508</v>
      </c>
      <c r="M46">
        <f t="shared" si="6"/>
        <v>0.45772594752186579</v>
      </c>
      <c r="N46">
        <f t="shared" si="7"/>
        <v>-1</v>
      </c>
      <c r="O46">
        <f t="shared" si="8"/>
        <v>1.8571428571428572</v>
      </c>
      <c r="Q46" cm="1">
        <f t="array" ref="Q46">MMULT($C$14:$D$14,TRANSPOSE(L46:M46))</f>
        <v>0.10495626822157426</v>
      </c>
      <c r="R46">
        <f t="shared" si="9"/>
        <v>0.31909218099629205</v>
      </c>
      <c r="S46" cm="1">
        <f t="array" ref="S46">MMULT($C$14:$D$14,TRANSPOSE(N46:O46))</f>
        <v>0.28571428571428559</v>
      </c>
      <c r="T46">
        <f t="shared" si="10"/>
        <v>1.4214106244380287</v>
      </c>
      <c r="V46">
        <f t="shared" si="11"/>
        <v>0.98</v>
      </c>
      <c r="X46">
        <f t="shared" si="12"/>
        <v>0.10857142857142849</v>
      </c>
    </row>
    <row r="47" spans="2:24" x14ac:dyDescent="0.2">
      <c r="B47">
        <f>B46+5</f>
        <v>130</v>
      </c>
      <c r="C47">
        <f t="shared" si="1"/>
        <v>70</v>
      </c>
      <c r="D47">
        <f t="shared" si="2"/>
        <v>130</v>
      </c>
      <c r="E47">
        <f t="shared" si="3"/>
        <v>0</v>
      </c>
      <c r="F47">
        <f t="shared" si="4"/>
        <v>0</v>
      </c>
      <c r="H47" cm="1">
        <f t="array" ref="H47">MMULT(C47:D47,TRANSPOSE($C$15:$D$15))</f>
        <v>87.5</v>
      </c>
      <c r="I47" cm="1">
        <f t="array" ref="I47">MMULT(E47:F47,TRANSPOSE($C$15:$D$15))</f>
        <v>0</v>
      </c>
      <c r="J47">
        <f t="shared" si="0"/>
        <v>87.5</v>
      </c>
      <c r="L47">
        <f t="shared" si="5"/>
        <v>-0.19999999999999996</v>
      </c>
      <c r="M47">
        <f t="shared" si="6"/>
        <v>0.48571428571428577</v>
      </c>
      <c r="N47" t="e">
        <f t="shared" si="7"/>
        <v>#DIV/0!</v>
      </c>
      <c r="O47" t="e">
        <f t="shared" si="8"/>
        <v>#DIV/0!</v>
      </c>
      <c r="Q47" cm="1">
        <f t="array" ref="Q47">MMULT($C$14:$D$14,TRANSPOSE(L47:M47))</f>
        <v>0.1085714285714286</v>
      </c>
      <c r="R47">
        <f t="shared" si="9"/>
        <v>0.34113854986512682</v>
      </c>
      <c r="S47" t="e" cm="1">
        <f t="array" ref="S47">MMULT($C$14:$D$14,TRANSPOSE(N47:O47))</f>
        <v>#DIV/0!</v>
      </c>
      <c r="T47" t="e">
        <f t="shared" si="10"/>
        <v>#DIV/0!</v>
      </c>
      <c r="V47">
        <f t="shared" si="11"/>
        <v>1</v>
      </c>
      <c r="X47" t="e">
        <f t="shared" si="12"/>
        <v>#DIV/0!</v>
      </c>
    </row>
    <row r="50" spans="1:4" x14ac:dyDescent="0.2">
      <c r="A50" t="s">
        <v>110</v>
      </c>
      <c r="B50" t="s">
        <v>111</v>
      </c>
    </row>
    <row r="52" spans="1:4" x14ac:dyDescent="0.2">
      <c r="B52" t="s">
        <v>115</v>
      </c>
      <c r="C52" t="s">
        <v>116</v>
      </c>
      <c r="D52" t="s">
        <v>117</v>
      </c>
    </row>
    <row r="53" spans="1:4" x14ac:dyDescent="0.2">
      <c r="B53" s="12">
        <f>V21</f>
        <v>0</v>
      </c>
      <c r="C53" s="48">
        <f>C54</f>
        <v>5.2631578947368363E-2</v>
      </c>
      <c r="D53">
        <f>S21</f>
        <v>0.1085714285714286</v>
      </c>
    </row>
    <row r="54" spans="1:4" x14ac:dyDescent="0.2">
      <c r="B54" s="12">
        <f t="shared" ref="B54:B79" si="14">V22</f>
        <v>5.4285714285714284E-2</v>
      </c>
      <c r="C54" s="48">
        <f t="shared" ref="C54:C79" si="15">Q22</f>
        <v>5.2631578947368363E-2</v>
      </c>
      <c r="D54">
        <f t="shared" ref="D54:D78" si="16">S22</f>
        <v>0.11178247734138974</v>
      </c>
    </row>
    <row r="55" spans="1:4" x14ac:dyDescent="0.2">
      <c r="B55" s="12">
        <f t="shared" si="14"/>
        <v>0.10857142857142857</v>
      </c>
      <c r="C55" s="48">
        <f t="shared" si="15"/>
        <v>5.2631578947368363E-2</v>
      </c>
      <c r="D55">
        <f t="shared" si="16"/>
        <v>0.11538461538461542</v>
      </c>
    </row>
    <row r="56" spans="1:4" x14ac:dyDescent="0.2">
      <c r="B56" s="12">
        <f t="shared" si="14"/>
        <v>0.16285714285714287</v>
      </c>
      <c r="C56" s="48">
        <f t="shared" si="15"/>
        <v>5.2631578947368363E-2</v>
      </c>
      <c r="D56">
        <f t="shared" si="16"/>
        <v>0.11945392491467574</v>
      </c>
    </row>
    <row r="57" spans="1:4" x14ac:dyDescent="0.2">
      <c r="B57" s="12">
        <f t="shared" si="14"/>
        <v>0.21714285714285714</v>
      </c>
      <c r="C57" s="48">
        <f t="shared" si="15"/>
        <v>5.2631578947368363E-2</v>
      </c>
      <c r="D57">
        <f t="shared" si="16"/>
        <v>0.1240875912408759</v>
      </c>
    </row>
    <row r="58" spans="1:4" x14ac:dyDescent="0.2">
      <c r="B58" s="12">
        <f t="shared" si="14"/>
        <v>0.27142857142857141</v>
      </c>
      <c r="C58" s="48">
        <f t="shared" si="15"/>
        <v>5.2631578947368363E-2</v>
      </c>
      <c r="D58">
        <f t="shared" si="16"/>
        <v>0.12941176470588228</v>
      </c>
    </row>
    <row r="59" spans="1:4" x14ac:dyDescent="0.2">
      <c r="B59" s="12">
        <f t="shared" si="14"/>
        <v>0.32571428571428573</v>
      </c>
      <c r="C59" s="48">
        <f t="shared" si="15"/>
        <v>5.2631578947368363E-2</v>
      </c>
      <c r="D59">
        <f t="shared" si="16"/>
        <v>0.13559322033898297</v>
      </c>
    </row>
    <row r="60" spans="1:4" x14ac:dyDescent="0.2">
      <c r="B60" s="12">
        <f t="shared" si="14"/>
        <v>0.38</v>
      </c>
      <c r="C60" s="48">
        <f t="shared" si="15"/>
        <v>5.2631578947368363E-2</v>
      </c>
      <c r="D60">
        <f t="shared" si="16"/>
        <v>0.14285714285714279</v>
      </c>
    </row>
    <row r="61" spans="1:4" x14ac:dyDescent="0.2">
      <c r="B61" s="12">
        <f t="shared" si="14"/>
        <v>0.43428571428571427</v>
      </c>
      <c r="C61" s="48">
        <f t="shared" si="15"/>
        <v>5.2631578947368363E-2</v>
      </c>
      <c r="D61">
        <f t="shared" si="16"/>
        <v>0.15151515151515144</v>
      </c>
    </row>
    <row r="62" spans="1:4" x14ac:dyDescent="0.2">
      <c r="B62" s="12">
        <f t="shared" si="14"/>
        <v>0.48857142857142855</v>
      </c>
      <c r="C62" s="48">
        <f t="shared" si="15"/>
        <v>5.2631578947368363E-2</v>
      </c>
      <c r="D62">
        <f t="shared" si="16"/>
        <v>0.16201117318435748</v>
      </c>
    </row>
    <row r="63" spans="1:4" x14ac:dyDescent="0.2">
      <c r="B63" s="12">
        <f t="shared" si="14"/>
        <v>0.54285714285714282</v>
      </c>
      <c r="C63" s="48">
        <f t="shared" si="15"/>
        <v>5.2631578947368363E-2</v>
      </c>
      <c r="D63">
        <f t="shared" si="16"/>
        <v>0.17499999999999993</v>
      </c>
    </row>
    <row r="64" spans="1:4" x14ac:dyDescent="0.2">
      <c r="B64" s="12">
        <f t="shared" si="14"/>
        <v>0.5971428571428572</v>
      </c>
      <c r="C64" s="48">
        <f t="shared" si="15"/>
        <v>5.2631578947368363E-2</v>
      </c>
      <c r="D64">
        <f t="shared" si="16"/>
        <v>0.1914893617021276</v>
      </c>
    </row>
    <row r="65" spans="2:4" x14ac:dyDescent="0.2">
      <c r="B65" s="12">
        <f t="shared" si="14"/>
        <v>0.65142857142857147</v>
      </c>
      <c r="C65" s="48">
        <f t="shared" si="15"/>
        <v>5.2631578947368363E-2</v>
      </c>
      <c r="D65">
        <f t="shared" si="16"/>
        <v>0.21311475409836045</v>
      </c>
    </row>
    <row r="66" spans="2:4" x14ac:dyDescent="0.2">
      <c r="B66" s="12">
        <f t="shared" si="14"/>
        <v>0.70571428571428574</v>
      </c>
      <c r="C66" s="48">
        <f t="shared" si="15"/>
        <v>5.2631578947368363E-2</v>
      </c>
      <c r="D66">
        <f t="shared" si="16"/>
        <v>0.2427184466019417</v>
      </c>
    </row>
    <row r="67" spans="2:4" x14ac:dyDescent="0.2">
      <c r="B67" s="12">
        <f t="shared" si="14"/>
        <v>0.76</v>
      </c>
      <c r="C67" s="48">
        <f t="shared" si="15"/>
        <v>5.2631578947368363E-2</v>
      </c>
      <c r="D67">
        <f t="shared" si="16"/>
        <v>0.28571428571428559</v>
      </c>
    </row>
    <row r="68" spans="2:4" x14ac:dyDescent="0.2">
      <c r="B68" s="12">
        <f t="shared" si="14"/>
        <v>0.78</v>
      </c>
      <c r="C68" s="48">
        <f t="shared" si="15"/>
        <v>5.8608058608058594E-2</v>
      </c>
      <c r="D68">
        <f t="shared" si="16"/>
        <v>0.28571428571428559</v>
      </c>
    </row>
    <row r="69" spans="2:4" x14ac:dyDescent="0.2">
      <c r="B69" s="12">
        <f t="shared" si="14"/>
        <v>0.8</v>
      </c>
      <c r="C69" s="48">
        <f t="shared" si="15"/>
        <v>6.4285714285714252E-2</v>
      </c>
      <c r="D69">
        <f t="shared" si="16"/>
        <v>0.28571428571428559</v>
      </c>
    </row>
    <row r="70" spans="2:4" x14ac:dyDescent="0.2">
      <c r="B70" s="12">
        <f t="shared" si="14"/>
        <v>0.82</v>
      </c>
      <c r="C70" s="48">
        <f t="shared" si="15"/>
        <v>6.968641114982578E-2</v>
      </c>
      <c r="D70">
        <f t="shared" si="16"/>
        <v>0.28571428571428581</v>
      </c>
    </row>
    <row r="71" spans="2:4" x14ac:dyDescent="0.2">
      <c r="B71" s="12">
        <f t="shared" si="14"/>
        <v>0.84</v>
      </c>
      <c r="C71" s="48">
        <f t="shared" si="15"/>
        <v>7.4829931972789088E-2</v>
      </c>
      <c r="D71">
        <f t="shared" si="16"/>
        <v>0.28571428571428559</v>
      </c>
    </row>
    <row r="72" spans="2:4" x14ac:dyDescent="0.2">
      <c r="B72" s="12">
        <f t="shared" si="14"/>
        <v>0.86</v>
      </c>
      <c r="C72" s="48">
        <f t="shared" si="15"/>
        <v>7.9734219269102999E-2</v>
      </c>
      <c r="D72">
        <f t="shared" si="16"/>
        <v>0.28571428571428559</v>
      </c>
    </row>
    <row r="73" spans="2:4" x14ac:dyDescent="0.2">
      <c r="B73" s="12">
        <f t="shared" si="14"/>
        <v>0.88</v>
      </c>
      <c r="C73" s="48">
        <f t="shared" si="15"/>
        <v>8.4415584415584388E-2</v>
      </c>
      <c r="D73">
        <f t="shared" si="16"/>
        <v>0.28571428571428559</v>
      </c>
    </row>
    <row r="74" spans="2:4" x14ac:dyDescent="0.2">
      <c r="B74" s="12">
        <f t="shared" si="14"/>
        <v>0.9</v>
      </c>
      <c r="C74" s="48">
        <f t="shared" si="15"/>
        <v>8.8888888888888795E-2</v>
      </c>
      <c r="D74">
        <f t="shared" si="16"/>
        <v>0.28571428571428559</v>
      </c>
    </row>
    <row r="75" spans="2:4" x14ac:dyDescent="0.2">
      <c r="B75" s="12">
        <f t="shared" si="14"/>
        <v>0.92</v>
      </c>
      <c r="C75" s="48">
        <f t="shared" si="15"/>
        <v>9.3167701863353977E-2</v>
      </c>
      <c r="D75">
        <f t="shared" si="16"/>
        <v>0.28571428571428559</v>
      </c>
    </row>
    <row r="76" spans="2:4" x14ac:dyDescent="0.2">
      <c r="B76" s="12">
        <f t="shared" si="14"/>
        <v>0.94</v>
      </c>
      <c r="C76" s="48">
        <f t="shared" si="15"/>
        <v>9.7264437689969618E-2</v>
      </c>
      <c r="D76">
        <f t="shared" si="16"/>
        <v>0.28571428571428559</v>
      </c>
    </row>
    <row r="77" spans="2:4" x14ac:dyDescent="0.2">
      <c r="B77" s="12">
        <f t="shared" si="14"/>
        <v>0.96</v>
      </c>
      <c r="C77" s="48">
        <f t="shared" si="15"/>
        <v>0.10119047619047621</v>
      </c>
      <c r="D77">
        <f t="shared" si="16"/>
        <v>0.28571428571428559</v>
      </c>
    </row>
    <row r="78" spans="2:4" x14ac:dyDescent="0.2">
      <c r="B78" s="12">
        <f t="shared" si="14"/>
        <v>0.98</v>
      </c>
      <c r="C78" s="48">
        <f t="shared" si="15"/>
        <v>0.10495626822157426</v>
      </c>
      <c r="D78">
        <f t="shared" si="16"/>
        <v>0.28571428571428559</v>
      </c>
    </row>
    <row r="79" spans="2:4" x14ac:dyDescent="0.2">
      <c r="B79" s="12">
        <f t="shared" si="14"/>
        <v>1</v>
      </c>
      <c r="C79" s="48">
        <f t="shared" si="15"/>
        <v>0.1085714285714286</v>
      </c>
      <c r="D79">
        <f>D78</f>
        <v>0.28571428571428559</v>
      </c>
    </row>
    <row r="82" spans="1:9" x14ac:dyDescent="0.2">
      <c r="A82" t="s">
        <v>112</v>
      </c>
      <c r="B82" t="s">
        <v>113</v>
      </c>
      <c r="C82">
        <v>0.22</v>
      </c>
      <c r="D82" t="s">
        <v>114</v>
      </c>
      <c r="E82">
        <v>80</v>
      </c>
    </row>
    <row r="84" spans="1:9" x14ac:dyDescent="0.2">
      <c r="C84" t="s">
        <v>85</v>
      </c>
      <c r="G84" t="s">
        <v>87</v>
      </c>
      <c r="I84" t="s">
        <v>57</v>
      </c>
    </row>
    <row r="85" spans="1:9" x14ac:dyDescent="0.2">
      <c r="C85" t="s">
        <v>99</v>
      </c>
      <c r="E85" t="s">
        <v>100</v>
      </c>
    </row>
    <row r="86" spans="1:9" x14ac:dyDescent="0.2">
      <c r="B86" t="s">
        <v>107</v>
      </c>
      <c r="C86" t="s">
        <v>78</v>
      </c>
      <c r="D86" t="s">
        <v>79</v>
      </c>
      <c r="E86" t="s">
        <v>78</v>
      </c>
      <c r="F86" t="s">
        <v>79</v>
      </c>
      <c r="G86" t="s">
        <v>101</v>
      </c>
      <c r="H86" t="s">
        <v>102</v>
      </c>
      <c r="I86" t="s">
        <v>103</v>
      </c>
    </row>
    <row r="87" spans="1:9" x14ac:dyDescent="0.2">
      <c r="B87">
        <v>0</v>
      </c>
      <c r="C87">
        <f>B87</f>
        <v>0</v>
      </c>
      <c r="D87">
        <f>C87</f>
        <v>0</v>
      </c>
      <c r="E87">
        <f>$C$13-D87</f>
        <v>70</v>
      </c>
      <c r="F87" s="47">
        <f>$D$13-C87-$C$82*($D$13-$E$82-(B87-H21))</f>
        <v>119</v>
      </c>
      <c r="G87">
        <f>H21</f>
        <v>0</v>
      </c>
      <c r="H87" s="57" cm="1">
        <f t="array" ref="H87">MMULT($C$15:$D$15,TRANSPOSE(E87:F87))</f>
        <v>83.65</v>
      </c>
      <c r="I87" s="57">
        <f>SUM(G87:H87)</f>
        <v>83.65</v>
      </c>
    </row>
    <row r="88" spans="1:9" x14ac:dyDescent="0.2">
      <c r="B88">
        <f>B87+5</f>
        <v>5</v>
      </c>
      <c r="C88">
        <f t="shared" ref="C88:D88" si="17">B88</f>
        <v>5</v>
      </c>
      <c r="D88">
        <f t="shared" si="17"/>
        <v>5</v>
      </c>
      <c r="E88">
        <f>$C$13-D88</f>
        <v>65</v>
      </c>
      <c r="F88" s="47">
        <f t="shared" ref="F88:F101" si="18">$D$13-C88-$C$82*($D$13-$E$82-(B88-H22))</f>
        <v>114.05500000000001</v>
      </c>
      <c r="G88">
        <f t="shared" ref="G88:G101" si="19">H22</f>
        <v>4.75</v>
      </c>
      <c r="H88" s="57" cm="1">
        <f t="array" ref="H88">MMULT($C$15:$D$15,TRANSPOSE(E88:F88))</f>
        <v>78.919250000000005</v>
      </c>
      <c r="I88" s="57">
        <f t="shared" ref="I88:I101" si="20">SUM(G88:H88)</f>
        <v>83.669250000000005</v>
      </c>
    </row>
    <row r="89" spans="1:9" x14ac:dyDescent="0.2">
      <c r="B89">
        <f t="shared" ref="B89:B101" si="21">B88+5</f>
        <v>10</v>
      </c>
      <c r="C89">
        <f t="shared" ref="C89:D89" si="22">B89</f>
        <v>10</v>
      </c>
      <c r="D89">
        <f t="shared" si="22"/>
        <v>10</v>
      </c>
      <c r="E89">
        <f t="shared" ref="E89:E101" si="23">$C$13-D89</f>
        <v>60</v>
      </c>
      <c r="F89" s="47">
        <f t="shared" si="18"/>
        <v>109.11</v>
      </c>
      <c r="G89">
        <f t="shared" si="19"/>
        <v>9.5</v>
      </c>
      <c r="H89" s="57" cm="1">
        <f t="array" ref="H89">MMULT($C$15:$D$15,TRANSPOSE(E89:F89))</f>
        <v>74.188500000000005</v>
      </c>
      <c r="I89" s="57">
        <f t="shared" si="20"/>
        <v>83.688500000000005</v>
      </c>
    </row>
    <row r="90" spans="1:9" x14ac:dyDescent="0.2">
      <c r="B90">
        <f t="shared" si="21"/>
        <v>15</v>
      </c>
      <c r="C90">
        <f t="shared" ref="C90:D90" si="24">B90</f>
        <v>15</v>
      </c>
      <c r="D90">
        <f t="shared" si="24"/>
        <v>15</v>
      </c>
      <c r="E90">
        <f t="shared" si="23"/>
        <v>55</v>
      </c>
      <c r="F90" s="47">
        <f t="shared" si="18"/>
        <v>104.16499999999999</v>
      </c>
      <c r="G90">
        <f t="shared" si="19"/>
        <v>14.25</v>
      </c>
      <c r="H90" s="57" cm="1">
        <f t="array" ref="H90">MMULT($C$15:$D$15,TRANSPOSE(E90:F90))</f>
        <v>69.457750000000004</v>
      </c>
      <c r="I90" s="57">
        <f t="shared" si="20"/>
        <v>83.707750000000004</v>
      </c>
    </row>
    <row r="91" spans="1:9" x14ac:dyDescent="0.2">
      <c r="B91">
        <f t="shared" si="21"/>
        <v>20</v>
      </c>
      <c r="C91">
        <f t="shared" ref="C91:D91" si="25">B91</f>
        <v>20</v>
      </c>
      <c r="D91">
        <f t="shared" si="25"/>
        <v>20</v>
      </c>
      <c r="E91">
        <f t="shared" si="23"/>
        <v>50</v>
      </c>
      <c r="F91" s="47">
        <f t="shared" si="18"/>
        <v>99.22</v>
      </c>
      <c r="G91">
        <f t="shared" si="19"/>
        <v>19</v>
      </c>
      <c r="H91" s="57" cm="1">
        <f t="array" ref="H91">MMULT($C$15:$D$15,TRANSPOSE(E91:F91))</f>
        <v>64.727000000000004</v>
      </c>
      <c r="I91" s="57">
        <f t="shared" si="20"/>
        <v>83.727000000000004</v>
      </c>
    </row>
    <row r="92" spans="1:9" x14ac:dyDescent="0.2">
      <c r="B92">
        <f t="shared" si="21"/>
        <v>25</v>
      </c>
      <c r="C92">
        <f t="shared" ref="C92:D92" si="26">B92</f>
        <v>25</v>
      </c>
      <c r="D92">
        <f t="shared" si="26"/>
        <v>25</v>
      </c>
      <c r="E92">
        <f t="shared" si="23"/>
        <v>45</v>
      </c>
      <c r="F92" s="47">
        <f t="shared" si="18"/>
        <v>94.275000000000006</v>
      </c>
      <c r="G92">
        <f t="shared" si="19"/>
        <v>23.75</v>
      </c>
      <c r="H92" s="57" cm="1">
        <f t="array" ref="H92">MMULT($C$15:$D$15,TRANSPOSE(E92:F92))</f>
        <v>59.996250000000003</v>
      </c>
      <c r="I92" s="57">
        <f t="shared" si="20"/>
        <v>83.746250000000003</v>
      </c>
    </row>
    <row r="93" spans="1:9" x14ac:dyDescent="0.2">
      <c r="B93">
        <f t="shared" si="21"/>
        <v>30</v>
      </c>
      <c r="C93">
        <f t="shared" ref="C93:D93" si="27">B93</f>
        <v>30</v>
      </c>
      <c r="D93">
        <f t="shared" si="27"/>
        <v>30</v>
      </c>
      <c r="E93">
        <f t="shared" si="23"/>
        <v>40</v>
      </c>
      <c r="F93" s="47">
        <f t="shared" si="18"/>
        <v>89.33</v>
      </c>
      <c r="G93">
        <f t="shared" si="19"/>
        <v>28.5</v>
      </c>
      <c r="H93" s="57" cm="1">
        <f t="array" ref="H93">MMULT($C$15:$D$15,TRANSPOSE(E93:F93))</f>
        <v>55.265499999999996</v>
      </c>
      <c r="I93" s="57">
        <f t="shared" si="20"/>
        <v>83.765500000000003</v>
      </c>
    </row>
    <row r="94" spans="1:9" x14ac:dyDescent="0.2">
      <c r="B94">
        <f t="shared" si="21"/>
        <v>35</v>
      </c>
      <c r="C94">
        <f t="shared" ref="C94:D94" si="28">B94</f>
        <v>35</v>
      </c>
      <c r="D94">
        <f t="shared" si="28"/>
        <v>35</v>
      </c>
      <c r="E94">
        <f t="shared" si="23"/>
        <v>35</v>
      </c>
      <c r="F94" s="47">
        <f t="shared" si="18"/>
        <v>84.385000000000005</v>
      </c>
      <c r="G94">
        <f t="shared" si="19"/>
        <v>33.25</v>
      </c>
      <c r="H94" s="57" cm="1">
        <f t="array" ref="H94">MMULT($C$15:$D$15,TRANSPOSE(E94:F94))</f>
        <v>50.534750000000003</v>
      </c>
      <c r="I94" s="57">
        <f t="shared" si="20"/>
        <v>83.784750000000003</v>
      </c>
    </row>
    <row r="95" spans="1:9" x14ac:dyDescent="0.2">
      <c r="B95">
        <f t="shared" si="21"/>
        <v>40</v>
      </c>
      <c r="C95">
        <f t="shared" ref="C95:D95" si="29">B95</f>
        <v>40</v>
      </c>
      <c r="D95">
        <f t="shared" si="29"/>
        <v>40</v>
      </c>
      <c r="E95">
        <f t="shared" si="23"/>
        <v>30</v>
      </c>
      <c r="F95" s="47">
        <f t="shared" si="18"/>
        <v>79.44</v>
      </c>
      <c r="G95">
        <f t="shared" si="19"/>
        <v>38</v>
      </c>
      <c r="H95" s="57" cm="1">
        <f t="array" ref="H95">MMULT($C$15:$D$15,TRANSPOSE(E95:F95))</f>
        <v>45.804000000000002</v>
      </c>
      <c r="I95" s="57">
        <f t="shared" si="20"/>
        <v>83.804000000000002</v>
      </c>
    </row>
    <row r="96" spans="1:9" x14ac:dyDescent="0.2">
      <c r="B96">
        <f t="shared" si="21"/>
        <v>45</v>
      </c>
      <c r="C96">
        <f t="shared" ref="C96:D96" si="30">B96</f>
        <v>45</v>
      </c>
      <c r="D96">
        <f t="shared" si="30"/>
        <v>45</v>
      </c>
      <c r="E96">
        <f t="shared" si="23"/>
        <v>25</v>
      </c>
      <c r="F96" s="47">
        <f t="shared" si="18"/>
        <v>74.495000000000005</v>
      </c>
      <c r="G96">
        <f t="shared" si="19"/>
        <v>42.75</v>
      </c>
      <c r="H96" s="57" cm="1">
        <f t="array" ref="H96">MMULT($C$15:$D$15,TRANSPOSE(E96:F96))</f>
        <v>41.073250000000002</v>
      </c>
      <c r="I96" s="57">
        <f t="shared" si="20"/>
        <v>83.823250000000002</v>
      </c>
    </row>
    <row r="97" spans="2:9" x14ac:dyDescent="0.2">
      <c r="B97">
        <f t="shared" si="21"/>
        <v>50</v>
      </c>
      <c r="C97">
        <f t="shared" ref="C97:D97" si="31">B97</f>
        <v>50</v>
      </c>
      <c r="D97">
        <f t="shared" si="31"/>
        <v>50</v>
      </c>
      <c r="E97">
        <f t="shared" si="23"/>
        <v>20</v>
      </c>
      <c r="F97" s="47">
        <f t="shared" si="18"/>
        <v>69.55</v>
      </c>
      <c r="G97">
        <f t="shared" si="19"/>
        <v>47.5</v>
      </c>
      <c r="H97" s="57" cm="1">
        <f t="array" ref="H97">MMULT($C$15:$D$15,TRANSPOSE(E97:F97))</f>
        <v>36.342500000000001</v>
      </c>
      <c r="I97" s="57">
        <f t="shared" si="20"/>
        <v>83.842500000000001</v>
      </c>
    </row>
    <row r="98" spans="2:9" x14ac:dyDescent="0.2">
      <c r="B98">
        <f t="shared" si="21"/>
        <v>55</v>
      </c>
      <c r="C98">
        <f t="shared" ref="C98:D98" si="32">B98</f>
        <v>55</v>
      </c>
      <c r="D98">
        <f t="shared" si="32"/>
        <v>55</v>
      </c>
      <c r="E98">
        <f t="shared" si="23"/>
        <v>15</v>
      </c>
      <c r="F98" s="47">
        <f t="shared" si="18"/>
        <v>64.605000000000004</v>
      </c>
      <c r="G98">
        <f t="shared" si="19"/>
        <v>52.25</v>
      </c>
      <c r="H98" s="57" cm="1">
        <f t="array" ref="H98">MMULT($C$15:$D$15,TRANSPOSE(E98:F98))</f>
        <v>31.611750000000001</v>
      </c>
      <c r="I98" s="57">
        <f t="shared" si="20"/>
        <v>83.861750000000001</v>
      </c>
    </row>
    <row r="99" spans="2:9" x14ac:dyDescent="0.2">
      <c r="B99">
        <f t="shared" si="21"/>
        <v>60</v>
      </c>
      <c r="C99">
        <f t="shared" ref="C99:D99" si="33">B99</f>
        <v>60</v>
      </c>
      <c r="D99">
        <f t="shared" si="33"/>
        <v>60</v>
      </c>
      <c r="E99">
        <f t="shared" si="23"/>
        <v>10</v>
      </c>
      <c r="F99" s="47">
        <f t="shared" si="18"/>
        <v>59.66</v>
      </c>
      <c r="G99">
        <f t="shared" si="19"/>
        <v>57</v>
      </c>
      <c r="H99" s="57" cm="1">
        <f t="array" ref="H99">MMULT($C$15:$D$15,TRANSPOSE(E99:F99))</f>
        <v>26.880999999999997</v>
      </c>
      <c r="I99" s="57">
        <f t="shared" si="20"/>
        <v>83.881</v>
      </c>
    </row>
    <row r="100" spans="2:9" x14ac:dyDescent="0.2">
      <c r="B100">
        <f t="shared" si="21"/>
        <v>65</v>
      </c>
      <c r="C100">
        <f t="shared" ref="C100:D100" si="34">B100</f>
        <v>65</v>
      </c>
      <c r="D100">
        <f t="shared" si="34"/>
        <v>65</v>
      </c>
      <c r="E100">
        <f t="shared" si="23"/>
        <v>5</v>
      </c>
      <c r="F100" s="47">
        <f t="shared" si="18"/>
        <v>54.715000000000003</v>
      </c>
      <c r="G100">
        <f t="shared" si="19"/>
        <v>61.75</v>
      </c>
      <c r="H100" s="57" cm="1">
        <f t="array" ref="H100">MMULT($C$15:$D$15,TRANSPOSE(E100:F100))</f>
        <v>22.15025</v>
      </c>
      <c r="I100" s="57">
        <f t="shared" si="20"/>
        <v>83.90025</v>
      </c>
    </row>
    <row r="101" spans="2:9" x14ac:dyDescent="0.2">
      <c r="B101">
        <f t="shared" si="21"/>
        <v>70</v>
      </c>
      <c r="C101">
        <f t="shared" ref="C101:D101" si="35">B101</f>
        <v>70</v>
      </c>
      <c r="D101">
        <f t="shared" si="35"/>
        <v>70</v>
      </c>
      <c r="E101">
        <f t="shared" si="23"/>
        <v>0</v>
      </c>
      <c r="F101" s="47">
        <f t="shared" si="18"/>
        <v>49.769999999999996</v>
      </c>
      <c r="G101">
        <f t="shared" si="19"/>
        <v>66.5</v>
      </c>
      <c r="H101" s="57" cm="1">
        <f t="array" ref="H101">MMULT($C$15:$D$15,TRANSPOSE(E101:F101))</f>
        <v>17.419499999999996</v>
      </c>
      <c r="I101" s="57">
        <f t="shared" si="20"/>
        <v>83.919499999999999</v>
      </c>
    </row>
    <row r="102" spans="2:9" x14ac:dyDescent="0.2">
      <c r="B102" t="s">
        <v>195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D322-D980-914F-ABBA-4D0608F7EB5E}">
  <dimension ref="A1:G38"/>
  <sheetViews>
    <sheetView workbookViewId="0">
      <selection activeCell="B10" sqref="B10"/>
    </sheetView>
  </sheetViews>
  <sheetFormatPr baseColWidth="10" defaultColWidth="14.6640625" defaultRowHeight="16" x14ac:dyDescent="0.2"/>
  <cols>
    <col min="1" max="1" width="18.83203125" bestFit="1" customWidth="1"/>
  </cols>
  <sheetData>
    <row r="1" spans="1:7" x14ac:dyDescent="0.2">
      <c r="A1" s="58"/>
    </row>
    <row r="2" spans="1:7" x14ac:dyDescent="0.2">
      <c r="A2" s="59" t="s">
        <v>196</v>
      </c>
      <c r="B2" s="60">
        <v>19</v>
      </c>
    </row>
    <row r="4" spans="1:7" x14ac:dyDescent="0.2">
      <c r="A4" s="61"/>
      <c r="B4" s="62" t="s">
        <v>197</v>
      </c>
      <c r="C4" s="62" t="s">
        <v>198</v>
      </c>
      <c r="D4" s="62" t="s">
        <v>199</v>
      </c>
    </row>
    <row r="5" spans="1:7" x14ac:dyDescent="0.2">
      <c r="A5" s="63" t="s">
        <v>200</v>
      </c>
      <c r="B5">
        <v>97</v>
      </c>
      <c r="C5">
        <v>100</v>
      </c>
      <c r="D5">
        <v>100</v>
      </c>
      <c r="F5" s="64"/>
    </row>
    <row r="6" spans="1:7" x14ac:dyDescent="0.2">
      <c r="A6" s="65" t="s">
        <v>201</v>
      </c>
      <c r="B6" s="66">
        <v>20</v>
      </c>
      <c r="C6" s="66">
        <v>24</v>
      </c>
      <c r="D6" s="66">
        <v>16</v>
      </c>
    </row>
    <row r="8" spans="1:7" x14ac:dyDescent="0.2">
      <c r="A8" s="59" t="s">
        <v>202</v>
      </c>
      <c r="B8" s="60"/>
      <c r="C8" s="59"/>
      <c r="D8" s="59"/>
    </row>
    <row r="9" spans="1:7" x14ac:dyDescent="0.2">
      <c r="A9" t="s">
        <v>203</v>
      </c>
      <c r="B9" cm="1">
        <f t="array" ref="B9:B10">MMULT(MINVERSE(C5:D6),B5:B6)</f>
        <v>0.56000000000000005</v>
      </c>
    </row>
    <row r="10" spans="1:7" x14ac:dyDescent="0.2">
      <c r="A10" t="s">
        <v>204</v>
      </c>
      <c r="B10">
        <v>0.4099999999999997</v>
      </c>
    </row>
    <row r="12" spans="1:7" x14ac:dyDescent="0.2">
      <c r="A12" s="59" t="s">
        <v>205</v>
      </c>
      <c r="B12" s="59" t="s">
        <v>197</v>
      </c>
      <c r="C12" s="59" t="s">
        <v>206</v>
      </c>
      <c r="D12" s="59" t="s">
        <v>207</v>
      </c>
    </row>
    <row r="13" spans="1:7" x14ac:dyDescent="0.2">
      <c r="A13" t="s">
        <v>208</v>
      </c>
      <c r="B13" cm="1">
        <f t="array" ref="B13">MMULT(C13:D13,_xlfn.ANCHORARRAY(B9))</f>
        <v>2.8000000000000003</v>
      </c>
      <c r="C13">
        <f>MAX(C6-$B$2,0)</f>
        <v>5</v>
      </c>
      <c r="D13">
        <f>MAX(D6-$B$2,0)</f>
        <v>0</v>
      </c>
    </row>
    <row r="15" spans="1:7" x14ac:dyDescent="0.2">
      <c r="A15" s="59" t="s">
        <v>209</v>
      </c>
      <c r="B15" s="60"/>
      <c r="C15" s="59" t="s">
        <v>210</v>
      </c>
      <c r="D15" s="59" t="s">
        <v>211</v>
      </c>
      <c r="G15" s="67"/>
    </row>
    <row r="16" spans="1:7" x14ac:dyDescent="0.2">
      <c r="A16" t="s">
        <v>212</v>
      </c>
      <c r="C16" s="64">
        <f>(C6-$B$6)/$B$6</f>
        <v>0.2</v>
      </c>
      <c r="D16" s="64">
        <f>(D6-$B$6)/$B$6</f>
        <v>-0.2</v>
      </c>
      <c r="G16" s="64"/>
    </row>
    <row r="18" spans="1:4" x14ac:dyDescent="0.2">
      <c r="A18" t="s">
        <v>213</v>
      </c>
      <c r="C18" s="64">
        <f>(C13-$B$13)/$B$13</f>
        <v>0.78571428571428559</v>
      </c>
      <c r="D18" s="64">
        <f>(D13-$B$13)/$B$13</f>
        <v>-1</v>
      </c>
    </row>
    <row r="19" spans="1:4" x14ac:dyDescent="0.2">
      <c r="D19" s="68"/>
    </row>
    <row r="28" spans="1:4" x14ac:dyDescent="0.2">
      <c r="A28" s="58"/>
    </row>
    <row r="30" spans="1:4" x14ac:dyDescent="0.2">
      <c r="A30" s="58"/>
    </row>
    <row r="33" spans="1:3" x14ac:dyDescent="0.2">
      <c r="A33" s="58"/>
    </row>
    <row r="36" spans="1:3" x14ac:dyDescent="0.2">
      <c r="B36" s="69"/>
      <c r="C36" s="69"/>
    </row>
    <row r="37" spans="1:3" x14ac:dyDescent="0.2">
      <c r="B37" s="69"/>
      <c r="C37" s="69"/>
    </row>
    <row r="38" spans="1:3" x14ac:dyDescent="0.2">
      <c r="B38" s="69"/>
      <c r="C38" s="6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9C77-0896-2E44-9C5E-1857510B10C4}">
  <dimension ref="A1:J36"/>
  <sheetViews>
    <sheetView topLeftCell="C1" workbookViewId="0">
      <selection activeCell="B30" sqref="B30"/>
    </sheetView>
  </sheetViews>
  <sheetFormatPr baseColWidth="10" defaultRowHeight="16" x14ac:dyDescent="0.2"/>
  <sheetData>
    <row r="1" spans="1:10" x14ac:dyDescent="0.2">
      <c r="A1" s="70"/>
      <c r="B1" s="70"/>
      <c r="C1" s="70"/>
      <c r="D1" s="70"/>
      <c r="E1" s="70"/>
      <c r="F1" s="70"/>
      <c r="G1" s="70"/>
      <c r="H1" s="70"/>
      <c r="I1" s="70"/>
      <c r="J1" s="70"/>
    </row>
    <row r="2" spans="1:10" x14ac:dyDescent="0.2">
      <c r="A2" s="70"/>
      <c r="B2" s="71" t="s">
        <v>214</v>
      </c>
      <c r="C2" s="72" t="s">
        <v>215</v>
      </c>
      <c r="D2" s="72" t="s">
        <v>216</v>
      </c>
      <c r="E2" s="72" t="s">
        <v>217</v>
      </c>
      <c r="F2" s="72" t="s">
        <v>218</v>
      </c>
      <c r="G2" s="72" t="s">
        <v>219</v>
      </c>
      <c r="H2" s="70"/>
      <c r="I2" s="73" t="s">
        <v>220</v>
      </c>
      <c r="J2" s="70">
        <v>0.03</v>
      </c>
    </row>
    <row r="3" spans="1:10" x14ac:dyDescent="0.2">
      <c r="A3" s="70"/>
      <c r="B3" s="74" t="s">
        <v>221</v>
      </c>
      <c r="C3" s="70">
        <v>0.1</v>
      </c>
      <c r="D3" s="70">
        <v>0.2</v>
      </c>
      <c r="E3" s="70">
        <v>0.4</v>
      </c>
      <c r="F3" s="70">
        <v>0.2</v>
      </c>
      <c r="G3" s="70">
        <v>0.1</v>
      </c>
      <c r="H3" s="70"/>
      <c r="I3" s="73" t="s">
        <v>222</v>
      </c>
      <c r="J3" s="70">
        <v>65</v>
      </c>
    </row>
    <row r="4" spans="1:10" x14ac:dyDescent="0.2">
      <c r="A4" s="70"/>
      <c r="B4" s="75" t="s">
        <v>223</v>
      </c>
      <c r="C4" s="76">
        <v>20</v>
      </c>
      <c r="D4" s="76">
        <v>50</v>
      </c>
      <c r="E4" s="76">
        <v>70</v>
      </c>
      <c r="F4" s="76">
        <v>90</v>
      </c>
      <c r="G4" s="76">
        <v>120</v>
      </c>
      <c r="H4" s="70"/>
      <c r="I4" s="70"/>
      <c r="J4" s="70"/>
    </row>
    <row r="5" spans="1:10" x14ac:dyDescent="0.2">
      <c r="A5" s="70"/>
      <c r="B5" s="70"/>
      <c r="C5" s="70"/>
      <c r="D5" s="70"/>
      <c r="E5" s="70"/>
      <c r="F5" s="70"/>
      <c r="G5" s="70"/>
      <c r="H5" s="70"/>
      <c r="I5" s="70"/>
      <c r="J5" s="70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x14ac:dyDescent="0.2">
      <c r="A7" s="77" t="s">
        <v>224</v>
      </c>
      <c r="B7" s="77"/>
      <c r="C7" s="78"/>
      <c r="D7" s="78"/>
      <c r="E7" s="78"/>
      <c r="F7" s="78"/>
      <c r="G7" s="78"/>
      <c r="H7" s="70"/>
      <c r="I7" s="70"/>
      <c r="J7" s="70"/>
    </row>
    <row r="8" spans="1:10" x14ac:dyDescent="0.2">
      <c r="A8" s="70"/>
      <c r="B8" s="73" t="s">
        <v>225</v>
      </c>
      <c r="C8" s="79" cm="1">
        <f t="array" ref="C8">MMULT(C4:G4,TRANSPOSE(C3:G3))/(1+J2)</f>
        <v>67.961165048543691</v>
      </c>
      <c r="D8" s="70"/>
      <c r="E8" s="70"/>
      <c r="F8" s="70"/>
      <c r="G8" s="70"/>
      <c r="H8" s="70"/>
      <c r="I8" s="70"/>
      <c r="J8" s="70"/>
    </row>
    <row r="9" spans="1:10" x14ac:dyDescent="0.2">
      <c r="A9" s="70"/>
      <c r="B9" s="70"/>
      <c r="C9" s="70"/>
      <c r="D9" s="70"/>
      <c r="E9" s="70"/>
      <c r="F9" s="70"/>
      <c r="G9" s="70"/>
      <c r="H9" s="70"/>
      <c r="I9" s="70"/>
      <c r="J9" s="70"/>
    </row>
    <row r="10" spans="1:10" x14ac:dyDescent="0.2">
      <c r="A10" s="77" t="s">
        <v>226</v>
      </c>
      <c r="B10" s="77"/>
      <c r="C10" s="78"/>
      <c r="D10" s="78"/>
      <c r="E10" s="78"/>
      <c r="F10" s="78"/>
      <c r="G10" s="78"/>
      <c r="H10" s="70"/>
      <c r="I10" s="70"/>
      <c r="J10" s="70"/>
    </row>
    <row r="11" spans="1:10" x14ac:dyDescent="0.2">
      <c r="A11" s="70"/>
      <c r="B11" s="71" t="s">
        <v>214</v>
      </c>
      <c r="C11" s="72" t="s">
        <v>215</v>
      </c>
      <c r="D11" s="72" t="s">
        <v>216</v>
      </c>
      <c r="E11" s="72" t="s">
        <v>217</v>
      </c>
      <c r="F11" s="72" t="s">
        <v>218</v>
      </c>
      <c r="G11" s="72" t="s">
        <v>219</v>
      </c>
      <c r="H11" s="70"/>
      <c r="I11" s="70"/>
      <c r="J11" s="70"/>
    </row>
    <row r="12" spans="1:10" x14ac:dyDescent="0.2">
      <c r="A12" s="70"/>
      <c r="B12" s="70" t="s">
        <v>227</v>
      </c>
      <c r="C12" s="70">
        <f>MAX(C4-$J$3,0)</f>
        <v>0</v>
      </c>
      <c r="D12" s="70">
        <f t="shared" ref="D12:G12" si="0">MAX(D4-$J$3,0)</f>
        <v>0</v>
      </c>
      <c r="E12" s="70">
        <f t="shared" si="0"/>
        <v>5</v>
      </c>
      <c r="F12" s="70">
        <f t="shared" si="0"/>
        <v>25</v>
      </c>
      <c r="G12" s="70">
        <f t="shared" si="0"/>
        <v>55</v>
      </c>
      <c r="H12" s="70"/>
      <c r="I12" s="70"/>
      <c r="J12" s="70"/>
    </row>
    <row r="13" spans="1:10" x14ac:dyDescent="0.2">
      <c r="A13" s="70"/>
      <c r="B13" s="70"/>
      <c r="C13" s="70"/>
      <c r="D13" s="70"/>
      <c r="E13" s="70"/>
      <c r="F13" s="70"/>
      <c r="G13" s="70"/>
      <c r="H13" s="70"/>
      <c r="I13" s="70"/>
      <c r="J13" s="70"/>
    </row>
    <row r="14" spans="1:10" x14ac:dyDescent="0.2">
      <c r="A14" s="70"/>
      <c r="B14" s="73" t="s">
        <v>228</v>
      </c>
      <c r="C14" s="79" cm="1">
        <f t="array" ref="C14">MMULT(C12:G12,TRANSPOSE(C3:G3))/(1+J2)</f>
        <v>12.135922330097086</v>
      </c>
      <c r="D14" s="70"/>
      <c r="E14" s="70"/>
      <c r="F14" s="70"/>
      <c r="G14" s="70"/>
      <c r="H14" s="70"/>
      <c r="I14" s="70"/>
      <c r="J14" s="70"/>
    </row>
    <row r="15" spans="1:10" x14ac:dyDescent="0.2">
      <c r="A15" s="70"/>
      <c r="B15" s="70"/>
      <c r="C15" s="70"/>
      <c r="D15" s="70"/>
      <c r="E15" s="70"/>
      <c r="F15" s="70"/>
      <c r="G15" s="70"/>
      <c r="H15" s="70"/>
      <c r="I15" s="70"/>
      <c r="J15" s="70"/>
    </row>
    <row r="16" spans="1:10" x14ac:dyDescent="0.2">
      <c r="A16" s="77" t="s">
        <v>229</v>
      </c>
      <c r="B16" s="77"/>
      <c r="C16" s="78"/>
      <c r="D16" s="78"/>
      <c r="E16" s="78"/>
      <c r="F16" s="78"/>
      <c r="G16" s="78"/>
      <c r="H16" s="70"/>
      <c r="I16" s="70"/>
      <c r="J16" s="70"/>
    </row>
    <row r="17" spans="1:10" x14ac:dyDescent="0.2">
      <c r="A17" s="70"/>
      <c r="B17" s="71" t="s">
        <v>214</v>
      </c>
      <c r="C17" s="72" t="s">
        <v>215</v>
      </c>
      <c r="D17" s="72" t="s">
        <v>216</v>
      </c>
      <c r="E17" s="72" t="s">
        <v>217</v>
      </c>
      <c r="F17" s="72" t="s">
        <v>218</v>
      </c>
      <c r="G17" s="72" t="s">
        <v>219</v>
      </c>
      <c r="H17" s="70"/>
      <c r="I17" s="70"/>
      <c r="J17" s="70"/>
    </row>
    <row r="18" spans="1:10" x14ac:dyDescent="0.2">
      <c r="A18" s="70"/>
      <c r="B18" s="70" t="s">
        <v>230</v>
      </c>
      <c r="C18" s="70">
        <f>MAX($J$3-C4,0)</f>
        <v>45</v>
      </c>
      <c r="D18" s="70">
        <f t="shared" ref="D18:G18" si="1">MAX($J$3-D4,0)</f>
        <v>15</v>
      </c>
      <c r="E18" s="70">
        <f t="shared" si="1"/>
        <v>0</v>
      </c>
      <c r="F18" s="70">
        <f t="shared" si="1"/>
        <v>0</v>
      </c>
      <c r="G18" s="70">
        <f t="shared" si="1"/>
        <v>0</v>
      </c>
      <c r="H18" s="70"/>
      <c r="I18" s="70"/>
      <c r="J18" s="70"/>
    </row>
    <row r="19" spans="1:10" x14ac:dyDescent="0.2">
      <c r="A19" s="70"/>
      <c r="B19" s="70"/>
      <c r="C19" s="70"/>
      <c r="D19" s="70"/>
      <c r="E19" s="70"/>
      <c r="F19" s="70"/>
      <c r="G19" s="70"/>
      <c r="H19" s="70"/>
      <c r="I19" s="70"/>
      <c r="J19" s="70"/>
    </row>
    <row r="20" spans="1:10" x14ac:dyDescent="0.2">
      <c r="A20" s="70"/>
      <c r="B20" s="73" t="s">
        <v>231</v>
      </c>
      <c r="C20" s="79" cm="1">
        <f t="array" ref="C20">MMULT(C18:G18,TRANSPOSE(C3:G3))/(1+J2)</f>
        <v>7.2815533980582519</v>
      </c>
      <c r="D20" s="70"/>
      <c r="E20" s="70"/>
      <c r="F20" s="70"/>
      <c r="G20" s="70"/>
      <c r="H20" s="70"/>
      <c r="I20" s="70"/>
      <c r="J20" s="70"/>
    </row>
    <row r="21" spans="1:10" x14ac:dyDescent="0.2">
      <c r="A21" s="70"/>
      <c r="B21" s="70"/>
      <c r="C21" s="70"/>
      <c r="D21" s="70"/>
      <c r="E21" s="70"/>
      <c r="F21" s="70"/>
      <c r="G21" s="70"/>
      <c r="H21" s="70"/>
      <c r="I21" s="70"/>
      <c r="J21" s="70"/>
    </row>
    <row r="22" spans="1:10" x14ac:dyDescent="0.2">
      <c r="A22" s="77" t="s">
        <v>232</v>
      </c>
      <c r="B22" s="77"/>
      <c r="C22" s="77"/>
      <c r="D22" s="77"/>
      <c r="E22" s="78"/>
      <c r="F22" s="78"/>
      <c r="G22" s="78"/>
      <c r="H22" s="70"/>
      <c r="I22" s="70"/>
      <c r="J22" s="70"/>
    </row>
    <row r="23" spans="1:10" x14ac:dyDescent="0.2">
      <c r="A23" s="70"/>
      <c r="B23" s="70"/>
      <c r="C23" s="70"/>
      <c r="D23" s="70"/>
      <c r="E23" s="70"/>
      <c r="F23" s="70"/>
      <c r="G23" s="70"/>
      <c r="H23" s="70"/>
      <c r="I23" s="70"/>
      <c r="J23" s="70"/>
    </row>
    <row r="24" spans="1:10" x14ac:dyDescent="0.2">
      <c r="A24" s="70"/>
      <c r="B24" s="70"/>
      <c r="C24" s="70"/>
      <c r="D24" s="70"/>
      <c r="E24" s="70"/>
      <c r="F24" s="70"/>
      <c r="G24" s="70"/>
      <c r="H24" s="70"/>
      <c r="I24" s="70"/>
      <c r="J24" s="70"/>
    </row>
    <row r="25" spans="1:10" x14ac:dyDescent="0.2">
      <c r="A25" s="70"/>
      <c r="B25" s="70"/>
      <c r="C25" s="70"/>
      <c r="D25" s="70"/>
      <c r="E25" s="70"/>
      <c r="F25" s="70"/>
      <c r="G25" s="70"/>
      <c r="H25" s="70"/>
      <c r="I25" s="70"/>
      <c r="J25" s="70"/>
    </row>
    <row r="26" spans="1:10" x14ac:dyDescent="0.2">
      <c r="A26" s="70"/>
      <c r="B26" s="70" t="s">
        <v>233</v>
      </c>
      <c r="C26" s="70" t="s">
        <v>234</v>
      </c>
      <c r="D26" s="70" t="s">
        <v>235</v>
      </c>
      <c r="E26" s="70" t="s">
        <v>236</v>
      </c>
      <c r="F26" s="70" t="s">
        <v>237</v>
      </c>
      <c r="G26" s="70"/>
      <c r="H26" s="70"/>
      <c r="I26" s="70"/>
      <c r="J26" s="70"/>
    </row>
    <row r="27" spans="1:10" x14ac:dyDescent="0.2">
      <c r="A27" s="70"/>
      <c r="B27" s="80">
        <f>C14</f>
        <v>12.135922330097086</v>
      </c>
      <c r="C27" s="80">
        <f>C20</f>
        <v>7.2815533980582519</v>
      </c>
      <c r="D27" s="80">
        <f>C8</f>
        <v>67.961165048543691</v>
      </c>
      <c r="E27" s="70">
        <f>J3</f>
        <v>65</v>
      </c>
      <c r="F27" s="70">
        <f>J2</f>
        <v>0.03</v>
      </c>
      <c r="G27" s="70"/>
      <c r="H27" s="70"/>
      <c r="I27" s="70"/>
      <c r="J27" s="70"/>
    </row>
    <row r="28" spans="1:10" x14ac:dyDescent="0.2">
      <c r="A28" s="70"/>
      <c r="B28" s="70"/>
      <c r="C28" s="70"/>
      <c r="D28" s="70"/>
      <c r="E28" s="81"/>
      <c r="F28" s="70"/>
      <c r="G28" s="70"/>
      <c r="H28" s="70"/>
      <c r="I28" s="70"/>
      <c r="J28" s="70"/>
    </row>
    <row r="29" spans="1:10" x14ac:dyDescent="0.2">
      <c r="A29" s="82" t="s">
        <v>238</v>
      </c>
      <c r="B29" s="48">
        <f>B27-C27-D27+E27/(1+F27)</f>
        <v>0</v>
      </c>
      <c r="C29" s="70"/>
      <c r="D29" s="70"/>
      <c r="E29" s="70"/>
      <c r="F29" s="70"/>
      <c r="G29" s="70"/>
      <c r="H29" s="70"/>
      <c r="I29" s="70"/>
      <c r="J29" s="70"/>
    </row>
    <row r="30" spans="1:10" x14ac:dyDescent="0.2">
      <c r="A30" s="70"/>
      <c r="B30" s="70"/>
      <c r="C30" s="70"/>
      <c r="D30" s="70"/>
      <c r="E30" s="70"/>
      <c r="F30" s="70"/>
      <c r="G30" s="70"/>
      <c r="H30" s="70"/>
      <c r="I30" s="70"/>
      <c r="J30" s="70"/>
    </row>
    <row r="31" spans="1:10" x14ac:dyDescent="0.2">
      <c r="A31" s="70"/>
      <c r="B31" s="70"/>
      <c r="C31" s="70"/>
      <c r="D31" s="70"/>
      <c r="E31" s="70"/>
      <c r="F31" s="70"/>
      <c r="G31" s="70"/>
      <c r="H31" s="70"/>
      <c r="I31" s="70"/>
      <c r="J31" s="70"/>
    </row>
    <row r="32" spans="1:10" x14ac:dyDescent="0.2">
      <c r="A32" s="70"/>
      <c r="B32" s="70"/>
      <c r="C32" s="70"/>
      <c r="D32" s="70"/>
      <c r="E32" s="70"/>
      <c r="F32" s="70"/>
      <c r="G32" s="70"/>
      <c r="H32" s="70"/>
      <c r="I32" s="70"/>
      <c r="J32" s="70"/>
    </row>
    <row r="33" spans="1:10" x14ac:dyDescent="0.2">
      <c r="A33" s="70"/>
      <c r="B33" s="70"/>
      <c r="C33" s="70"/>
      <c r="D33" s="70"/>
      <c r="E33" s="70"/>
      <c r="F33" s="70"/>
      <c r="G33" s="70"/>
      <c r="H33" s="70"/>
      <c r="I33" s="70"/>
      <c r="J33" s="70"/>
    </row>
    <row r="34" spans="1:10" x14ac:dyDescent="0.2">
      <c r="A34" s="70"/>
      <c r="B34" s="70"/>
      <c r="C34" s="70"/>
      <c r="D34" s="70"/>
      <c r="E34" s="70"/>
      <c r="F34" s="70"/>
      <c r="G34" s="70"/>
      <c r="H34" s="70"/>
      <c r="I34" s="70"/>
      <c r="J34" s="70"/>
    </row>
    <row r="35" spans="1:10" x14ac:dyDescent="0.2">
      <c r="A35" s="70"/>
      <c r="B35" s="70"/>
      <c r="C35" s="70"/>
      <c r="D35" s="70"/>
      <c r="E35" s="70"/>
      <c r="F35" s="70"/>
      <c r="G35" s="70"/>
      <c r="H35" s="70"/>
      <c r="I35" s="70"/>
      <c r="J35" s="70"/>
    </row>
    <row r="36" spans="1:10" x14ac:dyDescent="0.2">
      <c r="A36" s="70"/>
      <c r="B36" s="70"/>
      <c r="C36" s="70"/>
      <c r="D36" s="70"/>
      <c r="E36" s="70"/>
      <c r="F36" s="70"/>
      <c r="G36" s="70"/>
      <c r="H36" s="70"/>
      <c r="I36" s="70"/>
      <c r="J36" s="7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2423-7B69-6741-BF2B-EF06F6F2455D}">
  <dimension ref="A1:M72"/>
  <sheetViews>
    <sheetView topLeftCell="A38" workbookViewId="0">
      <selection activeCell="D4" sqref="D4"/>
    </sheetView>
  </sheetViews>
  <sheetFormatPr baseColWidth="10" defaultColWidth="8.83203125" defaultRowHeight="16" x14ac:dyDescent="0.2"/>
  <cols>
    <col min="9" max="9" width="12" bestFit="1" customWidth="1"/>
    <col min="11" max="11" width="12.6640625" bestFit="1" customWidth="1"/>
  </cols>
  <sheetData>
    <row r="1" spans="1:12" x14ac:dyDescent="0.2">
      <c r="A1" t="s">
        <v>47</v>
      </c>
    </row>
    <row r="3" spans="1:12" x14ac:dyDescent="0.2">
      <c r="B3" t="s">
        <v>237</v>
      </c>
      <c r="D3" t="s">
        <v>239</v>
      </c>
    </row>
    <row r="4" spans="1:12" x14ac:dyDescent="0.2">
      <c r="B4">
        <v>0.03</v>
      </c>
      <c r="D4">
        <v>110</v>
      </c>
    </row>
    <row r="7" spans="1:12" x14ac:dyDescent="0.2">
      <c r="A7" t="s">
        <v>85</v>
      </c>
      <c r="B7" t="s">
        <v>240</v>
      </c>
      <c r="D7" t="s">
        <v>241</v>
      </c>
    </row>
    <row r="8" spans="1:12" x14ac:dyDescent="0.2">
      <c r="B8" t="s">
        <v>242</v>
      </c>
      <c r="D8" t="s">
        <v>243</v>
      </c>
      <c r="E8" t="s">
        <v>244</v>
      </c>
      <c r="G8" t="s">
        <v>245</v>
      </c>
      <c r="J8" t="s">
        <v>178</v>
      </c>
      <c r="L8" t="s">
        <v>246</v>
      </c>
    </row>
    <row r="9" spans="1:12" x14ac:dyDescent="0.2">
      <c r="B9">
        <f>MAX(F12-$D$4,0)</f>
        <v>40</v>
      </c>
      <c r="D9">
        <f>F12</f>
        <v>150</v>
      </c>
      <c r="E9">
        <f>100*(1+$B$4)</f>
        <v>103</v>
      </c>
      <c r="G9" cm="1">
        <f t="array" ref="G9:H10">MINVERSE(D9:E10)</f>
        <v>1.8181818181818181E-2</v>
      </c>
      <c r="H9">
        <v>-1.8181818181818184E-2</v>
      </c>
      <c r="J9" s="48" cm="1">
        <f t="array" ref="J9:J10">MMULT(_xlfn.ANCHORARRAY(G9),B9:B10)</f>
        <v>0.72727272727272729</v>
      </c>
      <c r="L9" s="48">
        <f>J9*D13+J10*100</f>
        <v>20.194174757281573</v>
      </c>
    </row>
    <row r="10" spans="1:12" x14ac:dyDescent="0.2">
      <c r="B10">
        <f>MAX(F14-$D$4,0)</f>
        <v>0</v>
      </c>
      <c r="D10">
        <f>F14</f>
        <v>95</v>
      </c>
      <c r="E10">
        <f>100*(1+$B$4)</f>
        <v>103</v>
      </c>
      <c r="G10">
        <v>-1.6769638128861428E-2</v>
      </c>
      <c r="H10">
        <v>2.6478375992939101E-2</v>
      </c>
      <c r="J10" s="48">
        <v>-0.67078552515445711</v>
      </c>
    </row>
    <row r="12" spans="1:12" x14ac:dyDescent="0.2">
      <c r="A12" t="s">
        <v>87</v>
      </c>
      <c r="E12" s="48">
        <f>(D13*(1+B4)-F14)/(F12-F14)</f>
        <v>0.52000000000000013</v>
      </c>
      <c r="F12">
        <v>150</v>
      </c>
    </row>
    <row r="13" spans="1:12" x14ac:dyDescent="0.2">
      <c r="C13" s="48">
        <f>(B15*(1+$B$4)-D17)/(D13-D17)</f>
        <v>0.54054054054054057</v>
      </c>
      <c r="D13">
        <v>120</v>
      </c>
    </row>
    <row r="14" spans="1:12" x14ac:dyDescent="0.2">
      <c r="E14" s="48">
        <f>1-E12</f>
        <v>0.47999999999999987</v>
      </c>
      <c r="F14">
        <v>95</v>
      </c>
    </row>
    <row r="15" spans="1:12" x14ac:dyDescent="0.2">
      <c r="B15">
        <v>100</v>
      </c>
    </row>
    <row r="16" spans="1:12" x14ac:dyDescent="0.2">
      <c r="E16" s="48">
        <f>(D17*(1+$B$4)-F18)/(F16-F18)</f>
        <v>0.56644444444444464</v>
      </c>
      <c r="F16">
        <v>105</v>
      </c>
    </row>
    <row r="17" spans="1:11" x14ac:dyDescent="0.2">
      <c r="C17" s="48">
        <f>1-C13</f>
        <v>0.45945945945945943</v>
      </c>
      <c r="D17">
        <v>83</v>
      </c>
    </row>
    <row r="18" spans="1:11" x14ac:dyDescent="0.2">
      <c r="E18" s="48">
        <f>1-E16</f>
        <v>0.43355555555555536</v>
      </c>
      <c r="F18">
        <v>60</v>
      </c>
    </row>
    <row r="21" spans="1:11" x14ac:dyDescent="0.2">
      <c r="A21" t="s">
        <v>247</v>
      </c>
      <c r="F21">
        <f>MAX(0,F12-$D$4)</f>
        <v>40</v>
      </c>
    </row>
    <row r="22" spans="1:11" x14ac:dyDescent="0.2">
      <c r="D22" s="48">
        <f>($E$12*F21+$E$14*F23)/(1+$B$4)</f>
        <v>20.194174757281559</v>
      </c>
      <c r="G22" t="s">
        <v>248</v>
      </c>
      <c r="I22" s="48">
        <f>L9-D22</f>
        <v>0</v>
      </c>
    </row>
    <row r="23" spans="1:11" x14ac:dyDescent="0.2">
      <c r="D23" s="48"/>
      <c r="F23">
        <f t="shared" ref="F23:F27" si="0">MAX(0,F14-$D$4)</f>
        <v>0</v>
      </c>
    </row>
    <row r="24" spans="1:11" x14ac:dyDescent="0.2">
      <c r="B24" s="48">
        <f>($C$13*D22+$C$17*D26)/(1+$B$4)</f>
        <v>10.59783508647681</v>
      </c>
      <c r="D24" s="48"/>
    </row>
    <row r="25" spans="1:11" x14ac:dyDescent="0.2">
      <c r="D25" s="48"/>
      <c r="F25">
        <f t="shared" si="0"/>
        <v>0</v>
      </c>
    </row>
    <row r="26" spans="1:11" x14ac:dyDescent="0.2">
      <c r="D26" s="48">
        <f t="shared" ref="D26" si="1">($E$12*F25+$E$14*F27)/(1+$B$4)</f>
        <v>0</v>
      </c>
    </row>
    <row r="27" spans="1:11" x14ac:dyDescent="0.2">
      <c r="F27">
        <f t="shared" si="0"/>
        <v>0</v>
      </c>
    </row>
    <row r="29" spans="1:11" x14ac:dyDescent="0.2">
      <c r="A29" t="s">
        <v>249</v>
      </c>
    </row>
    <row r="31" spans="1:11" x14ac:dyDescent="0.2">
      <c r="A31" t="s">
        <v>250</v>
      </c>
      <c r="F31">
        <f>MAX(0,$D$4-F12)</f>
        <v>0</v>
      </c>
      <c r="I31" s="48"/>
      <c r="K31" s="83"/>
    </row>
    <row r="32" spans="1:11" x14ac:dyDescent="0.2">
      <c r="D32" s="48">
        <f>($E$12*F31+E14*F33)/(1+$B$4)</f>
        <v>6.990291262135921</v>
      </c>
    </row>
    <row r="33" spans="1:11" x14ac:dyDescent="0.2">
      <c r="F33">
        <f t="shared" ref="F33:F37" si="2">MAX(0,$D$4-F14)</f>
        <v>15</v>
      </c>
      <c r="K33" s="48"/>
    </row>
    <row r="34" spans="1:11" x14ac:dyDescent="0.2">
      <c r="B34" s="48">
        <f>($C$13*D32+$C$17*D36)/(1+$B$4)</f>
        <v>14.28338509118978</v>
      </c>
      <c r="K34" s="48"/>
    </row>
    <row r="35" spans="1:11" x14ac:dyDescent="0.2">
      <c r="F35">
        <f t="shared" si="2"/>
        <v>5</v>
      </c>
      <c r="J35" s="83"/>
    </row>
    <row r="36" spans="1:11" x14ac:dyDescent="0.2">
      <c r="D36" s="48">
        <f>($E$16*F35+$E$18*F37)/(1+$B$4)</f>
        <v>23.796116504854361</v>
      </c>
      <c r="J36" s="48"/>
      <c r="K36" s="48"/>
    </row>
    <row r="37" spans="1:11" x14ac:dyDescent="0.2">
      <c r="F37">
        <f t="shared" si="2"/>
        <v>50</v>
      </c>
    </row>
    <row r="39" spans="1:11" x14ac:dyDescent="0.2">
      <c r="A39" t="s">
        <v>85</v>
      </c>
      <c r="B39" t="s">
        <v>251</v>
      </c>
      <c r="E39">
        <f>MAX(0,D13-$D$4)</f>
        <v>10</v>
      </c>
      <c r="F39" s="48" t="s">
        <v>252</v>
      </c>
      <c r="G39" t="s">
        <v>253</v>
      </c>
      <c r="I39">
        <f>MAX(D22,E39)</f>
        <v>20.194174757281559</v>
      </c>
    </row>
    <row r="40" spans="1:11" x14ac:dyDescent="0.2">
      <c r="B40" t="s">
        <v>254</v>
      </c>
      <c r="E40">
        <f>MAX(0,D17-$D$4)</f>
        <v>0</v>
      </c>
      <c r="F40" s="48" t="s">
        <v>255</v>
      </c>
      <c r="G40" t="s">
        <v>256</v>
      </c>
      <c r="I40">
        <f>MAX(D26,E40)</f>
        <v>0</v>
      </c>
    </row>
    <row r="41" spans="1:11" x14ac:dyDescent="0.2">
      <c r="B41" t="s">
        <v>257</v>
      </c>
      <c r="E41" s="83">
        <f>($C$13*I39+$C$17*I40)/(1+$B$4)</f>
        <v>10.59783508647681</v>
      </c>
      <c r="F41" s="48"/>
    </row>
    <row r="42" spans="1:11" x14ac:dyDescent="0.2">
      <c r="B42" t="s">
        <v>258</v>
      </c>
      <c r="E42">
        <f>MAX(B15-D4,0)</f>
        <v>0</v>
      </c>
      <c r="F42" s="48" t="s">
        <v>252</v>
      </c>
      <c r="G42" t="s">
        <v>259</v>
      </c>
      <c r="I42">
        <f>MAX(E41,E42)</f>
        <v>10.59783508647681</v>
      </c>
      <c r="J42" t="s">
        <v>260</v>
      </c>
    </row>
    <row r="44" spans="1:11" x14ac:dyDescent="0.2">
      <c r="A44" t="s">
        <v>261</v>
      </c>
      <c r="B44" t="s">
        <v>262</v>
      </c>
      <c r="E44">
        <f>MAX(0,D4-D13)</f>
        <v>0</v>
      </c>
      <c r="F44" s="48" t="s">
        <v>252</v>
      </c>
      <c r="G44" t="s">
        <v>253</v>
      </c>
      <c r="I44">
        <f>MAX(E44,D32)</f>
        <v>6.990291262135921</v>
      </c>
    </row>
    <row r="45" spans="1:11" x14ac:dyDescent="0.2">
      <c r="B45" t="s">
        <v>263</v>
      </c>
      <c r="E45">
        <f>MAX(0,D4-D17)</f>
        <v>27</v>
      </c>
      <c r="F45" s="48" t="s">
        <v>264</v>
      </c>
      <c r="G45" t="s">
        <v>256</v>
      </c>
      <c r="I45">
        <f>MAX(D36,E45)</f>
        <v>27</v>
      </c>
    </row>
    <row r="46" spans="1:11" x14ac:dyDescent="0.2">
      <c r="B46" t="s">
        <v>257</v>
      </c>
      <c r="E46" s="83">
        <f>($C$13*I44+$C$17*I45)/(1+$B$4)</f>
        <v>15.712564293957449</v>
      </c>
    </row>
    <row r="47" spans="1:11" x14ac:dyDescent="0.2">
      <c r="B47" t="s">
        <v>258</v>
      </c>
      <c r="E47">
        <f>MAX(0,D4-B15)</f>
        <v>10</v>
      </c>
      <c r="F47" s="48" t="s">
        <v>252</v>
      </c>
      <c r="G47" t="s">
        <v>259</v>
      </c>
      <c r="I47" s="48">
        <f>MAX(E46,E47)</f>
        <v>15.712564293957449</v>
      </c>
      <c r="J47" t="s">
        <v>265</v>
      </c>
    </row>
    <row r="49" spans="1:8" x14ac:dyDescent="0.2">
      <c r="A49" t="s">
        <v>56</v>
      </c>
      <c r="B49" t="s">
        <v>266</v>
      </c>
      <c r="E49">
        <f>I47+$B$15-$D$4/(1+$B$4)^2</f>
        <v>12.027014289244477</v>
      </c>
      <c r="F49" s="48"/>
    </row>
    <row r="51" spans="1:8" x14ac:dyDescent="0.2">
      <c r="A51" t="s">
        <v>267</v>
      </c>
    </row>
    <row r="53" spans="1:8" x14ac:dyDescent="0.2">
      <c r="C53" t="s">
        <v>268</v>
      </c>
      <c r="D53">
        <v>12</v>
      </c>
      <c r="F53" t="s">
        <v>269</v>
      </c>
      <c r="G53">
        <v>85</v>
      </c>
    </row>
    <row r="55" spans="1:8" x14ac:dyDescent="0.2">
      <c r="A55" t="s">
        <v>85</v>
      </c>
      <c r="E55" s="83">
        <f>E12</f>
        <v>0.52000000000000013</v>
      </c>
      <c r="F55" s="83">
        <f>F12-$D$53*(1+$B$4)</f>
        <v>137.63999999999999</v>
      </c>
    </row>
    <row r="56" spans="1:8" x14ac:dyDescent="0.2">
      <c r="C56" s="83">
        <f>C13</f>
        <v>0.54054054054054057</v>
      </c>
      <c r="D56" s="48">
        <f>(E55*F55+E57*F57)/(1+$B$4)</f>
        <v>108</v>
      </c>
      <c r="E56" s="83"/>
      <c r="F56" s="83"/>
    </row>
    <row r="57" spans="1:8" x14ac:dyDescent="0.2">
      <c r="C57" s="83"/>
      <c r="D57" s="48"/>
      <c r="E57" s="83">
        <f t="shared" ref="E57:E61" si="3">E14</f>
        <v>0.47999999999999987</v>
      </c>
      <c r="F57" s="83">
        <f t="shared" ref="F57:F61" si="4">F14-$D$53*(1+$B$4)</f>
        <v>82.64</v>
      </c>
    </row>
    <row r="58" spans="1:8" x14ac:dyDescent="0.2">
      <c r="B58" s="48">
        <f>(C56*(D53+D56)+C60*(D53+D60))/(1+$B$4)</f>
        <v>100</v>
      </c>
      <c r="C58" s="83"/>
      <c r="D58" s="48"/>
      <c r="E58" s="83"/>
      <c r="F58" s="83"/>
      <c r="G58" t="s">
        <v>270</v>
      </c>
    </row>
    <row r="59" spans="1:8" x14ac:dyDescent="0.2">
      <c r="B59" s="48"/>
      <c r="C59" s="83"/>
      <c r="D59" s="48"/>
      <c r="E59" s="83">
        <f t="shared" si="3"/>
        <v>0.56644444444444464</v>
      </c>
      <c r="F59" s="83">
        <f t="shared" si="4"/>
        <v>92.64</v>
      </c>
    </row>
    <row r="60" spans="1:8" x14ac:dyDescent="0.2">
      <c r="C60" s="83">
        <f t="shared" ref="C60" si="5">C17</f>
        <v>0.45945945945945943</v>
      </c>
      <c r="D60" s="48">
        <f t="shared" ref="D60" si="6">(E59*F59+E61*F61)/(1+$B$4)</f>
        <v>71.000000000000014</v>
      </c>
      <c r="E60" s="83"/>
      <c r="F60" s="83"/>
    </row>
    <row r="61" spans="1:8" x14ac:dyDescent="0.2">
      <c r="E61" s="83">
        <f t="shared" si="3"/>
        <v>0.43355555555555536</v>
      </c>
      <c r="F61" s="83">
        <f t="shared" si="4"/>
        <v>47.64</v>
      </c>
    </row>
    <row r="62" spans="1:8" x14ac:dyDescent="0.2">
      <c r="E62" s="83"/>
    </row>
    <row r="63" spans="1:8" x14ac:dyDescent="0.2">
      <c r="E63" s="83"/>
    </row>
    <row r="64" spans="1:8" x14ac:dyDescent="0.2">
      <c r="A64" t="s">
        <v>271</v>
      </c>
      <c r="B64" s="83"/>
      <c r="C64" s="83"/>
      <c r="D64" s="83"/>
      <c r="E64" s="83"/>
      <c r="F64" s="48">
        <f>MAX(0,F55-$G$53)</f>
        <v>52.639999999999986</v>
      </c>
      <c r="H64" t="s">
        <v>272</v>
      </c>
    </row>
    <row r="65" spans="2:13" x14ac:dyDescent="0.2">
      <c r="B65" s="83"/>
      <c r="C65" s="83"/>
      <c r="D65" s="48">
        <f>(E55*F64+E57*F66)/(1+$B$4)</f>
        <v>26.57553398058252</v>
      </c>
      <c r="E65" s="83"/>
      <c r="F65" s="48"/>
    </row>
    <row r="66" spans="2:13" x14ac:dyDescent="0.2">
      <c r="B66" s="83" t="s">
        <v>273</v>
      </c>
      <c r="C66" s="83"/>
      <c r="D66" s="48"/>
      <c r="E66" s="83"/>
      <c r="F66" s="48">
        <f t="shared" ref="F66:F70" si="7">MAX(0,F57-$G$53)</f>
        <v>0</v>
      </c>
      <c r="H66" t="s">
        <v>274</v>
      </c>
      <c r="J66" s="83">
        <f>MAX(0,D56+D53-G53)</f>
        <v>35</v>
      </c>
      <c r="K66" s="48" t="s">
        <v>264</v>
      </c>
      <c r="L66" t="s">
        <v>275</v>
      </c>
      <c r="M66">
        <f>MAX(D65,J66)</f>
        <v>35</v>
      </c>
    </row>
    <row r="67" spans="2:13" x14ac:dyDescent="0.2">
      <c r="B67" s="48">
        <f>(C56*D65+C60*D69)/(1+$B$4)</f>
        <v>15.820983317184655</v>
      </c>
      <c r="C67" s="83"/>
      <c r="D67" s="48"/>
      <c r="E67" s="83"/>
      <c r="F67" s="48"/>
      <c r="H67" t="s">
        <v>276</v>
      </c>
      <c r="J67">
        <f>MAX(0,D60+D53-G53)</f>
        <v>0</v>
      </c>
      <c r="K67" s="48" t="s">
        <v>252</v>
      </c>
      <c r="L67" t="s">
        <v>277</v>
      </c>
      <c r="M67">
        <f>MAX(J67,D69)</f>
        <v>4.2015879180151039</v>
      </c>
    </row>
    <row r="68" spans="2:13" x14ac:dyDescent="0.2">
      <c r="B68" s="48"/>
      <c r="C68" s="83"/>
      <c r="D68" s="48"/>
      <c r="E68" s="83"/>
      <c r="F68" s="48">
        <f t="shared" si="7"/>
        <v>7.6400000000000006</v>
      </c>
      <c r="H68" t="s">
        <v>278</v>
      </c>
      <c r="J68">
        <f>(C56*M66+C60*M67)/(1+$B$4)</f>
        <v>20.242114788933527</v>
      </c>
      <c r="K68" s="48"/>
    </row>
    <row r="69" spans="2:13" x14ac:dyDescent="0.2">
      <c r="B69" s="83"/>
      <c r="C69" s="83"/>
      <c r="D69" s="48">
        <f t="shared" ref="D69" si="8">(E59*F68+E61*F70)/(1+$B$4)</f>
        <v>4.2015879180151039</v>
      </c>
      <c r="E69" s="83"/>
      <c r="F69" s="48"/>
      <c r="H69" t="s">
        <v>279</v>
      </c>
      <c r="J69">
        <f>MAX(0,B58-G53)</f>
        <v>15</v>
      </c>
      <c r="K69" s="48" t="s">
        <v>252</v>
      </c>
      <c r="L69" t="s">
        <v>280</v>
      </c>
      <c r="M69" s="48">
        <f>MAX(J68,J69)</f>
        <v>20.242114788933527</v>
      </c>
    </row>
    <row r="70" spans="2:13" x14ac:dyDescent="0.2">
      <c r="B70" s="83"/>
      <c r="C70" s="83"/>
      <c r="D70" s="48"/>
      <c r="E70" s="83"/>
      <c r="F70" s="48">
        <f t="shared" si="7"/>
        <v>0</v>
      </c>
    </row>
    <row r="71" spans="2:13" x14ac:dyDescent="0.2">
      <c r="F71" s="48"/>
    </row>
    <row r="72" spans="2:13" x14ac:dyDescent="0.2">
      <c r="F72" s="4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D424-3CBA-2D4C-9548-992D5058704C}">
  <dimension ref="A1:K56"/>
  <sheetViews>
    <sheetView workbookViewId="0">
      <selection activeCell="B20" sqref="B20"/>
    </sheetView>
  </sheetViews>
  <sheetFormatPr baseColWidth="10" defaultColWidth="8.83203125" defaultRowHeight="16" x14ac:dyDescent="0.2"/>
  <sheetData>
    <row r="1" spans="1:7" x14ac:dyDescent="0.2">
      <c r="A1" t="s">
        <v>281</v>
      </c>
    </row>
    <row r="3" spans="1:7" x14ac:dyDescent="0.2">
      <c r="B3" t="s">
        <v>282</v>
      </c>
      <c r="C3" t="s">
        <v>283</v>
      </c>
      <c r="D3" t="s">
        <v>236</v>
      </c>
      <c r="E3" t="s">
        <v>284</v>
      </c>
      <c r="G3" t="s">
        <v>285</v>
      </c>
    </row>
    <row r="4" spans="1:7" x14ac:dyDescent="0.2">
      <c r="B4">
        <v>0.02</v>
      </c>
      <c r="C4">
        <v>0.75</v>
      </c>
      <c r="D4">
        <v>100</v>
      </c>
      <c r="E4">
        <v>0.23</v>
      </c>
      <c r="G4">
        <f>D4*EXP(-B4*C4)</f>
        <v>98.511193960306258</v>
      </c>
    </row>
    <row r="6" spans="1:7" x14ac:dyDescent="0.2">
      <c r="B6" t="s">
        <v>286</v>
      </c>
      <c r="C6" t="s">
        <v>287</v>
      </c>
      <c r="D6" t="s">
        <v>288</v>
      </c>
      <c r="E6" t="s">
        <v>289</v>
      </c>
      <c r="F6" t="s">
        <v>290</v>
      </c>
      <c r="G6" t="s">
        <v>291</v>
      </c>
    </row>
    <row r="7" spans="1:7" x14ac:dyDescent="0.2">
      <c r="B7">
        <v>75</v>
      </c>
      <c r="C7" s="48">
        <f>(LN(B7/$D$4)+($B$4+$E$4^2/2)*$C$4)/($E$4*SQRT($C$4))</f>
        <v>-1.2693902779841002</v>
      </c>
      <c r="D7" s="48">
        <f>C7-$E$4*SQRT($C$4)</f>
        <v>-1.4685761208545212</v>
      </c>
      <c r="E7" s="48">
        <f>_xlfn.NORM.DIST(C7,0,1,TRUE)</f>
        <v>0.10215095095539189</v>
      </c>
      <c r="F7" s="48">
        <f>_xlfn.NORM.DIST(D7,0,1,TRUE)</f>
        <v>7.0973897815993336E-2</v>
      </c>
      <c r="G7" s="48">
        <f>B7*E7-$G$4*F7</f>
        <v>0.66959790778411588</v>
      </c>
    </row>
    <row r="8" spans="1:7" x14ac:dyDescent="0.2">
      <c r="B8">
        <f t="shared" ref="B8:B19" si="0">B7+5</f>
        <v>80</v>
      </c>
      <c r="C8" s="48">
        <f t="shared" ref="C8:C19" si="1">(LN(B8/$D$4)+($B$4+$E$4^2/2)*$C$4)/($E$4*SQRT($C$4))</f>
        <v>-0.9453786905764735</v>
      </c>
      <c r="D8" s="48">
        <f t="shared" ref="D8:D19" si="2">C8-$E$4*SQRT($C$4)</f>
        <v>-1.1445645334468943</v>
      </c>
      <c r="E8" s="48">
        <f t="shared" ref="E8:E19" si="3">_xlfn.NORM.DIST(C8,0,1,TRUE)</f>
        <v>0.17223278866409777</v>
      </c>
      <c r="F8" s="48">
        <f t="shared" ref="F8:F19" si="4">_xlfn.NORM.DIST(D8,0,1,TRUE)</f>
        <v>0.12619479554019733</v>
      </c>
      <c r="G8" s="48">
        <f t="shared" ref="G8:G19" si="5">B8*E8-$G$4*F8</f>
        <v>1.3470231128862515</v>
      </c>
    </row>
    <row r="9" spans="1:7" x14ac:dyDescent="0.2">
      <c r="B9">
        <f t="shared" si="0"/>
        <v>85</v>
      </c>
      <c r="C9" s="48">
        <f t="shared" si="1"/>
        <v>-0.64101658861788346</v>
      </c>
      <c r="D9" s="48">
        <f t="shared" si="2"/>
        <v>-0.84020243148830431</v>
      </c>
      <c r="E9" s="48">
        <f t="shared" si="3"/>
        <v>0.26075595262831325</v>
      </c>
      <c r="F9" s="48">
        <f t="shared" si="4"/>
        <v>0.20039744767068832</v>
      </c>
      <c r="G9" s="48">
        <f t="shared" si="5"/>
        <v>2.4228641367691246</v>
      </c>
    </row>
    <row r="10" spans="1:7" x14ac:dyDescent="0.2">
      <c r="B10">
        <f t="shared" si="0"/>
        <v>90</v>
      </c>
      <c r="C10" s="48">
        <f t="shared" si="1"/>
        <v>-0.35405636586182776</v>
      </c>
      <c r="D10" s="48">
        <f t="shared" si="2"/>
        <v>-0.55324220873224861</v>
      </c>
      <c r="E10" s="48">
        <f t="shared" si="3"/>
        <v>0.36164832084237231</v>
      </c>
      <c r="F10" s="48">
        <f t="shared" si="4"/>
        <v>0.29004878395764766</v>
      </c>
      <c r="G10" s="48">
        <f t="shared" si="5"/>
        <v>3.9752968614107154</v>
      </c>
    </row>
    <row r="11" spans="1:7" x14ac:dyDescent="0.2">
      <c r="B11">
        <f t="shared" si="0"/>
        <v>95</v>
      </c>
      <c r="C11" s="48">
        <f t="shared" si="1"/>
        <v>-8.2615281038099619E-2</v>
      </c>
      <c r="D11" s="48">
        <f t="shared" si="2"/>
        <v>-0.28180112390852052</v>
      </c>
      <c r="E11" s="48">
        <f t="shared" si="3"/>
        <v>0.46707872515114202</v>
      </c>
      <c r="F11" s="48">
        <f t="shared" si="4"/>
        <v>0.38904800454526095</v>
      </c>
      <c r="G11" s="48">
        <f t="shared" si="5"/>
        <v>6.0468954537301798</v>
      </c>
    </row>
    <row r="12" spans="1:7" x14ac:dyDescent="0.2">
      <c r="B12">
        <f t="shared" si="0"/>
        <v>100</v>
      </c>
      <c r="C12" s="48">
        <f t="shared" si="1"/>
        <v>0.17489947828603125</v>
      </c>
      <c r="D12" s="48">
        <f t="shared" si="2"/>
        <v>-2.4286364584389625E-2</v>
      </c>
      <c r="E12" s="48">
        <f t="shared" si="3"/>
        <v>0.56942068988843808</v>
      </c>
      <c r="F12" s="48">
        <f t="shared" si="4"/>
        <v>0.49031209470490478</v>
      </c>
      <c r="G12" s="48">
        <f t="shared" si="5"/>
        <v>8.6408391262848809</v>
      </c>
    </row>
    <row r="13" spans="1:7" x14ac:dyDescent="0.2">
      <c r="B13">
        <f t="shared" si="0"/>
        <v>105</v>
      </c>
      <c r="C13" s="48">
        <f t="shared" si="1"/>
        <v>0.41984742973844541</v>
      </c>
      <c r="D13" s="48">
        <f t="shared" si="2"/>
        <v>0.22066158686802453</v>
      </c>
      <c r="E13" s="48">
        <f t="shared" si="3"/>
        <v>0.66270154314491192</v>
      </c>
      <c r="F13" s="48">
        <f t="shared" si="4"/>
        <v>0.58732202829503433</v>
      </c>
      <c r="G13" s="48">
        <f t="shared" si="5"/>
        <v>11.725867783683142</v>
      </c>
    </row>
    <row r="14" spans="1:7" x14ac:dyDescent="0.2">
      <c r="B14">
        <f t="shared" si="0"/>
        <v>110</v>
      </c>
      <c r="C14" s="48">
        <f t="shared" si="1"/>
        <v>0.65339824321245421</v>
      </c>
      <c r="D14" s="48">
        <f t="shared" si="2"/>
        <v>0.45421240034203336</v>
      </c>
      <c r="E14" s="48">
        <f t="shared" si="3"/>
        <v>0.74325021445274098</v>
      </c>
      <c r="F14" s="48">
        <f t="shared" si="4"/>
        <v>0.6751620206426574</v>
      </c>
      <c r="G14" s="48">
        <f t="shared" si="5"/>
        <v>15.246506819640388</v>
      </c>
    </row>
    <row r="15" spans="1:7" x14ac:dyDescent="0.2">
      <c r="B15">
        <f t="shared" si="0"/>
        <v>115</v>
      </c>
      <c r="C15" s="48">
        <f t="shared" si="1"/>
        <v>0.87656552222309903</v>
      </c>
      <c r="D15" s="48">
        <f t="shared" si="2"/>
        <v>0.67737967935267818</v>
      </c>
      <c r="E15" s="48">
        <f t="shared" si="3"/>
        <v>0.80963866354142222</v>
      </c>
      <c r="F15" s="48">
        <f t="shared" si="4"/>
        <v>0.75091745604919657</v>
      </c>
      <c r="G15" s="48">
        <f t="shared" si="5"/>
        <v>19.134671146221393</v>
      </c>
    </row>
    <row r="16" spans="1:7" x14ac:dyDescent="0.2">
      <c r="B16">
        <f t="shared" si="0"/>
        <v>120</v>
      </c>
      <c r="C16" s="48">
        <f t="shared" si="1"/>
        <v>1.0902333904083037</v>
      </c>
      <c r="D16" s="48">
        <f t="shared" si="2"/>
        <v>0.89104754753788284</v>
      </c>
      <c r="E16" s="48">
        <f t="shared" si="3"/>
        <v>0.86219482584589047</v>
      </c>
      <c r="F16" s="48">
        <f t="shared" si="4"/>
        <v>0.81354816868960533</v>
      </c>
      <c r="G16" s="48">
        <f t="shared" si="5"/>
        <v>23.319777659673193</v>
      </c>
    </row>
    <row r="17" spans="2:10" x14ac:dyDescent="0.2">
      <c r="B17">
        <f t="shared" si="0"/>
        <v>125</v>
      </c>
      <c r="C17" s="48">
        <f t="shared" si="1"/>
        <v>1.2951776471485363</v>
      </c>
      <c r="D17" s="48">
        <f t="shared" si="2"/>
        <v>1.0959918042781154</v>
      </c>
      <c r="E17" s="48">
        <f t="shared" si="3"/>
        <v>0.90237052301790999</v>
      </c>
      <c r="F17" s="48">
        <f t="shared" si="4"/>
        <v>0.8634588194400441</v>
      </c>
      <c r="G17" s="48">
        <f t="shared" si="5"/>
        <v>27.735956138643502</v>
      </c>
    </row>
    <row r="18" spans="2:10" x14ac:dyDescent="0.2">
      <c r="B18">
        <f t="shared" si="0"/>
        <v>130</v>
      </c>
      <c r="C18" s="48">
        <f t="shared" si="1"/>
        <v>1.4920827714690239</v>
      </c>
      <c r="D18" s="48">
        <f t="shared" si="2"/>
        <v>1.2928969285986029</v>
      </c>
      <c r="E18" s="48">
        <f t="shared" si="3"/>
        <v>0.93216127609493504</v>
      </c>
      <c r="F18" s="48">
        <f t="shared" si="4"/>
        <v>0.90197664502937691</v>
      </c>
      <c r="G18" s="48">
        <f t="shared" si="5"/>
        <v>32.326169666186303</v>
      </c>
    </row>
    <row r="19" spans="2:10" x14ac:dyDescent="0.2">
      <c r="B19">
        <f t="shared" si="0"/>
        <v>135</v>
      </c>
      <c r="C19" s="48">
        <f t="shared" si="1"/>
        <v>1.6815557151229503</v>
      </c>
      <c r="D19" s="48">
        <f t="shared" si="2"/>
        <v>1.4823698722525294</v>
      </c>
      <c r="E19" s="48">
        <f t="shared" si="3"/>
        <v>0.95367248796934601</v>
      </c>
      <c r="F19" s="48">
        <f t="shared" si="4"/>
        <v>0.93087904707872726</v>
      </c>
      <c r="G19" s="48">
        <f t="shared" si="5"/>
        <v>37.043779515504156</v>
      </c>
    </row>
    <row r="23" spans="2:10" x14ac:dyDescent="0.2">
      <c r="E23" s="48"/>
    </row>
    <row r="24" spans="2:10" x14ac:dyDescent="0.2">
      <c r="C24" s="48"/>
    </row>
    <row r="25" spans="2:10" x14ac:dyDescent="0.2">
      <c r="E25" s="48"/>
    </row>
    <row r="27" spans="2:10" x14ac:dyDescent="0.2">
      <c r="E27" s="48"/>
    </row>
    <row r="28" spans="2:10" x14ac:dyDescent="0.2">
      <c r="C28" s="48"/>
    </row>
    <row r="29" spans="2:10" x14ac:dyDescent="0.2">
      <c r="E29" s="48"/>
    </row>
    <row r="32" spans="2:10" x14ac:dyDescent="0.2">
      <c r="J32" s="48"/>
    </row>
    <row r="33" spans="2:10" x14ac:dyDescent="0.2">
      <c r="J33" s="48"/>
    </row>
    <row r="34" spans="2:10" x14ac:dyDescent="0.2">
      <c r="J34" s="48"/>
    </row>
    <row r="35" spans="2:10" x14ac:dyDescent="0.2">
      <c r="B35" s="48"/>
    </row>
    <row r="41" spans="2:10" x14ac:dyDescent="0.2">
      <c r="F41" s="48"/>
    </row>
    <row r="42" spans="2:10" x14ac:dyDescent="0.2">
      <c r="D42" s="48"/>
    </row>
    <row r="43" spans="2:10" x14ac:dyDescent="0.2">
      <c r="F43" s="48"/>
    </row>
    <row r="45" spans="2:10" x14ac:dyDescent="0.2">
      <c r="F45" s="48"/>
    </row>
    <row r="46" spans="2:10" x14ac:dyDescent="0.2">
      <c r="D46" s="48"/>
    </row>
    <row r="47" spans="2:10" x14ac:dyDescent="0.2">
      <c r="F47" s="48"/>
    </row>
    <row r="50" spans="2:11" x14ac:dyDescent="0.2">
      <c r="F50" s="48"/>
    </row>
    <row r="51" spans="2:11" x14ac:dyDescent="0.2">
      <c r="D51" s="48"/>
    </row>
    <row r="52" spans="2:11" x14ac:dyDescent="0.2">
      <c r="F52" s="48"/>
    </row>
    <row r="53" spans="2:11" x14ac:dyDescent="0.2">
      <c r="B53" s="48"/>
      <c r="K53" s="48"/>
    </row>
    <row r="54" spans="2:11" x14ac:dyDescent="0.2">
      <c r="F54" s="48"/>
    </row>
    <row r="55" spans="2:11" x14ac:dyDescent="0.2">
      <c r="D55" s="48"/>
    </row>
    <row r="56" spans="2:11" x14ac:dyDescent="0.2">
      <c r="F56" s="4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F6D-ABCA-A141-B7D8-3BB65A0A00B8}">
  <dimension ref="A2:K55"/>
  <sheetViews>
    <sheetView topLeftCell="A23" workbookViewId="0">
      <selection activeCell="F2" sqref="F2"/>
    </sheetView>
  </sheetViews>
  <sheetFormatPr baseColWidth="10" defaultColWidth="8.83203125" defaultRowHeight="16" x14ac:dyDescent="0.2"/>
  <cols>
    <col min="8" max="8" width="10.1640625" bestFit="1" customWidth="1"/>
  </cols>
  <sheetData>
    <row r="2" spans="1:8" x14ac:dyDescent="0.2">
      <c r="B2" t="s">
        <v>237</v>
      </c>
      <c r="D2" t="s">
        <v>292</v>
      </c>
      <c r="F2" t="s">
        <v>293</v>
      </c>
    </row>
    <row r="3" spans="1:8" x14ac:dyDescent="0.2">
      <c r="B3">
        <v>0.04</v>
      </c>
      <c r="D3">
        <v>68</v>
      </c>
      <c r="F3" s="84">
        <v>1000000</v>
      </c>
    </row>
    <row r="6" spans="1:8" x14ac:dyDescent="0.2">
      <c r="A6" t="s">
        <v>87</v>
      </c>
      <c r="E6" s="48">
        <f>(D7*(1+$B$3)-F8)/(F6-F8)</f>
        <v>0.67500000000000027</v>
      </c>
      <c r="F6">
        <v>104</v>
      </c>
    </row>
    <row r="7" spans="1:8" x14ac:dyDescent="0.2">
      <c r="C7" s="48">
        <f>(B9*(1+$B$3)-D11)/(D7-D11)</f>
        <v>0.6</v>
      </c>
      <c r="D7">
        <v>90</v>
      </c>
    </row>
    <row r="8" spans="1:8" x14ac:dyDescent="0.2">
      <c r="E8" s="48">
        <f>1-E6</f>
        <v>0.32499999999999973</v>
      </c>
      <c r="F8">
        <v>72</v>
      </c>
    </row>
    <row r="9" spans="1:8" x14ac:dyDescent="0.2">
      <c r="B9">
        <v>75</v>
      </c>
      <c r="E9" s="48"/>
    </row>
    <row r="10" spans="1:8" x14ac:dyDescent="0.2">
      <c r="E10" s="48">
        <f>(D11*(1+$B$3)-F12)/(F10-F12)</f>
        <v>0.62000000000000033</v>
      </c>
      <c r="F10">
        <v>70</v>
      </c>
    </row>
    <row r="11" spans="1:8" x14ac:dyDescent="0.2">
      <c r="C11" s="48">
        <f>1-C7</f>
        <v>0.4</v>
      </c>
      <c r="D11">
        <v>60</v>
      </c>
      <c r="E11" s="48"/>
    </row>
    <row r="12" spans="1:8" x14ac:dyDescent="0.2">
      <c r="E12" s="48">
        <f t="shared" ref="E12" si="0">1-E10</f>
        <v>0.37999999999999967</v>
      </c>
      <c r="F12">
        <v>50</v>
      </c>
    </row>
    <row r="15" spans="1:8" x14ac:dyDescent="0.2">
      <c r="A15" t="s">
        <v>294</v>
      </c>
      <c r="C15" t="s">
        <v>295</v>
      </c>
      <c r="D15" t="s">
        <v>296</v>
      </c>
      <c r="E15" t="s">
        <v>297</v>
      </c>
      <c r="F15" t="s">
        <v>298</v>
      </c>
      <c r="H15" t="s">
        <v>299</v>
      </c>
    </row>
    <row r="16" spans="1:8" x14ac:dyDescent="0.2">
      <c r="F16">
        <f>F6-$D$3</f>
        <v>36</v>
      </c>
      <c r="H16" s="86">
        <f>B19*F3</f>
        <v>21745562.13017752</v>
      </c>
    </row>
    <row r="17" spans="1:11" x14ac:dyDescent="0.2">
      <c r="C17">
        <f>SUM(D17:E17)</f>
        <v>46.615384615384627</v>
      </c>
      <c r="D17" s="83">
        <f>($E$6*F16+$E$8*F18)/(1+$B$3)</f>
        <v>24.615384615384624</v>
      </c>
      <c r="E17">
        <f>D7-$D$3</f>
        <v>22</v>
      </c>
    </row>
    <row r="18" spans="1:11" x14ac:dyDescent="0.2">
      <c r="F18">
        <f t="shared" ref="F18:F22" si="1">F8-$D$3</f>
        <v>4</v>
      </c>
    </row>
    <row r="19" spans="1:11" x14ac:dyDescent="0.2">
      <c r="B19" s="48">
        <f>(C7*C17+C11*C21)/(1+$B$3)</f>
        <v>21.745562130177522</v>
      </c>
    </row>
    <row r="20" spans="1:11" x14ac:dyDescent="0.2">
      <c r="F20">
        <f t="shared" si="1"/>
        <v>2</v>
      </c>
    </row>
    <row r="21" spans="1:11" x14ac:dyDescent="0.2">
      <c r="C21">
        <f>SUM(D21:E21)</f>
        <v>-13.38461538461538</v>
      </c>
      <c r="D21" s="83">
        <f>($E$10*F20+$E$12*F22)/(1+$B$3)</f>
        <v>-5.3846153846153788</v>
      </c>
      <c r="E21">
        <f t="shared" ref="E21" si="2">D11-$D$3</f>
        <v>-8</v>
      </c>
    </row>
    <row r="22" spans="1:11" x14ac:dyDescent="0.2">
      <c r="F22">
        <f t="shared" si="1"/>
        <v>-18</v>
      </c>
    </row>
    <row r="24" spans="1:11" x14ac:dyDescent="0.2">
      <c r="A24" t="s">
        <v>56</v>
      </c>
      <c r="B24" t="s">
        <v>300</v>
      </c>
    </row>
    <row r="26" spans="1:11" x14ac:dyDescent="0.2">
      <c r="A26" t="s">
        <v>301</v>
      </c>
      <c r="C26" t="s">
        <v>295</v>
      </c>
      <c r="D26" t="s">
        <v>296</v>
      </c>
      <c r="E26" t="s">
        <v>297</v>
      </c>
      <c r="F26" t="s">
        <v>298</v>
      </c>
      <c r="H26" t="s">
        <v>299</v>
      </c>
      <c r="I26" s="48"/>
      <c r="K26" s="48"/>
    </row>
    <row r="27" spans="1:11" x14ac:dyDescent="0.2">
      <c r="F27">
        <f>MAX(0,F6-$D$3)</f>
        <v>36</v>
      </c>
      <c r="H27" s="85">
        <f>B30*$F$3</f>
        <v>27352071.005917169</v>
      </c>
    </row>
    <row r="28" spans="1:11" x14ac:dyDescent="0.2">
      <c r="C28">
        <f>SUM(D28:E28)</f>
        <v>46.615384615384627</v>
      </c>
      <c r="D28" s="83">
        <f>($E$6*F27+$E$8*F29)/(1+$B$3)</f>
        <v>24.615384615384624</v>
      </c>
      <c r="E28">
        <f>MAX(0,D7-$D$3)</f>
        <v>22</v>
      </c>
      <c r="K28" s="48"/>
    </row>
    <row r="29" spans="1:11" x14ac:dyDescent="0.2">
      <c r="D29" s="83"/>
      <c r="F29">
        <f t="shared" ref="F29:F33" si="3">MAX(0,F8-$D$3)</f>
        <v>4</v>
      </c>
      <c r="K29" s="48"/>
    </row>
    <row r="30" spans="1:11" x14ac:dyDescent="0.2">
      <c r="B30" s="48">
        <f>SUM(C7*C28+C11*C32)/(1+$B$3)</f>
        <v>27.352071005917168</v>
      </c>
      <c r="D30" s="83"/>
      <c r="J30" s="83"/>
    </row>
    <row r="31" spans="1:11" x14ac:dyDescent="0.2">
      <c r="D31" s="83"/>
      <c r="F31">
        <f t="shared" si="3"/>
        <v>2</v>
      </c>
      <c r="J31" s="48"/>
      <c r="K31" s="48"/>
    </row>
    <row r="32" spans="1:11" x14ac:dyDescent="0.2">
      <c r="C32">
        <f t="shared" ref="C32" si="4">SUM(D32:E32)</f>
        <v>1.192307692307693</v>
      </c>
      <c r="D32" s="83">
        <f t="shared" ref="D32" si="5">(E10*F31+E12*F33)/(1+$B$3)</f>
        <v>1.192307692307693</v>
      </c>
      <c r="E32">
        <f t="shared" ref="E32" si="6">MAX(0,D11-$D$3)</f>
        <v>0</v>
      </c>
    </row>
    <row r="33" spans="1:9" x14ac:dyDescent="0.2">
      <c r="F33">
        <f t="shared" si="3"/>
        <v>0</v>
      </c>
    </row>
    <row r="35" spans="1:9" x14ac:dyDescent="0.2">
      <c r="A35" t="s">
        <v>97</v>
      </c>
      <c r="B35" t="s">
        <v>302</v>
      </c>
    </row>
    <row r="37" spans="1:9" x14ac:dyDescent="0.2">
      <c r="A37" t="s">
        <v>303</v>
      </c>
    </row>
    <row r="38" spans="1:9" x14ac:dyDescent="0.2">
      <c r="A38" t="s">
        <v>304</v>
      </c>
      <c r="C38" t="s">
        <v>295</v>
      </c>
      <c r="D38" t="s">
        <v>296</v>
      </c>
      <c r="E38" t="s">
        <v>297</v>
      </c>
      <c r="F38" t="s">
        <v>298</v>
      </c>
      <c r="H38" t="s">
        <v>299</v>
      </c>
    </row>
    <row r="39" spans="1:9" x14ac:dyDescent="0.2">
      <c r="F39">
        <f>F27</f>
        <v>36</v>
      </c>
      <c r="H39" s="85">
        <f>B42*$F$3</f>
        <v>26893491.124260362</v>
      </c>
      <c r="I39" s="48" t="s">
        <v>305</v>
      </c>
    </row>
    <row r="40" spans="1:9" x14ac:dyDescent="0.2">
      <c r="C40">
        <f>SUM(D40:E40)</f>
        <v>46.615384615384627</v>
      </c>
      <c r="D40" s="83">
        <f>D28</f>
        <v>24.615384615384624</v>
      </c>
      <c r="E40">
        <v>22</v>
      </c>
    </row>
    <row r="41" spans="1:9" x14ac:dyDescent="0.2">
      <c r="F41">
        <f t="shared" ref="F41" si="7">F29</f>
        <v>4</v>
      </c>
    </row>
    <row r="42" spans="1:9" x14ac:dyDescent="0.2">
      <c r="B42" s="48">
        <f>($C$7*C40+$C$11*C44)/(1+$B$3)</f>
        <v>26.893491124260361</v>
      </c>
    </row>
    <row r="43" spans="1:9" x14ac:dyDescent="0.2">
      <c r="F43">
        <v>0</v>
      </c>
    </row>
    <row r="44" spans="1:9" x14ac:dyDescent="0.2">
      <c r="C44">
        <f>SUM(D44:E44)</f>
        <v>0</v>
      </c>
      <c r="D44" s="83">
        <v>0</v>
      </c>
      <c r="E44">
        <v>0</v>
      </c>
    </row>
    <row r="45" spans="1:9" x14ac:dyDescent="0.2">
      <c r="F45">
        <v>0</v>
      </c>
    </row>
    <row r="46" spans="1:9" x14ac:dyDescent="0.2">
      <c r="C46" s="48"/>
      <c r="D46" s="48"/>
      <c r="E46" s="48"/>
      <c r="G46" s="48"/>
    </row>
    <row r="47" spans="1:9" x14ac:dyDescent="0.2">
      <c r="A47" t="s">
        <v>306</v>
      </c>
    </row>
    <row r="48" spans="1:9" x14ac:dyDescent="0.2">
      <c r="A48" t="s">
        <v>304</v>
      </c>
      <c r="C48" t="s">
        <v>295</v>
      </c>
      <c r="D48" t="s">
        <v>296</v>
      </c>
      <c r="E48" t="s">
        <v>297</v>
      </c>
      <c r="F48" t="s">
        <v>298</v>
      </c>
      <c r="H48" t="s">
        <v>299</v>
      </c>
    </row>
    <row r="49" spans="2:9" x14ac:dyDescent="0.2">
      <c r="F49">
        <f>F6-$D$3</f>
        <v>36</v>
      </c>
      <c r="H49" s="85">
        <f>B52*$F$3</f>
        <v>24275147.928994086</v>
      </c>
      <c r="I49" t="s">
        <v>307</v>
      </c>
    </row>
    <row r="50" spans="2:9" x14ac:dyDescent="0.2">
      <c r="C50">
        <f>SUM(D50:E50)</f>
        <v>46.615384615384627</v>
      </c>
      <c r="D50" s="83">
        <f>($E$6*F49+$E$8*F51)/(1+$B$3)</f>
        <v>24.615384615384624</v>
      </c>
      <c r="E50">
        <f>E17</f>
        <v>22</v>
      </c>
    </row>
    <row r="51" spans="2:9" x14ac:dyDescent="0.2">
      <c r="F51">
        <f t="shared" ref="F51:F53" si="8">F8-$D$3</f>
        <v>4</v>
      </c>
    </row>
    <row r="52" spans="2:9" x14ac:dyDescent="0.2">
      <c r="B52" s="48">
        <f>($C$7*C50+$C$11*C54)/(1+$B$3)</f>
        <v>24.275147928994087</v>
      </c>
    </row>
    <row r="53" spans="2:9" x14ac:dyDescent="0.2">
      <c r="B53" s="48"/>
      <c r="F53">
        <f t="shared" si="8"/>
        <v>2</v>
      </c>
    </row>
    <row r="54" spans="2:9" x14ac:dyDescent="0.2">
      <c r="C54">
        <f t="shared" ref="C54" si="9">SUM(D54:E54)</f>
        <v>-6.8076923076923066</v>
      </c>
      <c r="D54" s="83">
        <f>(E10*F53+E12*F55)/(1+$B$3)</f>
        <v>1.192307692307693</v>
      </c>
      <c r="E54">
        <f t="shared" ref="E54" si="10">E21</f>
        <v>-8</v>
      </c>
    </row>
    <row r="55" spans="2:9" x14ac:dyDescent="0.2">
      <c r="D55" s="83"/>
      <c r="F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C7DF-5067-0945-A398-83389E8F0875}">
  <dimension ref="A1:P37"/>
  <sheetViews>
    <sheetView workbookViewId="0">
      <selection activeCell="E8" sqref="E8"/>
    </sheetView>
  </sheetViews>
  <sheetFormatPr baseColWidth="10" defaultColWidth="8.83203125" defaultRowHeight="16" x14ac:dyDescent="0.2"/>
  <cols>
    <col min="5" max="5" width="10.5" customWidth="1"/>
    <col min="6" max="6" width="13" customWidth="1"/>
    <col min="7" max="7" width="11.1640625" customWidth="1"/>
    <col min="9" max="9" width="11.5" customWidth="1"/>
    <col min="11" max="11" width="11.6640625" bestFit="1" customWidth="1"/>
    <col min="12" max="12" width="13.5" customWidth="1"/>
    <col min="13" max="13" width="12.33203125" customWidth="1"/>
    <col min="14" max="14" width="10.83203125" customWidth="1"/>
    <col min="15" max="15" width="11.83203125" customWidth="1"/>
  </cols>
  <sheetData>
    <row r="1" spans="1:16" x14ac:dyDescent="0.2">
      <c r="A1" t="s">
        <v>308</v>
      </c>
      <c r="C1" t="s">
        <v>309</v>
      </c>
      <c r="E1" t="s">
        <v>310</v>
      </c>
      <c r="G1" t="s">
        <v>311</v>
      </c>
      <c r="I1" t="s">
        <v>312</v>
      </c>
    </row>
    <row r="2" spans="1:16" x14ac:dyDescent="0.2">
      <c r="A2">
        <v>150</v>
      </c>
      <c r="C2">
        <v>0.6</v>
      </c>
      <c r="E2">
        <v>0.8</v>
      </c>
      <c r="G2">
        <v>60</v>
      </c>
      <c r="I2">
        <v>15</v>
      </c>
    </row>
    <row r="3" spans="1:16" x14ac:dyDescent="0.2">
      <c r="A3" t="s">
        <v>313</v>
      </c>
    </row>
    <row r="4" spans="1:16" x14ac:dyDescent="0.2">
      <c r="A4">
        <v>50</v>
      </c>
    </row>
    <row r="6" spans="1:16" x14ac:dyDescent="0.2">
      <c r="A6" t="s">
        <v>85</v>
      </c>
      <c r="B6" t="s">
        <v>314</v>
      </c>
      <c r="F6" t="s">
        <v>315</v>
      </c>
      <c r="G6">
        <f>G2/(C2*A2+(1-C2)*A4)</f>
        <v>0.54545454545454541</v>
      </c>
    </row>
    <row r="8" spans="1:16" x14ac:dyDescent="0.2">
      <c r="A8" t="s">
        <v>87</v>
      </c>
      <c r="B8" t="s">
        <v>316</v>
      </c>
      <c r="E8">
        <f>(1-G6)*(C2*A2+(1-C2)*A4)+I2</f>
        <v>65</v>
      </c>
    </row>
    <row r="9" spans="1:16" x14ac:dyDescent="0.2">
      <c r="B9" t="s">
        <v>317</v>
      </c>
      <c r="E9">
        <f>(1-G6)*(E2*A2+(1-E2)*A4)</f>
        <v>59.090909090909093</v>
      </c>
    </row>
    <row r="11" spans="1:16" x14ac:dyDescent="0.2">
      <c r="A11" t="s">
        <v>57</v>
      </c>
      <c r="B11" t="s">
        <v>318</v>
      </c>
      <c r="F11" t="s">
        <v>319</v>
      </c>
      <c r="G11">
        <f>G2/(E2*A2+(1-E2)*A4)</f>
        <v>0.46153846153846156</v>
      </c>
      <c r="H11" s="48"/>
      <c r="I11" s="48"/>
      <c r="J11" s="48"/>
      <c r="K11" s="87"/>
      <c r="L11" s="88"/>
      <c r="M11" s="48"/>
      <c r="N11" s="88"/>
      <c r="O11" s="48"/>
      <c r="P11" s="88"/>
    </row>
    <row r="12" spans="1:16" x14ac:dyDescent="0.2">
      <c r="H12" s="48"/>
      <c r="I12" s="48"/>
      <c r="J12" s="48"/>
      <c r="K12" s="87"/>
      <c r="L12" s="88"/>
      <c r="M12" s="88"/>
      <c r="N12" s="88"/>
      <c r="O12" s="48"/>
      <c r="P12" s="88"/>
    </row>
    <row r="13" spans="1:16" x14ac:dyDescent="0.2">
      <c r="B13" t="s">
        <v>316</v>
      </c>
      <c r="E13">
        <f>(1-G11)*(C2*A2+(1-C2)*A4)+I2</f>
        <v>74.230769230769226</v>
      </c>
      <c r="H13" s="48"/>
      <c r="I13" s="48"/>
      <c r="J13" s="48"/>
      <c r="K13" s="87"/>
      <c r="L13" s="88"/>
      <c r="M13" s="88"/>
      <c r="N13" s="88"/>
      <c r="O13" s="48"/>
      <c r="P13" s="88"/>
    </row>
    <row r="14" spans="1:16" x14ac:dyDescent="0.2">
      <c r="B14" t="s">
        <v>317</v>
      </c>
      <c r="E14">
        <f>(1-G11)*(E2*A2+(1-E2)*A4)</f>
        <v>70</v>
      </c>
      <c r="H14" s="48"/>
      <c r="I14" s="48"/>
      <c r="J14" s="48"/>
      <c r="K14" s="87"/>
      <c r="L14" s="88"/>
      <c r="M14" s="88"/>
      <c r="N14" s="88"/>
      <c r="O14" s="48"/>
      <c r="P14" s="88"/>
    </row>
    <row r="15" spans="1:16" x14ac:dyDescent="0.2">
      <c r="H15" s="48"/>
      <c r="I15" s="48"/>
      <c r="J15" s="48"/>
      <c r="K15" s="87"/>
      <c r="L15" s="88"/>
      <c r="M15" s="88"/>
      <c r="N15" s="88"/>
      <c r="O15" s="48"/>
      <c r="P15" s="88"/>
    </row>
    <row r="16" spans="1:16" x14ac:dyDescent="0.2">
      <c r="A16" t="s">
        <v>56</v>
      </c>
      <c r="B16" t="s">
        <v>320</v>
      </c>
      <c r="H16" s="48"/>
      <c r="I16" s="48"/>
      <c r="J16" s="48"/>
      <c r="K16" s="87"/>
      <c r="L16" s="88"/>
      <c r="M16" s="88"/>
      <c r="N16" s="88"/>
      <c r="O16" s="48"/>
      <c r="P16" s="88"/>
    </row>
    <row r="17" spans="1:16" x14ac:dyDescent="0.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87"/>
      <c r="L17" s="88"/>
      <c r="M17" s="88"/>
      <c r="N17" s="88"/>
      <c r="O17" s="48"/>
      <c r="P17" s="88"/>
    </row>
    <row r="18" spans="1:16" x14ac:dyDescent="0.2">
      <c r="A18" s="83" t="s">
        <v>96</v>
      </c>
      <c r="B18" s="83" t="s">
        <v>321</v>
      </c>
      <c r="C18" s="48"/>
      <c r="D18" s="48"/>
      <c r="E18" s="48"/>
      <c r="F18" s="83" t="s">
        <v>322</v>
      </c>
      <c r="G18" s="83">
        <f>(G2-(1-C2)*A4)/(C2*A2)</f>
        <v>0.44444444444444442</v>
      </c>
      <c r="H18" s="48"/>
      <c r="I18" s="48"/>
      <c r="J18" s="48"/>
      <c r="K18" s="87"/>
      <c r="L18" s="88"/>
      <c r="M18" s="88"/>
      <c r="N18" s="88"/>
      <c r="O18" s="48"/>
      <c r="P18" s="88"/>
    </row>
    <row r="19" spans="1:16" x14ac:dyDescent="0.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87"/>
      <c r="L19" s="88"/>
      <c r="M19" s="88"/>
      <c r="N19" s="88"/>
      <c r="O19" s="48"/>
      <c r="P19" s="88"/>
    </row>
    <row r="20" spans="1:16" x14ac:dyDescent="0.2">
      <c r="A20" t="s">
        <v>97</v>
      </c>
      <c r="B20" t="s">
        <v>316</v>
      </c>
      <c r="E20">
        <f>(1-$G$18)*C2*$A$2+I2</f>
        <v>65</v>
      </c>
      <c r="F20" s="48"/>
      <c r="G20" s="48"/>
      <c r="H20" s="48"/>
      <c r="I20" s="48"/>
      <c r="J20" s="48"/>
      <c r="K20" s="87"/>
      <c r="L20" s="88"/>
      <c r="M20" s="88"/>
      <c r="N20" s="88"/>
      <c r="O20" s="48"/>
      <c r="P20" s="88"/>
    </row>
    <row r="21" spans="1:16" x14ac:dyDescent="0.2">
      <c r="B21" t="s">
        <v>317</v>
      </c>
      <c r="E21">
        <f>(1-$G$18)*E2*$A$2</f>
        <v>66.666666666666671</v>
      </c>
      <c r="F21" s="48"/>
      <c r="G21" s="48"/>
      <c r="H21" s="48"/>
      <c r="I21" s="48"/>
      <c r="J21" s="48"/>
      <c r="K21" s="87"/>
      <c r="L21" s="88"/>
      <c r="M21" s="88"/>
      <c r="N21" s="88"/>
      <c r="O21" s="48"/>
      <c r="P21" s="88"/>
    </row>
    <row r="22" spans="1:16" x14ac:dyDescent="0.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87"/>
      <c r="L22" s="88"/>
      <c r="M22" s="88"/>
      <c r="N22" s="88"/>
      <c r="O22" s="48"/>
      <c r="P22" s="88"/>
    </row>
    <row r="23" spans="1:16" x14ac:dyDescent="0.2">
      <c r="A23" s="83" t="s">
        <v>98</v>
      </c>
      <c r="B23" s="83" t="s">
        <v>323</v>
      </c>
      <c r="C23" s="48"/>
      <c r="D23" s="48"/>
      <c r="E23" s="48"/>
      <c r="F23" s="83" t="s">
        <v>324</v>
      </c>
      <c r="G23" s="83">
        <f>(G2-(1-E2)*A4)/(E2*A2)</f>
        <v>0.41666666666666669</v>
      </c>
      <c r="H23" s="48"/>
      <c r="I23" s="48"/>
      <c r="J23" s="48"/>
      <c r="K23" s="87"/>
      <c r="L23" s="88"/>
      <c r="M23" s="88"/>
      <c r="N23" s="88"/>
      <c r="O23" s="48"/>
      <c r="P23" s="88"/>
    </row>
    <row r="24" spans="1:16" x14ac:dyDescent="0.2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87"/>
      <c r="L24" s="88"/>
      <c r="M24" s="88"/>
      <c r="N24" s="88"/>
      <c r="O24" s="48"/>
      <c r="P24" s="88"/>
    </row>
    <row r="25" spans="1:16" x14ac:dyDescent="0.2">
      <c r="B25" t="s">
        <v>316</v>
      </c>
      <c r="E25">
        <f>(1-$G$23)*C2*$A$2+I2</f>
        <v>67.499999999999986</v>
      </c>
      <c r="F25" s="48"/>
      <c r="G25" s="48"/>
    </row>
    <row r="26" spans="1:16" x14ac:dyDescent="0.2">
      <c r="B26" t="s">
        <v>317</v>
      </c>
      <c r="E26">
        <f>(1-$G$23)*E2*$A$2</f>
        <v>69.999999999999986</v>
      </c>
      <c r="F26" s="48"/>
      <c r="G26" s="48"/>
    </row>
    <row r="28" spans="1:16" x14ac:dyDescent="0.2">
      <c r="A28" t="s">
        <v>325</v>
      </c>
      <c r="B28" t="s">
        <v>326</v>
      </c>
    </row>
    <row r="30" spans="1:16" x14ac:dyDescent="0.2">
      <c r="A30" t="s">
        <v>327</v>
      </c>
      <c r="B30" t="s">
        <v>328</v>
      </c>
    </row>
    <row r="36" spans="4:4" x14ac:dyDescent="0.2">
      <c r="D36" s="89"/>
    </row>
    <row r="37" spans="4:4" x14ac:dyDescent="0.2">
      <c r="D37" s="8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63EE-A633-4B45-BE3E-41D4D702FB91}">
  <dimension ref="A6:L43"/>
  <sheetViews>
    <sheetView workbookViewId="0">
      <selection activeCell="L35" sqref="L35"/>
    </sheetView>
  </sheetViews>
  <sheetFormatPr baseColWidth="10" defaultRowHeight="16" x14ac:dyDescent="0.2"/>
  <cols>
    <col min="12" max="12" width="12.1640625" bestFit="1" customWidth="1"/>
  </cols>
  <sheetData>
    <row r="6" spans="2:9" x14ac:dyDescent="0.2">
      <c r="D6" t="s">
        <v>237</v>
      </c>
      <c r="F6" t="s">
        <v>269</v>
      </c>
      <c r="H6" t="s">
        <v>329</v>
      </c>
    </row>
    <row r="7" spans="2:9" x14ac:dyDescent="0.2">
      <c r="D7">
        <v>0.05</v>
      </c>
      <c r="F7">
        <v>100</v>
      </c>
      <c r="H7" s="84"/>
    </row>
    <row r="10" spans="2:9" x14ac:dyDescent="0.2">
      <c r="C10" t="s">
        <v>87</v>
      </c>
      <c r="G10" s="48">
        <f>(F11*(1+$D$7)-H12)/(H10-H12)</f>
        <v>0.74047619047619107</v>
      </c>
      <c r="H10">
        <v>122</v>
      </c>
      <c r="I10">
        <f>MAX((H10-$F$7)*G10,0)</f>
        <v>16.290476190476202</v>
      </c>
    </row>
    <row r="11" spans="2:9" x14ac:dyDescent="0.2">
      <c r="D11" s="48">
        <f>(C13*(1+$D$7)-F15)/(F11-F15)</f>
        <v>0.7142857142857143</v>
      </c>
      <c r="E11">
        <f>(G10*(H10-$F$7)+G12*(H12-$F$7))/(1+$D$7)</f>
        <v>15.761904761904772</v>
      </c>
      <c r="F11">
        <v>111</v>
      </c>
    </row>
    <row r="12" spans="2:9" x14ac:dyDescent="0.2">
      <c r="G12" s="48">
        <f>1-G10</f>
        <v>0.25952380952380893</v>
      </c>
      <c r="H12">
        <v>101</v>
      </c>
      <c r="I12">
        <f t="shared" ref="I12:I16" si="0">MAX((H12-$F$7)*G12,0)</f>
        <v>0.25952380952380893</v>
      </c>
    </row>
    <row r="13" spans="2:9" x14ac:dyDescent="0.2">
      <c r="B13" s="12">
        <f>(D11*E11+D15*E15)/(1+$D$7)</f>
        <v>9.2970521541950184</v>
      </c>
      <c r="C13">
        <v>100</v>
      </c>
      <c r="E13">
        <f>SUM(E11,E15)</f>
        <v>10.523809523809533</v>
      </c>
      <c r="G13" s="48"/>
    </row>
    <row r="14" spans="2:9" x14ac:dyDescent="0.2">
      <c r="G14" s="48">
        <f>(F15*(1+$D$7)-H16)/(H14-H16)</f>
        <v>0.69047619047619047</v>
      </c>
      <c r="H14">
        <v>101</v>
      </c>
      <c r="I14">
        <f t="shared" si="0"/>
        <v>0.69047619047619047</v>
      </c>
    </row>
    <row r="15" spans="2:9" x14ac:dyDescent="0.2">
      <c r="D15" s="48">
        <f>1-D11</f>
        <v>0.2857142857142857</v>
      </c>
      <c r="E15">
        <f>(G14*(H14-$F$7)+G16*(H16-$F$7))/(1+$D$7)</f>
        <v>-5.2380952380952381</v>
      </c>
      <c r="F15">
        <v>90</v>
      </c>
      <c r="G15" s="48"/>
    </row>
    <row r="16" spans="2:9" x14ac:dyDescent="0.2">
      <c r="G16" s="48">
        <f t="shared" ref="G16" si="1">1-G14</f>
        <v>0.30952380952380953</v>
      </c>
      <c r="H16">
        <v>80</v>
      </c>
      <c r="I16">
        <f t="shared" si="0"/>
        <v>0</v>
      </c>
    </row>
    <row r="26" spans="1:4" x14ac:dyDescent="0.2">
      <c r="A26" t="s">
        <v>47</v>
      </c>
    </row>
    <row r="28" spans="1:4" x14ac:dyDescent="0.2">
      <c r="B28" t="s">
        <v>237</v>
      </c>
      <c r="D28" t="s">
        <v>239</v>
      </c>
    </row>
    <row r="29" spans="1:4" x14ac:dyDescent="0.2">
      <c r="B29">
        <v>0.05</v>
      </c>
      <c r="D29">
        <v>100</v>
      </c>
    </row>
    <row r="32" spans="1:4" x14ac:dyDescent="0.2">
      <c r="A32" t="s">
        <v>85</v>
      </c>
      <c r="B32" t="s">
        <v>240</v>
      </c>
      <c r="D32" t="s">
        <v>241</v>
      </c>
    </row>
    <row r="33" spans="1:12" x14ac:dyDescent="0.2">
      <c r="B33" t="s">
        <v>242</v>
      </c>
      <c r="D33" t="s">
        <v>243</v>
      </c>
      <c r="E33" t="s">
        <v>244</v>
      </c>
      <c r="G33" t="s">
        <v>245</v>
      </c>
      <c r="J33" t="s">
        <v>178</v>
      </c>
      <c r="L33" t="s">
        <v>246</v>
      </c>
    </row>
    <row r="34" spans="1:12" x14ac:dyDescent="0.2">
      <c r="B34">
        <f>MAX(F37-D29,0)</f>
        <v>22</v>
      </c>
      <c r="D34">
        <f>F37</f>
        <v>122</v>
      </c>
      <c r="E34">
        <f>100*(1+$B$29)</f>
        <v>105</v>
      </c>
      <c r="G34" cm="1">
        <f t="array" ref="G34:H35">MINVERSE(D34:E35)</f>
        <v>4.761904761904763E-2</v>
      </c>
      <c r="H34">
        <v>-4.761904761904763E-2</v>
      </c>
      <c r="J34" s="48" cm="1">
        <f t="array" ref="J34:J35">MMULT(_xlfn.ANCHORARRAY(G34),B34:B35)</f>
        <v>1.0000000000000002</v>
      </c>
      <c r="L34" s="48">
        <f>J34*D38+J35*100</f>
        <v>15.761904761904759</v>
      </c>
    </row>
    <row r="35" spans="1:12" x14ac:dyDescent="0.2">
      <c r="B35">
        <f>MAX(F39-D29,0)</f>
        <v>1</v>
      </c>
      <c r="D35">
        <f>F39</f>
        <v>101</v>
      </c>
      <c r="E35">
        <f>100*(1+$B$29)</f>
        <v>105</v>
      </c>
      <c r="G35">
        <v>-4.5804988662131535E-2</v>
      </c>
      <c r="H35">
        <v>5.532879818594106E-2</v>
      </c>
      <c r="J35" s="48">
        <v>-0.95238095238095266</v>
      </c>
      <c r="L35">
        <f>L34/(1+B29)^2</f>
        <v>14.296512255695927</v>
      </c>
    </row>
    <row r="37" spans="1:12" x14ac:dyDescent="0.2">
      <c r="A37" t="s">
        <v>87</v>
      </c>
      <c r="E37" s="48">
        <f>(D38*(1+B29)-F39)/(F37-F39)</f>
        <v>0.74047619047619107</v>
      </c>
      <c r="F37">
        <v>122</v>
      </c>
    </row>
    <row r="38" spans="1:12" x14ac:dyDescent="0.2">
      <c r="C38" s="48">
        <f>(B40*(1+$B$4)-D42)/(D38-D42)</f>
        <v>0.47619047619047616</v>
      </c>
      <c r="D38">
        <v>111</v>
      </c>
    </row>
    <row r="39" spans="1:12" x14ac:dyDescent="0.2">
      <c r="E39" s="48">
        <f>1-E37</f>
        <v>0.25952380952380893</v>
      </c>
      <c r="F39">
        <v>101</v>
      </c>
    </row>
    <row r="40" spans="1:12" x14ac:dyDescent="0.2">
      <c r="B40">
        <v>100</v>
      </c>
    </row>
    <row r="41" spans="1:12" x14ac:dyDescent="0.2">
      <c r="E41" s="48">
        <f>(D42*(1+$B$4)-F43)/(F41-F43)</f>
        <v>0.47619047619047616</v>
      </c>
      <c r="F41">
        <v>101</v>
      </c>
    </row>
    <row r="42" spans="1:12" x14ac:dyDescent="0.2">
      <c r="C42" s="48">
        <f>1-C38</f>
        <v>0.52380952380952384</v>
      </c>
      <c r="D42">
        <v>90</v>
      </c>
    </row>
    <row r="43" spans="1:12" x14ac:dyDescent="0.2">
      <c r="E43" s="48">
        <f>1-E41</f>
        <v>0.52380952380952384</v>
      </c>
      <c r="F4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PS3</vt:lpstr>
      <vt:lpstr>PS4</vt:lpstr>
      <vt:lpstr>PS5</vt:lpstr>
      <vt:lpstr>PS6 </vt:lpstr>
      <vt:lpstr>PS7</vt:lpstr>
      <vt:lpstr>PS8</vt:lpstr>
      <vt:lpstr>PS11 - P1</vt:lpstr>
      <vt:lpstr>PS11 - P2</vt:lpstr>
      <vt:lpstr>PS12</vt:lpstr>
      <vt:lpstr>PS12 - Ex2</vt:lpstr>
      <vt:lpstr>PS13 - Ex1</vt:lpstr>
      <vt:lpstr>PS13 - Ex3</vt:lpstr>
      <vt:lpstr>Jakki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Vanderhaegen</dc:creator>
  <cp:lastModifiedBy>Jeppe Vanderhaegen</cp:lastModifiedBy>
  <dcterms:created xsi:type="dcterms:W3CDTF">2023-09-21T13:08:24Z</dcterms:created>
  <dcterms:modified xsi:type="dcterms:W3CDTF">2024-10-31T11:15:35Z</dcterms:modified>
</cp:coreProperties>
</file>