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jvander/Library/Mobile Documents/com~apple~CloudDocs/Documents/#University/8. Sem/Regnskab/"/>
    </mc:Choice>
  </mc:AlternateContent>
  <xr:revisionPtr revIDLastSave="0" documentId="13_ncr:1_{9A019812-5672-CB4B-9D0A-4CF473C72819}" xr6:coauthVersionLast="47" xr6:coauthVersionMax="47" xr10:uidLastSave="{00000000-0000-0000-0000-000000000000}"/>
  <bookViews>
    <workbookView xWindow="0" yWindow="1820" windowWidth="28480" windowHeight="14640" activeTab="3" xr2:uid="{00000000-000D-0000-FFFF-FFFF00000000}"/>
  </bookViews>
  <sheets>
    <sheet name="Opgave 1" sheetId="3" r:id="rId1"/>
    <sheet name="Opgave 2" sheetId="1" r:id="rId2"/>
    <sheet name="Opgave 3" sheetId="2" r:id="rId3"/>
    <sheet name="Opgave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2" l="1"/>
  <c r="C34" i="2"/>
  <c r="H38" i="1"/>
  <c r="H39" i="1"/>
  <c r="C36" i="2" l="1"/>
  <c r="C33" i="2"/>
  <c r="C31" i="2"/>
  <c r="G30" i="2"/>
  <c r="C29" i="2"/>
  <c r="D28" i="2"/>
  <c r="E28" i="2"/>
  <c r="F28" i="2"/>
  <c r="G28" i="2"/>
  <c r="C28" i="2"/>
  <c r="D27" i="2"/>
  <c r="E27" i="2"/>
  <c r="F27" i="2"/>
  <c r="G27" i="2"/>
  <c r="C27" i="2"/>
  <c r="H23" i="2"/>
  <c r="H24" i="2"/>
  <c r="H18" i="2"/>
  <c r="E11" i="2"/>
  <c r="F11" i="2" s="1"/>
  <c r="E12" i="2"/>
  <c r="E13" i="2" s="1"/>
  <c r="E15" i="2"/>
  <c r="C25" i="2"/>
  <c r="D24" i="2"/>
  <c r="C24" i="2"/>
  <c r="D23" i="2"/>
  <c r="C23" i="2"/>
  <c r="E22" i="2"/>
  <c r="F22" i="2" s="1"/>
  <c r="G22" i="2" s="1"/>
  <c r="D22" i="2"/>
  <c r="D10" i="2"/>
  <c r="E10" i="2"/>
  <c r="F10" i="2"/>
  <c r="G10" i="2"/>
  <c r="C10" i="2"/>
  <c r="C20" i="2"/>
  <c r="C19" i="2"/>
  <c r="E18" i="2"/>
  <c r="E24" i="2" s="1"/>
  <c r="D25" i="2" s="1"/>
  <c r="D18" i="2"/>
  <c r="C18" i="2"/>
  <c r="D16" i="2"/>
  <c r="C16" i="2"/>
  <c r="D15" i="2"/>
  <c r="D14" i="2"/>
  <c r="C14" i="2"/>
  <c r="C15" i="2"/>
  <c r="D12" i="2"/>
  <c r="D13" i="2"/>
  <c r="C13" i="2"/>
  <c r="C12" i="2"/>
  <c r="D11" i="2"/>
  <c r="C11" i="2"/>
  <c r="I10" i="1"/>
  <c r="I11" i="1"/>
  <c r="I12" i="1"/>
  <c r="I13" i="1"/>
  <c r="H64" i="1"/>
  <c r="I55" i="1"/>
  <c r="I57" i="1" s="1"/>
  <c r="I56" i="1"/>
  <c r="I54" i="1"/>
  <c r="H54" i="1"/>
  <c r="H53" i="1"/>
  <c r="I50" i="1"/>
  <c r="H50" i="1"/>
  <c r="H48" i="1"/>
  <c r="H47" i="1"/>
  <c r="H46" i="1"/>
  <c r="H45" i="1"/>
  <c r="G45" i="1"/>
  <c r="I39" i="1"/>
  <c r="I40" i="1" s="1"/>
  <c r="I51" i="1" s="1"/>
  <c r="C15" i="4" s="1"/>
  <c r="H37" i="1"/>
  <c r="I30" i="1"/>
  <c r="I29" i="1"/>
  <c r="I59" i="1" l="1"/>
  <c r="H63" i="1"/>
  <c r="F15" i="2"/>
  <c r="F18" i="2"/>
  <c r="F24" i="2" s="1"/>
  <c r="G11" i="2"/>
  <c r="F12" i="2"/>
  <c r="E14" i="2"/>
  <c r="E16" i="2" s="1"/>
  <c r="E23" i="2" s="1"/>
  <c r="E25" i="2" s="1"/>
  <c r="F13" i="2" l="1"/>
  <c r="F14" i="2"/>
  <c r="F16" i="2" s="1"/>
  <c r="F23" i="2" s="1"/>
  <c r="G18" i="2"/>
  <c r="G24" i="2" s="1"/>
  <c r="G12" i="2"/>
  <c r="G15" i="2"/>
  <c r="H11" i="2"/>
  <c r="G13" i="2" l="1"/>
  <c r="G14" i="2" s="1"/>
  <c r="G16" i="2" s="1"/>
  <c r="G23" i="2" s="1"/>
  <c r="G25" i="2" s="1"/>
  <c r="H15" i="2"/>
  <c r="H12" i="2"/>
  <c r="F25" i="2"/>
  <c r="H14" i="2" l="1"/>
  <c r="H16" i="2" s="1"/>
  <c r="H13" i="2"/>
  <c r="I35" i="1" l="1"/>
  <c r="I31" i="1"/>
  <c r="I32" i="1"/>
  <c r="I33" i="1"/>
  <c r="I28" i="1"/>
  <c r="H23" i="1"/>
  <c r="H21" i="1"/>
  <c r="I21" i="1"/>
  <c r="I16" i="1"/>
  <c r="I17" i="1"/>
  <c r="I18" i="1"/>
  <c r="I19" i="1"/>
  <c r="H19" i="1"/>
  <c r="H18" i="1"/>
  <c r="H17" i="1"/>
  <c r="H16" i="1"/>
  <c r="I14" i="1"/>
  <c r="I23" i="1" s="1"/>
  <c r="H70" i="1" s="1"/>
  <c r="H14" i="1"/>
  <c r="H13" i="1"/>
  <c r="H12" i="1"/>
  <c r="H11" i="1"/>
  <c r="H10" i="1"/>
  <c r="I9" i="1"/>
  <c r="H9" i="1"/>
  <c r="D101" i="1"/>
  <c r="C101" i="1"/>
  <c r="I6" i="1"/>
  <c r="I7" i="1"/>
  <c r="H6" i="1"/>
  <c r="H7" i="1"/>
  <c r="I5" i="1"/>
  <c r="H5" i="1"/>
  <c r="I3" i="1"/>
  <c r="H3" i="1"/>
  <c r="J17" i="3"/>
  <c r="H66" i="1" l="1"/>
  <c r="H65" i="1"/>
  <c r="H69" i="1"/>
  <c r="C92" i="1"/>
  <c r="C85" i="1"/>
  <c r="D70" i="1"/>
  <c r="C70" i="1"/>
  <c r="D63" i="1"/>
  <c r="C63" i="1"/>
  <c r="D58" i="1"/>
  <c r="C58" i="1"/>
  <c r="D51" i="1"/>
  <c r="C51" i="1"/>
  <c r="D44" i="1"/>
  <c r="C44" i="1"/>
  <c r="D38" i="1"/>
  <c r="C38" i="1"/>
  <c r="D33" i="1"/>
  <c r="C33" i="1"/>
  <c r="C7" i="1"/>
  <c r="C11" i="1" s="1"/>
  <c r="C15" i="1" s="1"/>
  <c r="C17" i="1" s="1"/>
  <c r="C21" i="1" s="1"/>
  <c r="C24" i="1" s="1"/>
  <c r="D46" i="1" l="1"/>
  <c r="D53" i="1" s="1"/>
  <c r="C72" i="1"/>
  <c r="C74" i="1" s="1"/>
  <c r="D72" i="1"/>
  <c r="D74" i="1"/>
  <c r="C46" i="1"/>
  <c r="C53" i="1" s="1"/>
</calcChain>
</file>

<file path=xl/sharedStrings.xml><?xml version="1.0" encoding="utf-8"?>
<sst xmlns="http://schemas.openxmlformats.org/spreadsheetml/2006/main" count="192" uniqueCount="165">
  <si>
    <t>Resultatopgørelse</t>
  </si>
  <si>
    <t>Nettoomsætning</t>
  </si>
  <si>
    <t>Produktionsomkostninger</t>
  </si>
  <si>
    <t>Bruttofortjeneste</t>
  </si>
  <si>
    <t>Salgs- og distributionsomkostninger</t>
  </si>
  <si>
    <t>Administrationsomkostninger</t>
  </si>
  <si>
    <t>Forsknings- og udviklingsomkostninger</t>
  </si>
  <si>
    <t>Indtægter fra kapitalinteresser i associerede selskaber</t>
  </si>
  <si>
    <t>Finansielle indtægter</t>
  </si>
  <si>
    <t>Finansielle omkostninger</t>
  </si>
  <si>
    <t>Årests resultat før skat</t>
  </si>
  <si>
    <t>Skat af årets resultat</t>
  </si>
  <si>
    <t>Årets resultat</t>
  </si>
  <si>
    <t>Totalindkomstopgørelse</t>
  </si>
  <si>
    <t>Balance</t>
  </si>
  <si>
    <t>Koncerngoodwill</t>
  </si>
  <si>
    <t>Udviklingsprojekter</t>
  </si>
  <si>
    <t>Grunde og bygninger</t>
  </si>
  <si>
    <t xml:space="preserve">Patenter </t>
  </si>
  <si>
    <t>Produktionsanlæg og maskiner</t>
  </si>
  <si>
    <t>Andre anlæg, driftsmateriel og inventar</t>
  </si>
  <si>
    <t xml:space="preserve">Immaterielle aktiver </t>
  </si>
  <si>
    <t>Materielle aktiver</t>
  </si>
  <si>
    <t>Leasede aktiver</t>
  </si>
  <si>
    <t>Kapitalandele i associerede virksomheder</t>
  </si>
  <si>
    <t>Andre værdipapirer og kapitalandele</t>
  </si>
  <si>
    <t>Udskudte skatteaktiver</t>
  </si>
  <si>
    <t>Andre langfristede aktiver</t>
  </si>
  <si>
    <t>Varebeholdninger</t>
  </si>
  <si>
    <t>Tilgodehavender fra salg</t>
  </si>
  <si>
    <t>Selskabsskat</t>
  </si>
  <si>
    <t>Likvide beholdninger</t>
  </si>
  <si>
    <t>Langfristede aktiver</t>
  </si>
  <si>
    <t>Kortfristede aktiver</t>
  </si>
  <si>
    <t>Aktiver</t>
  </si>
  <si>
    <t>Note</t>
  </si>
  <si>
    <t>AKTIVER</t>
  </si>
  <si>
    <t>PASSIVER</t>
  </si>
  <si>
    <t>Aktiekapital</t>
  </si>
  <si>
    <t>Andre reserver</t>
  </si>
  <si>
    <t>Egenkapital</t>
  </si>
  <si>
    <t>Leasingforpligtelse</t>
  </si>
  <si>
    <t>Udskudte skatteforpligtelser</t>
  </si>
  <si>
    <t>Rentebærende gæld</t>
  </si>
  <si>
    <t>Langfristede forpligtelser</t>
  </si>
  <si>
    <t>Leverandørgæld</t>
  </si>
  <si>
    <t>Anden gæld</t>
  </si>
  <si>
    <t>Kortfristede forpligtelser</t>
  </si>
  <si>
    <t>Forpligtelser</t>
  </si>
  <si>
    <t>Passiver</t>
  </si>
  <si>
    <t>(1.000 DKK)</t>
  </si>
  <si>
    <t>Udvalgte noter</t>
  </si>
  <si>
    <t>Note 1 Andre værdipapirer og kapitalandele</t>
  </si>
  <si>
    <t>Note 2 Aktiekapital</t>
  </si>
  <si>
    <t>Note 3 Anden gæld</t>
  </si>
  <si>
    <t>Posten dækker over skyldig moms, feriepenge m.m.</t>
  </si>
  <si>
    <t>Obligationsbeholdning</t>
  </si>
  <si>
    <t>Dagsværdi per 1. jan.</t>
  </si>
  <si>
    <t>Årets tilgang</t>
  </si>
  <si>
    <t>Årets værdiregulering</t>
  </si>
  <si>
    <t>Dagsværdi per 31. dec.</t>
  </si>
  <si>
    <t>Kapitalandele</t>
  </si>
  <si>
    <t>Andre værdipapirer og kapitalandele i alt</t>
  </si>
  <si>
    <t>Aktiekapitalen på 20000 tkr. består af 200000 aktier af nom. 100 per aktie.</t>
  </si>
  <si>
    <t>Per den 31. 12. 2020 havde virksomheden 12000 aktier i egen beholdning.</t>
  </si>
  <si>
    <t>Obligationsbeholdningen består primært af danske statsobligationer</t>
  </si>
  <si>
    <t>Kapitalandelene består udelukkende af en 16 pct.'s ejerandel i A/S Solar Panel.</t>
  </si>
  <si>
    <t>Værdiregulering obligationer, efter skat</t>
  </si>
  <si>
    <t>Værdiregulering kapitalandele, efter skat</t>
  </si>
  <si>
    <t>Totalindkomst</t>
  </si>
  <si>
    <t>Ordinært resultat</t>
  </si>
  <si>
    <t>Value driver</t>
  </si>
  <si>
    <t>2021E</t>
  </si>
  <si>
    <t>2022E</t>
  </si>
  <si>
    <t>2023E</t>
  </si>
  <si>
    <t>2024E</t>
  </si>
  <si>
    <t>2025E</t>
  </si>
  <si>
    <t xml:space="preserve">Salgsvækstrate </t>
  </si>
  <si>
    <t>Andet driftsoverskud (efter skat) i pct. salg</t>
  </si>
  <si>
    <t>1/ATO</t>
  </si>
  <si>
    <t>Budgetperiode</t>
  </si>
  <si>
    <t>i.r.</t>
  </si>
  <si>
    <t>i.r. (ikke relevant)</t>
  </si>
  <si>
    <r>
      <t>PM</t>
    </r>
    <r>
      <rPr>
        <vertAlign val="subscript"/>
        <sz val="12"/>
        <color theme="1"/>
        <rFont val="Times New Roman"/>
        <family val="1"/>
      </rPr>
      <t xml:space="preserve">sales </t>
    </r>
    <r>
      <rPr>
        <sz val="12"/>
        <color theme="1"/>
        <rFont val="Times New Roman"/>
        <family val="1"/>
      </rPr>
      <t>(før skat)</t>
    </r>
  </si>
  <si>
    <t>Effektiv skatteprocent</t>
  </si>
  <si>
    <t>2026E</t>
  </si>
  <si>
    <t>Terminalperiode</t>
  </si>
  <si>
    <t>Uenig</t>
  </si>
  <si>
    <t xml:space="preserve">Uenig, </t>
  </si>
  <si>
    <t>Det handler om, hvordan P/E værdien er i forhold til markedet og den specifikke branche</t>
  </si>
  <si>
    <t xml:space="preserve">Dette er givet ved </t>
  </si>
  <si>
    <t xml:space="preserve">Svaret er derfor </t>
  </si>
  <si>
    <t>ROCE=RNOA+FLEV(RNOA-NBC)</t>
  </si>
  <si>
    <t>Enig</t>
  </si>
  <si>
    <t>Leasing tilhører driften</t>
  </si>
  <si>
    <t xml:space="preserve">Tænk maskiner eller andet kapital </t>
  </si>
  <si>
    <t>Det er en forudsætning, at RNOA er større end wacc</t>
  </si>
  <si>
    <t xml:space="preserve">De konstante residual overskud implicerer at AEG er nul, hvorfor værdien kan findes som </t>
  </si>
  <si>
    <t>400=1/afkastkrav x 25. Hvilket er lig 6,25%</t>
  </si>
  <si>
    <t>Reformuleret Balance</t>
  </si>
  <si>
    <t xml:space="preserve">Aktiver i alt </t>
  </si>
  <si>
    <t>Likvide midler</t>
  </si>
  <si>
    <t>Antal aktier</t>
  </si>
  <si>
    <t>Driftsaktiver</t>
  </si>
  <si>
    <t>Udskudte skatteforpligtigelser</t>
  </si>
  <si>
    <t>Selsabsskat</t>
  </si>
  <si>
    <t>Nettodriftsaktiver(NOA)</t>
  </si>
  <si>
    <t>Likvidbeholdninger</t>
  </si>
  <si>
    <t>Langfristet lån</t>
  </si>
  <si>
    <t>Kortfristet lån</t>
  </si>
  <si>
    <t>Netto finansielle Forpligtigelser(NFO)</t>
  </si>
  <si>
    <t>CSE</t>
  </si>
  <si>
    <t>Reformuleret Totalindkomst</t>
  </si>
  <si>
    <t>Bruttoresultat</t>
  </si>
  <si>
    <t>R&amp;D</t>
  </si>
  <si>
    <t>Driftsoverskud af salg, før skat</t>
  </si>
  <si>
    <t>Rapporteret skat</t>
  </si>
  <si>
    <t>Skattefordel @ 20%</t>
  </si>
  <si>
    <t>Skatte fra andet driftsoverskud</t>
  </si>
  <si>
    <t>Driftsoverskud, efter skat</t>
  </si>
  <si>
    <t xml:space="preserve">Andet driftoverskud </t>
  </si>
  <si>
    <t>Dagbøder</t>
  </si>
  <si>
    <t>Nedskrivning</t>
  </si>
  <si>
    <t>Net</t>
  </si>
  <si>
    <t>Værdireguleringer af kapitalandele</t>
  </si>
  <si>
    <t>Samlet driftsoverskud(OI)</t>
  </si>
  <si>
    <t>Skattefordel @20%</t>
  </si>
  <si>
    <t>Nettofinansielle omkostninger(NFE)</t>
  </si>
  <si>
    <t xml:space="preserve">PM Sales </t>
  </si>
  <si>
    <t xml:space="preserve">PM Other OI </t>
  </si>
  <si>
    <t>ATO</t>
  </si>
  <si>
    <t>RNOA</t>
  </si>
  <si>
    <t>FCF = OI - ∆NOA</t>
  </si>
  <si>
    <t>d = Totalindkomst - ∆CSE</t>
  </si>
  <si>
    <t>2b</t>
  </si>
  <si>
    <t>2c</t>
  </si>
  <si>
    <t>Nettoomæstning</t>
  </si>
  <si>
    <t>Skattebetaling</t>
  </si>
  <si>
    <t>Andet driftoverskud</t>
  </si>
  <si>
    <t>Samlet Driftsoverskud(OI)</t>
  </si>
  <si>
    <t>Driftoverskud (Core OI)</t>
  </si>
  <si>
    <t xml:space="preserve">Driftsoverskud fra salg(Før skat) </t>
  </si>
  <si>
    <t>NOA</t>
  </si>
  <si>
    <t>NFO</t>
  </si>
  <si>
    <t>År</t>
  </si>
  <si>
    <t>OI</t>
  </si>
  <si>
    <t>FCF=OI-Delta NOA</t>
  </si>
  <si>
    <t>df</t>
  </si>
  <si>
    <t>PV FCF</t>
  </si>
  <si>
    <t>sum PV FCF</t>
  </si>
  <si>
    <t>TV</t>
  </si>
  <si>
    <t>PV TV</t>
  </si>
  <si>
    <t>EV</t>
  </si>
  <si>
    <t>V^E</t>
  </si>
  <si>
    <t>Antal udestående aktier</t>
  </si>
  <si>
    <t>Værdi per aktie</t>
  </si>
  <si>
    <t>RR</t>
  </si>
  <si>
    <t>Personligt ville jeg nok sælge, hvis den estimerede værdi er 70kroner lavere end den nuværende pris</t>
  </si>
  <si>
    <t>Hermed må anbefalingen være at sælge</t>
  </si>
  <si>
    <t>Trailing EV/OI</t>
  </si>
  <si>
    <t xml:space="preserve">Trailing referer til indeværende års driftunderskud. Det forhold, </t>
  </si>
  <si>
    <t xml:space="preserve">at indeværende års driftoverskud anvendes som prediktor fordrer, </t>
  </si>
  <si>
    <t xml:space="preserve">at det er Core OI, der anvendes. </t>
  </si>
  <si>
    <t>Det vil sige eksklusiv eventuelle usædvanlige poster</t>
  </si>
  <si>
    <t xml:space="preserve">da disse ikke har nogen prediktionsværdi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</si>
</sst>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 * #,##0.00_ ;_ * \-#,##0.00_ ;_ * &quot;-&quot;??_ ;_ @_ "/>
    <numFmt numFmtId="165" formatCode="_-* #,##0_-;\-* #,##0_-;_-* &quot;-&quot;??_-;_-@_-"/>
    <numFmt numFmtId="166" formatCode="0.0%"/>
    <numFmt numFmtId="167" formatCode="_-* #,##0.000_-;\-* #,##0.000_-;_-* &quot;-&quot;??_-;_-@_-"/>
    <numFmt numFmtId="168" formatCode="_-* #,##0.000\ _k_r_._-;\-* #,##0.000\ _k_r_._-;_-* &quot;-&quot;???\ _k_r_.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charset val="238"/>
    </font>
    <font>
      <sz val="10"/>
      <color theme="1"/>
      <name val="Times New Roman"/>
      <family val="1"/>
    </font>
    <font>
      <b/>
      <sz val="14"/>
      <color theme="8"/>
      <name val="Times New Roman"/>
      <family val="1"/>
    </font>
    <font>
      <b/>
      <sz val="16"/>
      <color theme="8"/>
      <name val="Times New Roman"/>
      <family val="1"/>
    </font>
    <font>
      <i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3" fontId="7" fillId="0" borderId="3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3" fillId="0" borderId="2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2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9" fillId="0" borderId="0" xfId="0" applyFont="1"/>
    <xf numFmtId="0" fontId="11" fillId="0" borderId="0" xfId="0" applyFont="1"/>
    <xf numFmtId="0" fontId="6" fillId="0" borderId="0" xfId="0" applyFont="1"/>
    <xf numFmtId="0" fontId="2" fillId="0" borderId="2" xfId="0" applyFont="1" applyBorder="1"/>
    <xf numFmtId="0" fontId="3" fillId="0" borderId="4" xfId="0" applyFont="1" applyBorder="1"/>
    <xf numFmtId="9" fontId="2" fillId="0" borderId="0" xfId="4" applyFont="1"/>
    <xf numFmtId="0" fontId="2" fillId="0" borderId="5" xfId="0" applyFont="1" applyBorder="1"/>
    <xf numFmtId="0" fontId="6" fillId="0" borderId="1" xfId="0" applyFont="1" applyBorder="1" applyAlignment="1">
      <alignment horizontal="right"/>
    </xf>
    <xf numFmtId="0" fontId="2" fillId="0" borderId="9" xfId="0" applyFont="1" applyBorder="1"/>
    <xf numFmtId="0" fontId="2" fillId="0" borderId="12" xfId="0" applyFont="1" applyBorder="1"/>
    <xf numFmtId="0" fontId="3" fillId="0" borderId="14" xfId="0" applyFont="1" applyBorder="1"/>
    <xf numFmtId="0" fontId="6" fillId="0" borderId="10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9" fontId="2" fillId="0" borderId="11" xfId="4" applyFont="1" applyBorder="1"/>
    <xf numFmtId="9" fontId="2" fillId="0" borderId="7" xfId="4" applyFont="1" applyBorder="1"/>
    <xf numFmtId="9" fontId="2" fillId="0" borderId="12" xfId="4" applyFont="1" applyBorder="1"/>
    <xf numFmtId="9" fontId="2" fillId="0" borderId="8" xfId="4" applyFont="1" applyBorder="1"/>
    <xf numFmtId="2" fontId="2" fillId="0" borderId="1" xfId="0" applyNumberFormat="1" applyFont="1" applyBorder="1"/>
    <xf numFmtId="0" fontId="12" fillId="0" borderId="0" xfId="0" applyFont="1"/>
    <xf numFmtId="0" fontId="2" fillId="0" borderId="0" xfId="0" quotePrefix="1" applyFont="1"/>
    <xf numFmtId="0" fontId="3" fillId="0" borderId="0" xfId="0" quotePrefix="1" applyFont="1"/>
    <xf numFmtId="165" fontId="2" fillId="0" borderId="0" xfId="3" applyNumberFormat="1" applyFont="1" applyBorder="1"/>
    <xf numFmtId="1" fontId="2" fillId="0" borderId="0" xfId="0" applyNumberFormat="1" applyFont="1"/>
    <xf numFmtId="1" fontId="3" fillId="0" borderId="0" xfId="0" applyNumberFormat="1" applyFont="1"/>
    <xf numFmtId="166" fontId="2" fillId="0" borderId="0" xfId="4" applyNumberFormat="1" applyFont="1" applyBorder="1"/>
    <xf numFmtId="166" fontId="2" fillId="0" borderId="0" xfId="0" applyNumberFormat="1" applyFont="1"/>
    <xf numFmtId="9" fontId="2" fillId="0" borderId="0" xfId="4" applyFont="1" applyBorder="1"/>
    <xf numFmtId="167" fontId="2" fillId="0" borderId="0" xfId="0" applyNumberFormat="1" applyFont="1"/>
    <xf numFmtId="168" fontId="2" fillId="0" borderId="0" xfId="0" applyNumberFormat="1" applyFont="1"/>
    <xf numFmtId="0" fontId="6" fillId="0" borderId="0" xfId="0" applyFont="1" applyAlignment="1">
      <alignment horizontal="right"/>
    </xf>
    <xf numFmtId="0" fontId="6" fillId="0" borderId="6" xfId="0" applyFont="1" applyBorder="1" applyAlignment="1">
      <alignment horizontal="right"/>
    </xf>
    <xf numFmtId="0" fontId="14" fillId="0" borderId="0" xfId="0" applyFont="1"/>
    <xf numFmtId="166" fontId="2" fillId="0" borderId="0" xfId="4" applyNumberFormat="1" applyFont="1"/>
    <xf numFmtId="0" fontId="15" fillId="0" borderId="0" xfId="0" applyFont="1"/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5">
    <cellStyle name="Comma" xfId="3" builtinId="3"/>
    <cellStyle name="Comma 2" xfId="1" xr:uid="{00000000-0005-0000-0000-000001000000}"/>
    <cellStyle name="item" xfId="2" xr:uid="{00000000-0005-0000-0000-000002000000}"/>
    <cellStyle name="Normal" xfId="0" builtinId="0"/>
    <cellStyle name="Per 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5</xdr:row>
      <xdr:rowOff>50800</xdr:rowOff>
    </xdr:from>
    <xdr:to>
      <xdr:col>6</xdr:col>
      <xdr:colOff>393700</xdr:colOff>
      <xdr:row>26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4E8BA9-4D62-C86B-EC92-6A55146B7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1003300"/>
          <a:ext cx="5003800" cy="411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330200</xdr:colOff>
      <xdr:row>0</xdr:row>
      <xdr:rowOff>139700</xdr:rowOff>
    </xdr:from>
    <xdr:to>
      <xdr:col>19</xdr:col>
      <xdr:colOff>12700</xdr:colOff>
      <xdr:row>32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F07E3-794F-A85D-7C7B-E7327AEF0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39700" y="139700"/>
          <a:ext cx="4965700" cy="6705600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32</xdr:row>
      <xdr:rowOff>203200</xdr:rowOff>
    </xdr:from>
    <xdr:to>
      <xdr:col>19</xdr:col>
      <xdr:colOff>279400</xdr:colOff>
      <xdr:row>56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4BB301-CC69-13C1-478A-EBE629F56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76200" y="6883400"/>
          <a:ext cx="5295900" cy="4876800"/>
        </a:xfrm>
        <a:prstGeom prst="rect">
          <a:avLst/>
        </a:prstGeom>
      </xdr:spPr>
    </xdr:pic>
    <xdr:clientData/>
  </xdr:twoCellAnchor>
  <xdr:twoCellAnchor editAs="oneCell">
    <xdr:from>
      <xdr:col>11</xdr:col>
      <xdr:colOff>469900</xdr:colOff>
      <xdr:row>58</xdr:row>
      <xdr:rowOff>114300</xdr:rowOff>
    </xdr:from>
    <xdr:to>
      <xdr:col>19</xdr:col>
      <xdr:colOff>355600</xdr:colOff>
      <xdr:row>74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3A2B8F-08B3-D261-9411-1D3CA038F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79400" y="12192000"/>
          <a:ext cx="5168900" cy="3225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241300</xdr:colOff>
      <xdr:row>0</xdr:row>
      <xdr:rowOff>76200</xdr:rowOff>
    </xdr:from>
    <xdr:to>
      <xdr:col>19</xdr:col>
      <xdr:colOff>241300</xdr:colOff>
      <xdr:row>19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B8E705-8B72-027B-4069-06896AF09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76200"/>
          <a:ext cx="5283200" cy="3860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1</xdr:row>
      <xdr:rowOff>38100</xdr:rowOff>
    </xdr:from>
    <xdr:to>
      <xdr:col>7</xdr:col>
      <xdr:colOff>571500</xdr:colOff>
      <xdr:row>11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67D28A-4C15-5CE8-8B6A-E9B890090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0800" y="228600"/>
          <a:ext cx="5245100" cy="20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495300</xdr:colOff>
      <xdr:row>22</xdr:row>
      <xdr:rowOff>50800</xdr:rowOff>
    </xdr:from>
    <xdr:to>
      <xdr:col>10</xdr:col>
      <xdr:colOff>622300</xdr:colOff>
      <xdr:row>44</xdr:row>
      <xdr:rowOff>172742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02CDDEC-E64A-409E-34E2-DA29EDCC8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0800" y="4241800"/>
          <a:ext cx="7772400" cy="4312942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22</xdr:row>
      <xdr:rowOff>12700</xdr:rowOff>
    </xdr:from>
    <xdr:to>
      <xdr:col>20</xdr:col>
      <xdr:colOff>406400</xdr:colOff>
      <xdr:row>36</xdr:row>
      <xdr:rowOff>29443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B807864-A8C2-E70B-9A36-26CFBF1F8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59900" y="4203700"/>
          <a:ext cx="7772400" cy="2683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46FB-F685-B045-9A2A-73DBD6A46F2B}">
  <dimension ref="H7:K27"/>
  <sheetViews>
    <sheetView topLeftCell="C2" workbookViewId="0">
      <selection activeCell="H23" sqref="H23"/>
    </sheetView>
  </sheetViews>
  <sheetFormatPr baseColWidth="10" defaultRowHeight="15" x14ac:dyDescent="0.2"/>
  <sheetData>
    <row r="7" spans="8:11" x14ac:dyDescent="0.2">
      <c r="H7" s="44" t="s">
        <v>87</v>
      </c>
    </row>
    <row r="8" spans="8:11" x14ac:dyDescent="0.2">
      <c r="H8" s="44" t="s">
        <v>96</v>
      </c>
    </row>
    <row r="11" spans="8:11" x14ac:dyDescent="0.2">
      <c r="H11" s="44" t="s">
        <v>88</v>
      </c>
    </row>
    <row r="12" spans="8:11" x14ac:dyDescent="0.2">
      <c r="H12" s="44" t="s">
        <v>89</v>
      </c>
    </row>
    <row r="15" spans="8:11" x14ac:dyDescent="0.2">
      <c r="H15" s="44" t="s">
        <v>93</v>
      </c>
      <c r="I15" s="44"/>
      <c r="J15" s="44"/>
      <c r="K15" s="44"/>
    </row>
    <row r="16" spans="8:11" x14ac:dyDescent="0.2">
      <c r="H16" s="44" t="s">
        <v>90</v>
      </c>
      <c r="I16" s="44"/>
      <c r="J16" s="44" t="s">
        <v>92</v>
      </c>
      <c r="K16" s="44"/>
    </row>
    <row r="17" spans="8:11" x14ac:dyDescent="0.2">
      <c r="H17" s="44" t="s">
        <v>91</v>
      </c>
      <c r="I17" s="44"/>
      <c r="J17" s="44">
        <f>0.1+2*(0.04)</f>
        <v>0.18</v>
      </c>
      <c r="K17" s="44"/>
    </row>
    <row r="18" spans="8:11" x14ac:dyDescent="0.2">
      <c r="I18" s="44"/>
      <c r="J18" s="44"/>
      <c r="K18" s="44"/>
    </row>
    <row r="19" spans="8:11" x14ac:dyDescent="0.2">
      <c r="H19" s="44" t="s">
        <v>87</v>
      </c>
    </row>
    <row r="20" spans="8:11" x14ac:dyDescent="0.2">
      <c r="H20" s="44" t="s">
        <v>97</v>
      </c>
    </row>
    <row r="21" spans="8:11" x14ac:dyDescent="0.2">
      <c r="H21" s="44" t="s">
        <v>98</v>
      </c>
    </row>
    <row r="25" spans="8:11" x14ac:dyDescent="0.2">
      <c r="H25" s="44" t="s">
        <v>93</v>
      </c>
    </row>
    <row r="26" spans="8:11" x14ac:dyDescent="0.2">
      <c r="H26" s="44" t="s">
        <v>94</v>
      </c>
    </row>
    <row r="27" spans="8:11" x14ac:dyDescent="0.2">
      <c r="H27" s="44" t="s">
        <v>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74"/>
  <sheetViews>
    <sheetView topLeftCell="B29" workbookViewId="0">
      <selection activeCell="J56" sqref="J56"/>
    </sheetView>
  </sheetViews>
  <sheetFormatPr baseColWidth="10" defaultColWidth="8.6640625" defaultRowHeight="16" x14ac:dyDescent="0.2"/>
  <cols>
    <col min="1" max="1" width="8.6640625" style="1"/>
    <col min="2" max="2" width="48.5" style="1" customWidth="1"/>
    <col min="3" max="5" width="8.6640625" style="1"/>
    <col min="6" max="6" width="11" style="1" bestFit="1" customWidth="1"/>
    <col min="7" max="7" width="33.83203125" style="1" customWidth="1"/>
    <col min="8" max="8" width="10.1640625" style="1" bestFit="1" customWidth="1"/>
    <col min="9" max="16384" width="8.6640625" style="1"/>
  </cols>
  <sheetData>
    <row r="3" spans="2:9" ht="18" x14ac:dyDescent="0.2">
      <c r="B3" s="11" t="s">
        <v>0</v>
      </c>
      <c r="C3" s="6">
        <v>2020</v>
      </c>
      <c r="E3" s="8" t="s">
        <v>35</v>
      </c>
      <c r="G3" s="1" t="s">
        <v>99</v>
      </c>
      <c r="H3" s="1">
        <f>C27</f>
        <v>2020</v>
      </c>
      <c r="I3" s="1">
        <f>D27</f>
        <v>2019</v>
      </c>
    </row>
    <row r="4" spans="2:9" x14ac:dyDescent="0.2">
      <c r="B4" s="5" t="s">
        <v>50</v>
      </c>
    </row>
    <row r="5" spans="2:9" x14ac:dyDescent="0.2">
      <c r="B5" s="1" t="s">
        <v>1</v>
      </c>
      <c r="C5" s="1">
        <v>47500</v>
      </c>
      <c r="G5" s="3" t="s">
        <v>100</v>
      </c>
      <c r="H5" s="3">
        <f>C53</f>
        <v>84350</v>
      </c>
      <c r="I5" s="3">
        <f>D53</f>
        <v>73260</v>
      </c>
    </row>
    <row r="6" spans="2:9" x14ac:dyDescent="0.2">
      <c r="B6" s="2" t="s">
        <v>2</v>
      </c>
      <c r="C6" s="10">
        <v>-21250</v>
      </c>
      <c r="G6" s="1" t="s">
        <v>56</v>
      </c>
      <c r="H6" s="1">
        <f>C85</f>
        <v>700</v>
      </c>
      <c r="I6" s="1">
        <f>D85</f>
        <v>0</v>
      </c>
    </row>
    <row r="7" spans="2:9" x14ac:dyDescent="0.2">
      <c r="B7" s="3" t="s">
        <v>3</v>
      </c>
      <c r="C7" s="3">
        <f>C5+C6</f>
        <v>26250</v>
      </c>
      <c r="G7" s="1" t="s">
        <v>101</v>
      </c>
      <c r="H7" s="1">
        <f>C50</f>
        <v>130</v>
      </c>
      <c r="I7" s="1">
        <f>D50</f>
        <v>170</v>
      </c>
    </row>
    <row r="8" spans="2:9" x14ac:dyDescent="0.2">
      <c r="B8" s="2" t="s">
        <v>6</v>
      </c>
      <c r="C8" s="1">
        <v>-11500</v>
      </c>
    </row>
    <row r="9" spans="2:9" x14ac:dyDescent="0.2">
      <c r="B9" s="2" t="s">
        <v>4</v>
      </c>
      <c r="C9" s="1">
        <v>-4560</v>
      </c>
      <c r="G9" s="3" t="s">
        <v>103</v>
      </c>
      <c r="H9" s="3">
        <f>H5-SUM(H6:H7)</f>
        <v>83520</v>
      </c>
      <c r="I9" s="3">
        <f>I5-SUM(I6:I7)</f>
        <v>73090</v>
      </c>
    </row>
    <row r="10" spans="2:9" x14ac:dyDescent="0.2">
      <c r="B10" s="2" t="s">
        <v>5</v>
      </c>
      <c r="C10" s="10">
        <v>-2800</v>
      </c>
      <c r="G10" s="1" t="s">
        <v>104</v>
      </c>
      <c r="H10" s="1">
        <f>C62</f>
        <v>3750</v>
      </c>
      <c r="I10" s="1">
        <f>D62</f>
        <v>2640</v>
      </c>
    </row>
    <row r="11" spans="2:9" x14ac:dyDescent="0.2">
      <c r="B11" s="3" t="s">
        <v>70</v>
      </c>
      <c r="C11" s="3">
        <f>C7+C8+C9+C10</f>
        <v>7390</v>
      </c>
      <c r="G11" s="1" t="s">
        <v>45</v>
      </c>
      <c r="H11" s="1">
        <f t="shared" ref="H11:I13" si="0">C67</f>
        <v>3125</v>
      </c>
      <c r="I11" s="1">
        <f t="shared" si="0"/>
        <v>2870</v>
      </c>
    </row>
    <row r="12" spans="2:9" x14ac:dyDescent="0.2">
      <c r="B12" s="2" t="s">
        <v>7</v>
      </c>
      <c r="C12" s="1">
        <v>275</v>
      </c>
      <c r="G12" s="1" t="s">
        <v>105</v>
      </c>
      <c r="H12" s="1">
        <f t="shared" si="0"/>
        <v>980</v>
      </c>
      <c r="I12" s="1">
        <f t="shared" si="0"/>
        <v>1020</v>
      </c>
    </row>
    <row r="13" spans="2:9" x14ac:dyDescent="0.2">
      <c r="B13" s="2" t="s">
        <v>8</v>
      </c>
      <c r="C13" s="1">
        <v>8</v>
      </c>
      <c r="G13" s="1" t="s">
        <v>46</v>
      </c>
      <c r="H13" s="1">
        <f t="shared" si="0"/>
        <v>890</v>
      </c>
      <c r="I13" s="1">
        <f t="shared" si="0"/>
        <v>950</v>
      </c>
    </row>
    <row r="14" spans="2:9" x14ac:dyDescent="0.2">
      <c r="B14" s="2" t="s">
        <v>9</v>
      </c>
      <c r="C14" s="10">
        <v>-1180</v>
      </c>
      <c r="G14" s="3" t="s">
        <v>106</v>
      </c>
      <c r="H14" s="3">
        <f>H9-SUM(H10:H13)</f>
        <v>74775</v>
      </c>
      <c r="I14" s="3">
        <f>I9-SUM(I10:I13)</f>
        <v>65610</v>
      </c>
    </row>
    <row r="15" spans="2:9" x14ac:dyDescent="0.2">
      <c r="B15" s="3" t="s">
        <v>10</v>
      </c>
      <c r="C15" s="3">
        <f>C11+C12+C13+C14</f>
        <v>6493</v>
      </c>
    </row>
    <row r="16" spans="2:9" x14ac:dyDescent="0.2">
      <c r="B16" s="2" t="s">
        <v>11</v>
      </c>
      <c r="C16" s="1">
        <v>-1235</v>
      </c>
      <c r="G16" s="1" t="s">
        <v>56</v>
      </c>
      <c r="H16" s="1">
        <f>-H6</f>
        <v>-700</v>
      </c>
      <c r="I16" s="1">
        <f>-I6</f>
        <v>0</v>
      </c>
    </row>
    <row r="17" spans="2:9" ht="17" thickBot="1" x14ac:dyDescent="0.25">
      <c r="B17" s="3" t="s">
        <v>12</v>
      </c>
      <c r="C17" s="17">
        <f>C15+C16</f>
        <v>5258</v>
      </c>
      <c r="G17" s="1" t="s">
        <v>107</v>
      </c>
      <c r="H17" s="1">
        <f>-H7</f>
        <v>-130</v>
      </c>
      <c r="I17" s="1">
        <f>-I7</f>
        <v>-170</v>
      </c>
    </row>
    <row r="18" spans="2:9" ht="17" thickTop="1" x14ac:dyDescent="0.2">
      <c r="G18" s="1" t="s">
        <v>108</v>
      </c>
      <c r="H18" s="1">
        <f>SUM(C60:C61)</f>
        <v>35545</v>
      </c>
      <c r="I18" s="1">
        <f>SUM(D60:D61)</f>
        <v>28640</v>
      </c>
    </row>
    <row r="19" spans="2:9" ht="18" x14ac:dyDescent="0.2">
      <c r="B19" s="13" t="s">
        <v>13</v>
      </c>
      <c r="G19" s="1" t="s">
        <v>109</v>
      </c>
      <c r="H19" s="1">
        <f>SUM(C65:C66)</f>
        <v>1310</v>
      </c>
      <c r="I19" s="1">
        <f>SUM(D65:D66)</f>
        <v>1390</v>
      </c>
    </row>
    <row r="21" spans="2:9" x14ac:dyDescent="0.2">
      <c r="B21" s="1" t="s">
        <v>12</v>
      </c>
      <c r="C21" s="1">
        <f>C17</f>
        <v>5258</v>
      </c>
      <c r="G21" s="3" t="s">
        <v>110</v>
      </c>
      <c r="H21" s="3">
        <f>SUM(H16:H19)</f>
        <v>36025</v>
      </c>
      <c r="I21" s="3">
        <f>SUM(I16:I19)</f>
        <v>29860</v>
      </c>
    </row>
    <row r="22" spans="2:9" x14ac:dyDescent="0.2">
      <c r="B22" s="1" t="s">
        <v>67</v>
      </c>
      <c r="C22" s="1">
        <v>39</v>
      </c>
    </row>
    <row r="23" spans="2:9" x14ac:dyDescent="0.2">
      <c r="B23" s="1" t="s">
        <v>68</v>
      </c>
      <c r="C23" s="1">
        <v>-39</v>
      </c>
      <c r="G23" s="3" t="s">
        <v>111</v>
      </c>
      <c r="H23" s="3">
        <f>H14-H21</f>
        <v>38750</v>
      </c>
      <c r="I23" s="3">
        <f>I14-I21</f>
        <v>35750</v>
      </c>
    </row>
    <row r="24" spans="2:9" ht="17" thickBot="1" x14ac:dyDescent="0.25">
      <c r="B24" s="3" t="s">
        <v>69</v>
      </c>
      <c r="C24" s="17">
        <f>C21+C22+C23</f>
        <v>5258</v>
      </c>
    </row>
    <row r="25" spans="2:9" ht="17" thickTop="1" x14ac:dyDescent="0.2"/>
    <row r="26" spans="2:9" x14ac:dyDescent="0.2">
      <c r="G26" s="1" t="s">
        <v>112</v>
      </c>
      <c r="I26" s="1">
        <v>2020</v>
      </c>
    </row>
    <row r="27" spans="2:9" ht="20" x14ac:dyDescent="0.2">
      <c r="B27" s="12" t="s">
        <v>14</v>
      </c>
      <c r="C27" s="6">
        <v>2020</v>
      </c>
      <c r="D27" s="6">
        <v>2019</v>
      </c>
    </row>
    <row r="28" spans="2:9" x14ac:dyDescent="0.2">
      <c r="B28" s="5" t="s">
        <v>50</v>
      </c>
      <c r="G28" s="1" t="s">
        <v>1</v>
      </c>
      <c r="I28" s="1">
        <f>C5</f>
        <v>47500</v>
      </c>
    </row>
    <row r="29" spans="2:9" ht="18" x14ac:dyDescent="0.2">
      <c r="B29" s="4" t="s">
        <v>36</v>
      </c>
      <c r="G29" s="1" t="s">
        <v>2</v>
      </c>
      <c r="I29" s="1">
        <f>C6+1650+2350</f>
        <v>-17250</v>
      </c>
    </row>
    <row r="30" spans="2:9" x14ac:dyDescent="0.2">
      <c r="B30" s="1" t="s">
        <v>15</v>
      </c>
      <c r="C30" s="1">
        <v>6500</v>
      </c>
      <c r="D30" s="1">
        <v>6500</v>
      </c>
      <c r="G30" s="3" t="s">
        <v>113</v>
      </c>
      <c r="I30" s="1">
        <f>I28+I29</f>
        <v>30250</v>
      </c>
    </row>
    <row r="31" spans="2:9" x14ac:dyDescent="0.2">
      <c r="B31" s="1" t="s">
        <v>18</v>
      </c>
      <c r="C31" s="1">
        <v>12800</v>
      </c>
      <c r="D31" s="1">
        <v>13500</v>
      </c>
      <c r="G31" s="1" t="s">
        <v>114</v>
      </c>
      <c r="I31" s="1">
        <f>C8</f>
        <v>-11500</v>
      </c>
    </row>
    <row r="32" spans="2:9" x14ac:dyDescent="0.2">
      <c r="B32" s="1" t="s">
        <v>16</v>
      </c>
      <c r="C32" s="1">
        <v>5480</v>
      </c>
      <c r="D32" s="1">
        <v>3870</v>
      </c>
      <c r="G32" s="1" t="s">
        <v>4</v>
      </c>
      <c r="I32" s="1">
        <f>C9</f>
        <v>-4560</v>
      </c>
    </row>
    <row r="33" spans="2:9" ht="17" thickBot="1" x14ac:dyDescent="0.25">
      <c r="B33" s="7" t="s">
        <v>21</v>
      </c>
      <c r="C33" s="7">
        <f>SUM(C30:C32)</f>
        <v>24780</v>
      </c>
      <c r="D33" s="7">
        <f>SUM(D30:D32)</f>
        <v>23870</v>
      </c>
      <c r="G33" s="1" t="s">
        <v>5</v>
      </c>
      <c r="I33" s="1">
        <f>C10</f>
        <v>-2800</v>
      </c>
    </row>
    <row r="35" spans="2:9" x14ac:dyDescent="0.2">
      <c r="B35" s="1" t="s">
        <v>17</v>
      </c>
      <c r="C35" s="1">
        <v>6000</v>
      </c>
      <c r="D35" s="1">
        <v>6200</v>
      </c>
      <c r="G35" s="3" t="s">
        <v>115</v>
      </c>
      <c r="I35" s="1">
        <f>I30+SUM(I31:I33)</f>
        <v>11390</v>
      </c>
    </row>
    <row r="36" spans="2:9" x14ac:dyDescent="0.2">
      <c r="B36" s="1" t="s">
        <v>19</v>
      </c>
      <c r="C36" s="1">
        <v>12000</v>
      </c>
      <c r="D36" s="1">
        <v>11200</v>
      </c>
    </row>
    <row r="37" spans="2:9" x14ac:dyDescent="0.2">
      <c r="B37" s="1" t="s">
        <v>20</v>
      </c>
      <c r="C37" s="1">
        <v>17750</v>
      </c>
      <c r="D37" s="1">
        <v>16880</v>
      </c>
      <c r="G37" s="1" t="s">
        <v>116</v>
      </c>
      <c r="H37" s="1">
        <f>C16</f>
        <v>-1235</v>
      </c>
    </row>
    <row r="38" spans="2:9" ht="17" thickBot="1" x14ac:dyDescent="0.25">
      <c r="B38" s="7" t="s">
        <v>22</v>
      </c>
      <c r="C38" s="7">
        <f>C35+C36+C37</f>
        <v>35750</v>
      </c>
      <c r="D38" s="7">
        <f>D35+D36+D37</f>
        <v>34280</v>
      </c>
      <c r="G38" s="1" t="s">
        <v>117</v>
      </c>
      <c r="H38" s="1">
        <f>SUM(C13:C14)*20%</f>
        <v>-234.4</v>
      </c>
    </row>
    <row r="39" spans="2:9" x14ac:dyDescent="0.2">
      <c r="G39" s="1" t="s">
        <v>118</v>
      </c>
      <c r="H39" s="1">
        <f>-H47</f>
        <v>-745</v>
      </c>
      <c r="I39" s="1">
        <f>SUM(H37:H39)</f>
        <v>-2214.4</v>
      </c>
    </row>
    <row r="40" spans="2:9" x14ac:dyDescent="0.2">
      <c r="B40" s="1" t="s">
        <v>23</v>
      </c>
      <c r="C40" s="1">
        <v>3460</v>
      </c>
      <c r="D40" s="1">
        <v>4200</v>
      </c>
      <c r="G40" s="3" t="s">
        <v>119</v>
      </c>
      <c r="H40" s="3"/>
      <c r="I40" s="3">
        <f>SUM(I35:I39)</f>
        <v>9175.6</v>
      </c>
    </row>
    <row r="41" spans="2:9" x14ac:dyDescent="0.2">
      <c r="B41" s="1" t="s">
        <v>24</v>
      </c>
      <c r="C41" s="1">
        <v>2280</v>
      </c>
      <c r="D41" s="1">
        <v>2140</v>
      </c>
    </row>
    <row r="42" spans="2:9" x14ac:dyDescent="0.2">
      <c r="B42" s="1" t="s">
        <v>25</v>
      </c>
      <c r="C42" s="1">
        <v>6700</v>
      </c>
      <c r="E42" s="9">
        <v>1</v>
      </c>
      <c r="G42" s="3" t="s">
        <v>120</v>
      </c>
    </row>
    <row r="43" spans="2:9" x14ac:dyDescent="0.2">
      <c r="B43" s="1" t="s">
        <v>26</v>
      </c>
      <c r="C43" s="1">
        <v>250</v>
      </c>
      <c r="D43" s="1">
        <v>360</v>
      </c>
      <c r="G43" s="1" t="s">
        <v>121</v>
      </c>
      <c r="H43" s="1">
        <v>-2350</v>
      </c>
    </row>
    <row r="44" spans="2:9" ht="17" thickBot="1" x14ac:dyDescent="0.25">
      <c r="B44" s="7" t="s">
        <v>27</v>
      </c>
      <c r="C44" s="7">
        <f>C40+C41+C42+C43</f>
        <v>12690</v>
      </c>
      <c r="D44" s="7">
        <f>D40+D41+D42+D43</f>
        <v>6700</v>
      </c>
      <c r="G44" s="1" t="s">
        <v>122</v>
      </c>
      <c r="H44" s="1">
        <v>-1650</v>
      </c>
    </row>
    <row r="45" spans="2:9" x14ac:dyDescent="0.2">
      <c r="G45" s="1" t="str">
        <f>B12</f>
        <v>Indtægter fra kapitalinteresser i associerede selskaber</v>
      </c>
      <c r="H45" s="10">
        <f>C12</f>
        <v>275</v>
      </c>
    </row>
    <row r="46" spans="2:9" ht="17" thickBot="1" x14ac:dyDescent="0.25">
      <c r="B46" s="7" t="s">
        <v>32</v>
      </c>
      <c r="C46" s="7">
        <f>C33+C38+C44</f>
        <v>73220</v>
      </c>
      <c r="D46" s="7">
        <f>D33+D38+D44</f>
        <v>64850</v>
      </c>
      <c r="G46" s="1" t="s">
        <v>123</v>
      </c>
      <c r="H46" s="1">
        <f>SUM(H43:H45)</f>
        <v>-3725</v>
      </c>
    </row>
    <row r="47" spans="2:9" x14ac:dyDescent="0.2">
      <c r="G47" s="1" t="s">
        <v>117</v>
      </c>
      <c r="H47" s="10">
        <f>-H46*20%</f>
        <v>745</v>
      </c>
    </row>
    <row r="48" spans="2:9" x14ac:dyDescent="0.2">
      <c r="B48" s="1" t="s">
        <v>28</v>
      </c>
      <c r="C48" s="1">
        <v>7500</v>
      </c>
      <c r="D48" s="1">
        <v>4860</v>
      </c>
      <c r="G48" s="1" t="s">
        <v>123</v>
      </c>
      <c r="H48" s="1">
        <f>SUM(H46:H47)</f>
        <v>-2980</v>
      </c>
    </row>
    <row r="49" spans="2:9" x14ac:dyDescent="0.2">
      <c r="B49" s="1" t="s">
        <v>29</v>
      </c>
      <c r="C49" s="1">
        <v>3500</v>
      </c>
      <c r="D49" s="1">
        <v>3380</v>
      </c>
    </row>
    <row r="50" spans="2:9" x14ac:dyDescent="0.2">
      <c r="B50" s="1" t="s">
        <v>31</v>
      </c>
      <c r="C50" s="1">
        <v>130</v>
      </c>
      <c r="D50" s="1">
        <v>170</v>
      </c>
      <c r="G50" s="1" t="s">
        <v>124</v>
      </c>
      <c r="H50" s="1">
        <f>C23</f>
        <v>-39</v>
      </c>
      <c r="I50" s="1">
        <f>SUM(H48:H50)</f>
        <v>-3019</v>
      </c>
    </row>
    <row r="51" spans="2:9" ht="17" thickBot="1" x14ac:dyDescent="0.25">
      <c r="B51" s="7" t="s">
        <v>33</v>
      </c>
      <c r="C51" s="7">
        <f>C48+C49+C50</f>
        <v>11130</v>
      </c>
      <c r="D51" s="7">
        <f>D48+D49+D50</f>
        <v>8410</v>
      </c>
      <c r="G51" s="3" t="s">
        <v>125</v>
      </c>
      <c r="I51" s="1">
        <f>SUM(I40:I50)</f>
        <v>6156.6</v>
      </c>
    </row>
    <row r="53" spans="2:9" ht="17" thickBot="1" x14ac:dyDescent="0.25">
      <c r="B53" s="7" t="s">
        <v>34</v>
      </c>
      <c r="C53" s="7">
        <f>C46+C51</f>
        <v>84350</v>
      </c>
      <c r="D53" s="7">
        <f>D46+D51</f>
        <v>73260</v>
      </c>
      <c r="G53" s="1" t="s">
        <v>8</v>
      </c>
      <c r="H53" s="1">
        <f>C13</f>
        <v>8</v>
      </c>
    </row>
    <row r="54" spans="2:9" x14ac:dyDescent="0.2">
      <c r="G54" s="1" t="s">
        <v>9</v>
      </c>
      <c r="H54" s="1">
        <f>C14</f>
        <v>-1180</v>
      </c>
      <c r="I54" s="1">
        <f>SUM(H53:H54)</f>
        <v>-1172</v>
      </c>
    </row>
    <row r="55" spans="2:9" ht="18" x14ac:dyDescent="0.2">
      <c r="B55" s="4" t="s">
        <v>37</v>
      </c>
      <c r="G55" s="1" t="s">
        <v>126</v>
      </c>
      <c r="I55" s="1">
        <f>-SUM(H53:H54)*20%</f>
        <v>234.4</v>
      </c>
    </row>
    <row r="56" spans="2:9" x14ac:dyDescent="0.2">
      <c r="B56" s="1" t="s">
        <v>38</v>
      </c>
      <c r="C56" s="1">
        <v>20000</v>
      </c>
      <c r="D56" s="1">
        <v>20000</v>
      </c>
      <c r="E56" s="9">
        <v>2</v>
      </c>
      <c r="G56" s="1" t="s">
        <v>67</v>
      </c>
      <c r="I56" s="1">
        <f>C22</f>
        <v>39</v>
      </c>
    </row>
    <row r="57" spans="2:9" x14ac:dyDescent="0.2">
      <c r="B57" s="1" t="s">
        <v>39</v>
      </c>
      <c r="C57" s="1">
        <v>18750</v>
      </c>
      <c r="D57" s="1">
        <v>15750</v>
      </c>
      <c r="G57" s="3" t="s">
        <v>127</v>
      </c>
      <c r="I57" s="1">
        <f>SUM(I54:I56)</f>
        <v>-898.6</v>
      </c>
    </row>
    <row r="58" spans="2:9" ht="17" thickBot="1" x14ac:dyDescent="0.25">
      <c r="B58" s="7" t="s">
        <v>40</v>
      </c>
      <c r="C58" s="7">
        <f>C56+C57</f>
        <v>38750</v>
      </c>
      <c r="D58" s="7">
        <f>D56+D57</f>
        <v>35750</v>
      </c>
    </row>
    <row r="59" spans="2:9" x14ac:dyDescent="0.2">
      <c r="G59" s="3" t="s">
        <v>69</v>
      </c>
      <c r="H59" s="3"/>
      <c r="I59" s="3">
        <f>I51+I57</f>
        <v>5258</v>
      </c>
    </row>
    <row r="60" spans="2:9" x14ac:dyDescent="0.2">
      <c r="B60" s="1" t="s">
        <v>43</v>
      </c>
      <c r="C60" s="1">
        <v>32305</v>
      </c>
      <c r="D60" s="1">
        <v>24480</v>
      </c>
    </row>
    <row r="61" spans="2:9" x14ac:dyDescent="0.2">
      <c r="B61" s="1" t="s">
        <v>41</v>
      </c>
      <c r="C61" s="1">
        <v>3240</v>
      </c>
      <c r="D61" s="1">
        <v>4160</v>
      </c>
    </row>
    <row r="62" spans="2:9" x14ac:dyDescent="0.2">
      <c r="B62" s="1" t="s">
        <v>42</v>
      </c>
      <c r="C62" s="1">
        <v>3750</v>
      </c>
      <c r="D62" s="1">
        <v>2640</v>
      </c>
    </row>
    <row r="63" spans="2:9" ht="17" thickBot="1" x14ac:dyDescent="0.25">
      <c r="B63" s="7" t="s">
        <v>44</v>
      </c>
      <c r="C63" s="7">
        <f>C60+C61+C62</f>
        <v>39295</v>
      </c>
      <c r="D63" s="7">
        <f>D60+D61+D62</f>
        <v>31280</v>
      </c>
      <c r="F63" s="1" t="s">
        <v>134</v>
      </c>
      <c r="G63" s="1" t="s">
        <v>128</v>
      </c>
      <c r="H63" s="45">
        <f>I40/I28</f>
        <v>0.19317052631578949</v>
      </c>
    </row>
    <row r="64" spans="2:9" x14ac:dyDescent="0.2">
      <c r="G64" s="1" t="s">
        <v>129</v>
      </c>
      <c r="H64" s="45">
        <f>I50/I28</f>
        <v>-6.3557894736842105E-2</v>
      </c>
    </row>
    <row r="65" spans="2:8" x14ac:dyDescent="0.2">
      <c r="B65" s="1" t="s">
        <v>43</v>
      </c>
      <c r="C65" s="1">
        <v>1250</v>
      </c>
      <c r="D65" s="1">
        <v>1340</v>
      </c>
      <c r="G65" s="1" t="s">
        <v>130</v>
      </c>
      <c r="H65" s="45">
        <f>I28/AVERAGE(H14:I14)</f>
        <v>0.67671047476582258</v>
      </c>
    </row>
    <row r="66" spans="2:8" x14ac:dyDescent="0.2">
      <c r="B66" s="1" t="s">
        <v>41</v>
      </c>
      <c r="C66" s="1">
        <v>60</v>
      </c>
      <c r="D66" s="1">
        <v>50</v>
      </c>
      <c r="G66" s="1" t="s">
        <v>131</v>
      </c>
      <c r="H66" s="45">
        <f>I51/AVERAGE(H14:I14)</f>
        <v>8.7710225451437127E-2</v>
      </c>
    </row>
    <row r="67" spans="2:8" x14ac:dyDescent="0.2">
      <c r="B67" s="1" t="s">
        <v>45</v>
      </c>
      <c r="C67" s="1">
        <v>3125</v>
      </c>
      <c r="D67" s="1">
        <v>2870</v>
      </c>
    </row>
    <row r="68" spans="2:8" x14ac:dyDescent="0.2">
      <c r="B68" s="1" t="s">
        <v>30</v>
      </c>
      <c r="C68" s="1">
        <v>980</v>
      </c>
      <c r="D68" s="1">
        <v>1020</v>
      </c>
      <c r="F68" s="1" t="s">
        <v>135</v>
      </c>
    </row>
    <row r="69" spans="2:8" x14ac:dyDescent="0.2">
      <c r="B69" s="1" t="s">
        <v>46</v>
      </c>
      <c r="C69" s="1">
        <v>890</v>
      </c>
      <c r="D69" s="1">
        <v>950</v>
      </c>
      <c r="E69" s="9">
        <v>3</v>
      </c>
      <c r="G69" s="1" t="s">
        <v>132</v>
      </c>
      <c r="H69" s="1">
        <f>I51-(H14-I14)</f>
        <v>-3008.3999999999996</v>
      </c>
    </row>
    <row r="70" spans="2:8" ht="17" thickBot="1" x14ac:dyDescent="0.25">
      <c r="B70" s="7" t="s">
        <v>47</v>
      </c>
      <c r="C70" s="7">
        <f>C65+C66+C67+C68+C69</f>
        <v>6305</v>
      </c>
      <c r="D70" s="7">
        <f>D65+D66+D67+D68+D69</f>
        <v>6230</v>
      </c>
      <c r="G70" s="1" t="s">
        <v>133</v>
      </c>
      <c r="H70" s="1">
        <f>I59-(H23-I23)</f>
        <v>2258</v>
      </c>
    </row>
    <row r="72" spans="2:8" ht="17" thickBot="1" x14ac:dyDescent="0.25">
      <c r="B72" s="7" t="s">
        <v>48</v>
      </c>
      <c r="C72" s="7">
        <f>C63+C70</f>
        <v>45600</v>
      </c>
      <c r="D72" s="7">
        <f>D63+D70</f>
        <v>37510</v>
      </c>
    </row>
    <row r="74" spans="2:8" ht="17" thickBot="1" x14ac:dyDescent="0.25">
      <c r="B74" s="7" t="s">
        <v>49</v>
      </c>
      <c r="C74" s="7">
        <f>C58+C72</f>
        <v>84350</v>
      </c>
      <c r="D74" s="7">
        <f>D58+D72</f>
        <v>73260</v>
      </c>
    </row>
    <row r="77" spans="2:8" ht="18" x14ac:dyDescent="0.2">
      <c r="B77" s="13" t="s">
        <v>51</v>
      </c>
    </row>
    <row r="78" spans="2:8" x14ac:dyDescent="0.2">
      <c r="C78" s="6">
        <v>2020</v>
      </c>
      <c r="D78" s="6">
        <v>2019</v>
      </c>
    </row>
    <row r="79" spans="2:8" x14ac:dyDescent="0.2">
      <c r="C79" s="15"/>
      <c r="D79" s="15"/>
    </row>
    <row r="80" spans="2:8" x14ac:dyDescent="0.2">
      <c r="B80" s="3" t="s">
        <v>52</v>
      </c>
    </row>
    <row r="81" spans="2:4" x14ac:dyDescent="0.2">
      <c r="B81" s="14" t="s">
        <v>56</v>
      </c>
    </row>
    <row r="82" spans="2:4" x14ac:dyDescent="0.2">
      <c r="B82" s="1" t="s">
        <v>57</v>
      </c>
    </row>
    <row r="83" spans="2:4" x14ac:dyDescent="0.2">
      <c r="B83" s="1" t="s">
        <v>58</v>
      </c>
      <c r="C83" s="1">
        <v>650</v>
      </c>
    </row>
    <row r="84" spans="2:4" x14ac:dyDescent="0.2">
      <c r="B84" s="1" t="s">
        <v>59</v>
      </c>
      <c r="C84" s="1">
        <v>50</v>
      </c>
    </row>
    <row r="85" spans="2:4" ht="17" thickBot="1" x14ac:dyDescent="0.25">
      <c r="B85" s="16" t="s">
        <v>60</v>
      </c>
      <c r="C85" s="16">
        <f>C83+C84</f>
        <v>700</v>
      </c>
      <c r="D85" s="16"/>
    </row>
    <row r="86" spans="2:4" x14ac:dyDescent="0.2">
      <c r="B86" s="14" t="s">
        <v>65</v>
      </c>
    </row>
    <row r="88" spans="2:4" x14ac:dyDescent="0.2">
      <c r="B88" s="14" t="s">
        <v>61</v>
      </c>
    </row>
    <row r="89" spans="2:4" x14ac:dyDescent="0.2">
      <c r="B89" s="1" t="s">
        <v>57</v>
      </c>
    </row>
    <row r="90" spans="2:4" x14ac:dyDescent="0.2">
      <c r="B90" s="1" t="s">
        <v>58</v>
      </c>
      <c r="C90" s="1">
        <v>6050</v>
      </c>
    </row>
    <row r="91" spans="2:4" x14ac:dyDescent="0.2">
      <c r="B91" s="1" t="s">
        <v>59</v>
      </c>
      <c r="C91" s="1">
        <v>-50</v>
      </c>
    </row>
    <row r="92" spans="2:4" ht="17" thickBot="1" x14ac:dyDescent="0.25">
      <c r="B92" s="16" t="s">
        <v>60</v>
      </c>
      <c r="C92" s="16">
        <f>C90+C91</f>
        <v>6000</v>
      </c>
      <c r="D92" s="16"/>
    </row>
    <row r="93" spans="2:4" x14ac:dyDescent="0.2">
      <c r="B93" s="14" t="s">
        <v>66</v>
      </c>
    </row>
    <row r="95" spans="2:4" ht="17" thickBot="1" x14ac:dyDescent="0.25">
      <c r="B95" s="7" t="s">
        <v>62</v>
      </c>
      <c r="C95" s="7">
        <v>6700</v>
      </c>
      <c r="D95" s="7"/>
    </row>
    <row r="98" spans="2:4" x14ac:dyDescent="0.2">
      <c r="B98" s="3" t="s">
        <v>53</v>
      </c>
    </row>
    <row r="99" spans="2:4" x14ac:dyDescent="0.2">
      <c r="B99" s="1" t="s">
        <v>63</v>
      </c>
    </row>
    <row r="100" spans="2:4" x14ac:dyDescent="0.2">
      <c r="B100" s="1" t="s">
        <v>64</v>
      </c>
    </row>
    <row r="101" spans="2:4" x14ac:dyDescent="0.2">
      <c r="B101" s="1" t="s">
        <v>102</v>
      </c>
      <c r="C101" s="1">
        <f>200000-12000</f>
        <v>188000</v>
      </c>
      <c r="D101" s="1">
        <f>C101/1000</f>
        <v>188</v>
      </c>
    </row>
    <row r="103" spans="2:4" x14ac:dyDescent="0.2">
      <c r="B103" s="3" t="s">
        <v>54</v>
      </c>
    </row>
    <row r="104" spans="2:4" x14ac:dyDescent="0.2">
      <c r="B104" s="1" t="s">
        <v>55</v>
      </c>
    </row>
    <row r="107" spans="2:4" x14ac:dyDescent="0.2">
      <c r="B107" s="31"/>
    </row>
    <row r="108" spans="2:4" x14ac:dyDescent="0.2">
      <c r="C108" s="15"/>
      <c r="D108" s="15"/>
    </row>
    <row r="110" spans="2:4" x14ac:dyDescent="0.2">
      <c r="B110" s="32"/>
    </row>
    <row r="111" spans="2:4" x14ac:dyDescent="0.2">
      <c r="B111" s="32"/>
    </row>
    <row r="112" spans="2:4" x14ac:dyDescent="0.2">
      <c r="B112" s="32"/>
    </row>
    <row r="113" spans="2:6" x14ac:dyDescent="0.2">
      <c r="B113" s="32"/>
    </row>
    <row r="114" spans="2:6" x14ac:dyDescent="0.2">
      <c r="B114" s="32"/>
    </row>
    <row r="115" spans="2:6" x14ac:dyDescent="0.2">
      <c r="B115" s="32"/>
    </row>
    <row r="116" spans="2:6" x14ac:dyDescent="0.2">
      <c r="B116" s="32"/>
    </row>
    <row r="117" spans="2:6" x14ac:dyDescent="0.2">
      <c r="B117" s="33"/>
      <c r="C117" s="3"/>
      <c r="D117" s="3"/>
      <c r="F117" s="34"/>
    </row>
    <row r="118" spans="2:6" x14ac:dyDescent="0.2">
      <c r="F118" s="34"/>
    </row>
    <row r="119" spans="2:6" x14ac:dyDescent="0.2">
      <c r="F119" s="34"/>
    </row>
    <row r="120" spans="2:6" x14ac:dyDescent="0.2">
      <c r="F120" s="34"/>
    </row>
    <row r="121" spans="2:6" x14ac:dyDescent="0.2">
      <c r="F121" s="34"/>
    </row>
    <row r="122" spans="2:6" x14ac:dyDescent="0.2">
      <c r="F122" s="34"/>
    </row>
    <row r="123" spans="2:6" x14ac:dyDescent="0.2">
      <c r="F123" s="34"/>
    </row>
    <row r="124" spans="2:6" x14ac:dyDescent="0.2">
      <c r="B124" s="32"/>
      <c r="F124" s="34"/>
    </row>
    <row r="125" spans="2:6" x14ac:dyDescent="0.2">
      <c r="B125" s="32"/>
      <c r="F125" s="34"/>
    </row>
    <row r="126" spans="2:6" x14ac:dyDescent="0.2">
      <c r="B126" s="33"/>
      <c r="C126" s="3"/>
      <c r="D126" s="3"/>
      <c r="F126" s="34"/>
    </row>
    <row r="127" spans="2:6" x14ac:dyDescent="0.2">
      <c r="F127" s="34"/>
    </row>
    <row r="128" spans="2:6" x14ac:dyDescent="0.2">
      <c r="B128" s="3"/>
      <c r="C128" s="3"/>
      <c r="D128" s="3"/>
      <c r="F128" s="34"/>
    </row>
    <row r="131" spans="2:6" x14ac:dyDescent="0.2">
      <c r="B131" s="31"/>
    </row>
    <row r="134" spans="2:6" x14ac:dyDescent="0.2">
      <c r="F134" s="32"/>
    </row>
    <row r="135" spans="2:6" x14ac:dyDescent="0.2">
      <c r="F135" s="32"/>
    </row>
    <row r="136" spans="2:6" x14ac:dyDescent="0.2">
      <c r="B136" s="2"/>
    </row>
    <row r="137" spans="2:6" x14ac:dyDescent="0.2">
      <c r="B137" s="2"/>
    </row>
    <row r="138" spans="2:6" x14ac:dyDescent="0.2">
      <c r="B138" s="2"/>
    </row>
    <row r="141" spans="2:6" x14ac:dyDescent="0.2">
      <c r="C141" s="35"/>
    </row>
    <row r="142" spans="2:6" x14ac:dyDescent="0.2">
      <c r="D142" s="35"/>
    </row>
    <row r="143" spans="2:6" x14ac:dyDescent="0.2">
      <c r="B143" s="3"/>
      <c r="C143" s="3"/>
      <c r="D143" s="36"/>
    </row>
    <row r="144" spans="2:6" x14ac:dyDescent="0.2">
      <c r="B144" s="3"/>
      <c r="C144" s="3"/>
      <c r="D144" s="3"/>
    </row>
    <row r="145" spans="2:4" x14ac:dyDescent="0.2">
      <c r="B145" s="3"/>
      <c r="C145" s="3"/>
      <c r="D145" s="3"/>
    </row>
    <row r="146" spans="2:4" x14ac:dyDescent="0.2">
      <c r="D146" s="3"/>
    </row>
    <row r="147" spans="2:4" x14ac:dyDescent="0.2">
      <c r="D147" s="3"/>
    </row>
    <row r="148" spans="2:4" x14ac:dyDescent="0.2">
      <c r="B148" s="3"/>
      <c r="D148" s="3"/>
    </row>
    <row r="149" spans="2:4" x14ac:dyDescent="0.2">
      <c r="D149" s="3"/>
    </row>
    <row r="150" spans="2:4" x14ac:dyDescent="0.2">
      <c r="B150" s="3"/>
      <c r="D150" s="3"/>
    </row>
    <row r="151" spans="2:4" x14ac:dyDescent="0.2">
      <c r="D151" s="3"/>
    </row>
    <row r="152" spans="2:4" x14ac:dyDescent="0.2">
      <c r="D152" s="3"/>
    </row>
    <row r="153" spans="2:4" x14ac:dyDescent="0.2">
      <c r="B153" s="3"/>
      <c r="C153" s="3"/>
      <c r="D153" s="36"/>
    </row>
    <row r="157" spans="2:4" x14ac:dyDescent="0.2">
      <c r="D157" s="35"/>
    </row>
    <row r="158" spans="2:4" x14ac:dyDescent="0.2">
      <c r="D158" s="35"/>
    </row>
    <row r="160" spans="2:4" x14ac:dyDescent="0.2">
      <c r="B160" s="3"/>
      <c r="C160" s="3"/>
      <c r="D160" s="36"/>
    </row>
    <row r="161" spans="2:8" x14ac:dyDescent="0.2">
      <c r="B161" s="3"/>
      <c r="C161" s="3"/>
      <c r="D161" s="36"/>
    </row>
    <row r="163" spans="2:8" x14ac:dyDescent="0.2">
      <c r="C163" s="37"/>
      <c r="H163" s="38"/>
    </row>
    <row r="164" spans="2:8" x14ac:dyDescent="0.2">
      <c r="C164" s="37"/>
      <c r="G164" s="39"/>
      <c r="H164" s="37"/>
    </row>
    <row r="165" spans="2:8" x14ac:dyDescent="0.2">
      <c r="C165" s="40"/>
      <c r="F165" s="41"/>
    </row>
    <row r="166" spans="2:8" x14ac:dyDescent="0.2">
      <c r="C166" s="37"/>
    </row>
    <row r="168" spans="2:8" x14ac:dyDescent="0.2">
      <c r="C168" s="35"/>
    </row>
    <row r="169" spans="2:8" x14ac:dyDescent="0.2">
      <c r="C169" s="35"/>
    </row>
    <row r="171" spans="2:8" x14ac:dyDescent="0.2">
      <c r="C171" s="35"/>
    </row>
    <row r="174" spans="2:8" x14ac:dyDescent="0.2">
      <c r="C174" s="3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61"/>
  <sheetViews>
    <sheetView topLeftCell="A9" workbookViewId="0">
      <selection activeCell="C33" sqref="C33"/>
    </sheetView>
  </sheetViews>
  <sheetFormatPr baseColWidth="10" defaultColWidth="8.6640625" defaultRowHeight="16" x14ac:dyDescent="0.2"/>
  <cols>
    <col min="1" max="1" width="8.6640625" style="1"/>
    <col min="2" max="2" width="39.1640625" style="1" customWidth="1"/>
    <col min="3" max="7" width="8.6640625" style="1"/>
    <col min="8" max="8" width="16.1640625" style="1" customWidth="1"/>
    <col min="9" max="16384" width="8.6640625" style="1"/>
  </cols>
  <sheetData>
    <row r="1" spans="2:9" x14ac:dyDescent="0.2">
      <c r="B1" s="10"/>
      <c r="C1" s="10"/>
      <c r="D1" s="10"/>
      <c r="E1" s="10"/>
      <c r="F1" s="10"/>
      <c r="G1" s="10"/>
      <c r="H1" s="10"/>
    </row>
    <row r="2" spans="2:9" x14ac:dyDescent="0.2">
      <c r="B2" s="19"/>
      <c r="C2" s="47" t="s">
        <v>80</v>
      </c>
      <c r="D2" s="48"/>
      <c r="E2" s="48"/>
      <c r="F2" s="48"/>
      <c r="G2" s="49"/>
      <c r="H2" s="23" t="s">
        <v>86</v>
      </c>
      <c r="I2" s="22"/>
    </row>
    <row r="3" spans="2:9" x14ac:dyDescent="0.2">
      <c r="B3" s="6" t="s">
        <v>71</v>
      </c>
      <c r="C3" s="24" t="s">
        <v>72</v>
      </c>
      <c r="D3" s="20" t="s">
        <v>73</v>
      </c>
      <c r="E3" s="20" t="s">
        <v>74</v>
      </c>
      <c r="F3" s="20" t="s">
        <v>75</v>
      </c>
      <c r="G3" s="43" t="s">
        <v>76</v>
      </c>
      <c r="H3" s="20" t="s">
        <v>85</v>
      </c>
      <c r="I3" s="22"/>
    </row>
    <row r="4" spans="2:9" x14ac:dyDescent="0.2">
      <c r="B4" s="1" t="s">
        <v>77</v>
      </c>
      <c r="C4" s="26">
        <v>-0.04</v>
      </c>
      <c r="D4" s="18">
        <v>0.08</v>
      </c>
      <c r="E4" s="18">
        <v>0.05</v>
      </c>
      <c r="F4" s="18">
        <v>0.04</v>
      </c>
      <c r="G4" s="27">
        <v>0.03</v>
      </c>
      <c r="H4" s="18">
        <v>0.03</v>
      </c>
      <c r="I4" s="22"/>
    </row>
    <row r="5" spans="2:9" ht="18" x14ac:dyDescent="0.25">
      <c r="B5" s="1" t="s">
        <v>83</v>
      </c>
      <c r="C5" s="28">
        <v>0.18</v>
      </c>
      <c r="D5" s="18">
        <v>0.2</v>
      </c>
      <c r="E5" s="18">
        <v>0.2</v>
      </c>
      <c r="F5" s="18">
        <v>0.21</v>
      </c>
      <c r="G5" s="29">
        <v>0.21</v>
      </c>
      <c r="H5" s="18">
        <v>0.21</v>
      </c>
      <c r="I5" s="22"/>
    </row>
    <row r="6" spans="2:9" x14ac:dyDescent="0.2">
      <c r="B6" s="1" t="s">
        <v>84</v>
      </c>
      <c r="C6" s="28">
        <v>0.19</v>
      </c>
      <c r="D6" s="18">
        <v>0.19</v>
      </c>
      <c r="E6" s="18">
        <v>0.19</v>
      </c>
      <c r="F6" s="18">
        <v>0.2</v>
      </c>
      <c r="G6" s="29">
        <v>0.2</v>
      </c>
      <c r="H6" s="18">
        <v>0.2</v>
      </c>
      <c r="I6" s="22"/>
    </row>
    <row r="7" spans="2:9" x14ac:dyDescent="0.2">
      <c r="B7" s="1" t="s">
        <v>78</v>
      </c>
      <c r="C7" s="28">
        <v>0.01</v>
      </c>
      <c r="D7" s="18">
        <v>0.01</v>
      </c>
      <c r="E7" s="18">
        <v>0.01</v>
      </c>
      <c r="F7" s="18">
        <v>0.01</v>
      </c>
      <c r="G7" s="29">
        <v>0.01</v>
      </c>
      <c r="H7" s="18">
        <v>0.01</v>
      </c>
      <c r="I7" s="22"/>
    </row>
    <row r="8" spans="2:9" x14ac:dyDescent="0.2">
      <c r="B8" s="10" t="s">
        <v>79</v>
      </c>
      <c r="C8" s="25" t="s">
        <v>81</v>
      </c>
      <c r="D8" s="30">
        <v>1.5</v>
      </c>
      <c r="E8" s="10">
        <v>1.52</v>
      </c>
      <c r="F8" s="10">
        <v>1.55</v>
      </c>
      <c r="G8" s="21">
        <v>1.55</v>
      </c>
      <c r="H8" s="10">
        <v>1.55</v>
      </c>
      <c r="I8" s="22"/>
    </row>
    <row r="9" spans="2:9" x14ac:dyDescent="0.2">
      <c r="B9" s="8" t="s">
        <v>82</v>
      </c>
    </row>
    <row r="10" spans="2:9" x14ac:dyDescent="0.2">
      <c r="C10" s="1" t="str">
        <f>C3</f>
        <v>2021E</v>
      </c>
      <c r="D10" s="1" t="str">
        <f t="shared" ref="D10:G10" si="0">D3</f>
        <v>2022E</v>
      </c>
      <c r="E10" s="1" t="str">
        <f t="shared" si="0"/>
        <v>2023E</v>
      </c>
      <c r="F10" s="1" t="str">
        <f t="shared" si="0"/>
        <v>2024E</v>
      </c>
      <c r="G10" s="1" t="str">
        <f t="shared" si="0"/>
        <v>2025E</v>
      </c>
    </row>
    <row r="11" spans="2:9" x14ac:dyDescent="0.2">
      <c r="B11" s="1" t="s">
        <v>136</v>
      </c>
      <c r="C11" s="1">
        <f>'Opgave 2'!C5*(1+'Opgave 3'!C4)</f>
        <v>45600</v>
      </c>
      <c r="D11" s="1">
        <f>C11*(1+D4)</f>
        <v>49248</v>
      </c>
      <c r="E11" s="1">
        <f t="shared" ref="E11:H11" si="1">D11*(1+E4)</f>
        <v>51710.400000000001</v>
      </c>
      <c r="F11" s="1">
        <f t="shared" si="1"/>
        <v>53778.816000000006</v>
      </c>
      <c r="G11" s="1">
        <f t="shared" si="1"/>
        <v>55392.18048000001</v>
      </c>
      <c r="H11" s="1">
        <f t="shared" si="1"/>
        <v>57053.945894400014</v>
      </c>
    </row>
    <row r="12" spans="2:9" x14ac:dyDescent="0.2">
      <c r="B12" s="1" t="s">
        <v>141</v>
      </c>
      <c r="C12" s="1">
        <f>C5*C11</f>
        <v>8208</v>
      </c>
      <c r="D12" s="1">
        <f t="shared" ref="D12" si="2">D5*D11</f>
        <v>9849.6</v>
      </c>
      <c r="E12" s="1">
        <f t="shared" ref="E12" si="3">E5*E11</f>
        <v>10342.080000000002</v>
      </c>
      <c r="F12" s="1">
        <f t="shared" ref="F12" si="4">F5*F11</f>
        <v>11293.551360000001</v>
      </c>
      <c r="G12" s="1">
        <f t="shared" ref="G12" si="5">G5*G11</f>
        <v>11632.357900800002</v>
      </c>
      <c r="H12" s="1">
        <f t="shared" ref="H12" si="6">H5*H11</f>
        <v>11981.328637824003</v>
      </c>
    </row>
    <row r="13" spans="2:9" x14ac:dyDescent="0.2">
      <c r="B13" s="1" t="s">
        <v>137</v>
      </c>
      <c r="C13" s="1">
        <f>C12*C6</f>
        <v>1559.52</v>
      </c>
      <c r="D13" s="1">
        <f t="shared" ref="D13" si="7">D12*D6</f>
        <v>1871.424</v>
      </c>
      <c r="E13" s="1">
        <f t="shared" ref="E13" si="8">E12*E6</f>
        <v>1964.9952000000003</v>
      </c>
      <c r="F13" s="1">
        <f t="shared" ref="F13" si="9">F12*F6</f>
        <v>2258.7102720000003</v>
      </c>
      <c r="G13" s="1">
        <f t="shared" ref="G13" si="10">G12*G6</f>
        <v>2326.4715801600005</v>
      </c>
      <c r="H13" s="1">
        <f t="shared" ref="H13" si="11">H12*H6</f>
        <v>2396.2657275648007</v>
      </c>
    </row>
    <row r="14" spans="2:9" x14ac:dyDescent="0.2">
      <c r="B14" s="1" t="s">
        <v>140</v>
      </c>
      <c r="C14" s="1">
        <f>C12-C13</f>
        <v>6648.48</v>
      </c>
      <c r="D14" s="1">
        <f t="shared" ref="D14" si="12">D12-D13</f>
        <v>7978.1760000000004</v>
      </c>
      <c r="E14" s="1">
        <f t="shared" ref="E14" si="13">E12-E13</f>
        <v>8377.0848000000005</v>
      </c>
      <c r="F14" s="1">
        <f t="shared" ref="F14" si="14">F12-F13</f>
        <v>9034.841088000001</v>
      </c>
      <c r="G14" s="1">
        <f t="shared" ref="G14" si="15">G12-G13</f>
        <v>9305.8863206400019</v>
      </c>
      <c r="H14" s="1">
        <f t="shared" ref="H14" si="16">H12-H13</f>
        <v>9585.0629102592029</v>
      </c>
    </row>
    <row r="15" spans="2:9" x14ac:dyDescent="0.2">
      <c r="B15" s="1" t="s">
        <v>138</v>
      </c>
      <c r="C15" s="42">
        <f>C11*C7</f>
        <v>456</v>
      </c>
      <c r="D15" s="42">
        <f t="shared" ref="D15" si="17">D11*D7</f>
        <v>492.48</v>
      </c>
      <c r="E15" s="42">
        <f t="shared" ref="E15:H15" si="18">E11*E7</f>
        <v>517.10400000000004</v>
      </c>
      <c r="F15" s="42">
        <f t="shared" si="18"/>
        <v>537.78816000000006</v>
      </c>
      <c r="G15" s="42">
        <f t="shared" si="18"/>
        <v>553.92180480000013</v>
      </c>
      <c r="H15" s="42">
        <f t="shared" si="18"/>
        <v>570.5394589440001</v>
      </c>
    </row>
    <row r="16" spans="2:9" x14ac:dyDescent="0.2">
      <c r="B16" s="1" t="s">
        <v>139</v>
      </c>
      <c r="C16" s="1">
        <f>SUM(C14:C15)</f>
        <v>7104.48</v>
      </c>
      <c r="D16" s="1">
        <f t="shared" ref="D16" si="19">SUM(D14:D15)</f>
        <v>8470.6560000000009</v>
      </c>
      <c r="E16" s="1">
        <f t="shared" ref="E16" si="20">SUM(E14:E15)</f>
        <v>8894.1887999999999</v>
      </c>
      <c r="F16" s="1">
        <f t="shared" ref="F16" si="21">SUM(F14:F15)</f>
        <v>9572.6292480000011</v>
      </c>
      <c r="G16" s="1">
        <f t="shared" ref="G16" si="22">SUM(G14:G15)</f>
        <v>9859.8081254400022</v>
      </c>
      <c r="H16" s="1">
        <f t="shared" ref="H16" si="23">SUM(H14:H15)</f>
        <v>10155.602369203203</v>
      </c>
    </row>
    <row r="17" spans="2:10" x14ac:dyDescent="0.2">
      <c r="C17" s="35"/>
      <c r="D17" s="35"/>
      <c r="E17" s="35"/>
      <c r="F17" s="35"/>
      <c r="G17" s="35"/>
      <c r="H17" s="35"/>
    </row>
    <row r="18" spans="2:10" x14ac:dyDescent="0.2">
      <c r="B18" s="1" t="s">
        <v>142</v>
      </c>
      <c r="C18" s="35">
        <f>'Opgave 2'!H14</f>
        <v>74775</v>
      </c>
      <c r="D18" s="35">
        <f>D11*D8</f>
        <v>73872</v>
      </c>
      <c r="E18" s="35">
        <f t="shared" ref="E18:H18" si="24">E11*E8</f>
        <v>78599.808000000005</v>
      </c>
      <c r="F18" s="35">
        <f t="shared" si="24"/>
        <v>83357.164800000013</v>
      </c>
      <c r="G18" s="35">
        <f t="shared" si="24"/>
        <v>85857.87974400002</v>
      </c>
      <c r="H18" s="35">
        <f t="shared" si="24"/>
        <v>88433.616136320023</v>
      </c>
    </row>
    <row r="19" spans="2:10" x14ac:dyDescent="0.2">
      <c r="B19" s="1" t="s">
        <v>143</v>
      </c>
      <c r="C19" s="35">
        <f>'Opgave 2'!H21</f>
        <v>36025</v>
      </c>
      <c r="D19" s="35"/>
      <c r="E19" s="35"/>
      <c r="F19" s="35"/>
      <c r="G19" s="35"/>
      <c r="H19" s="35"/>
    </row>
    <row r="20" spans="2:10" x14ac:dyDescent="0.2">
      <c r="B20" s="1" t="s">
        <v>111</v>
      </c>
      <c r="C20" s="35">
        <f>'Opgave 2'!H23</f>
        <v>38750</v>
      </c>
      <c r="D20" s="35"/>
      <c r="E20" s="35"/>
      <c r="F20" s="35"/>
      <c r="G20" s="35"/>
      <c r="H20" s="35"/>
      <c r="I20" s="1" t="s">
        <v>156</v>
      </c>
      <c r="J20" s="1">
        <v>0.08</v>
      </c>
    </row>
    <row r="22" spans="2:10" x14ac:dyDescent="0.2">
      <c r="B22" s="1" t="s">
        <v>144</v>
      </c>
      <c r="C22" s="1">
        <v>1</v>
      </c>
      <c r="D22" s="1">
        <f>C22+1</f>
        <v>2</v>
      </c>
      <c r="E22" s="1">
        <f t="shared" ref="E22:G22" si="25">D22+1</f>
        <v>3</v>
      </c>
      <c r="F22" s="1">
        <f t="shared" si="25"/>
        <v>4</v>
      </c>
      <c r="G22" s="1">
        <f t="shared" si="25"/>
        <v>5</v>
      </c>
    </row>
    <row r="23" spans="2:10" x14ac:dyDescent="0.2">
      <c r="B23" s="1" t="s">
        <v>145</v>
      </c>
      <c r="C23" s="35">
        <f>C16</f>
        <v>7104.48</v>
      </c>
      <c r="D23" s="35">
        <f t="shared" ref="D23:G23" si="26">D16</f>
        <v>8470.6560000000009</v>
      </c>
      <c r="E23" s="35">
        <f t="shared" si="26"/>
        <v>8894.1887999999999</v>
      </c>
      <c r="F23" s="35">
        <f t="shared" si="26"/>
        <v>9572.6292480000011</v>
      </c>
      <c r="G23" s="35">
        <f t="shared" si="26"/>
        <v>9859.8081254400022</v>
      </c>
      <c r="H23" s="35">
        <f t="shared" ref="H23" si="27">H16</f>
        <v>10155.602369203203</v>
      </c>
    </row>
    <row r="24" spans="2:10" x14ac:dyDescent="0.2">
      <c r="B24" s="1" t="s">
        <v>142</v>
      </c>
      <c r="C24" s="35">
        <f>C18</f>
        <v>74775</v>
      </c>
      <c r="D24" s="35">
        <f t="shared" ref="D24:G24" si="28">D18</f>
        <v>73872</v>
      </c>
      <c r="E24" s="35">
        <f t="shared" si="28"/>
        <v>78599.808000000005</v>
      </c>
      <c r="F24" s="35">
        <f t="shared" si="28"/>
        <v>83357.164800000013</v>
      </c>
      <c r="G24" s="35">
        <f t="shared" si="28"/>
        <v>85857.87974400002</v>
      </c>
      <c r="H24" s="35">
        <f t="shared" ref="H24" si="29">H18</f>
        <v>88433.616136320023</v>
      </c>
    </row>
    <row r="25" spans="2:10" x14ac:dyDescent="0.2">
      <c r="B25" s="1" t="s">
        <v>146</v>
      </c>
      <c r="C25" s="35">
        <f>C23-(D24-C24)</f>
        <v>8007.48</v>
      </c>
      <c r="D25" s="35">
        <f t="shared" ref="D25:G25" si="30">D23-(E24-D24)</f>
        <v>3742.8479999999963</v>
      </c>
      <c r="E25" s="35">
        <f t="shared" si="30"/>
        <v>4136.8319999999912</v>
      </c>
      <c r="F25" s="35">
        <f t="shared" si="30"/>
        <v>7071.9143039999944</v>
      </c>
      <c r="G25" s="35">
        <f t="shared" si="30"/>
        <v>7284.0717331199994</v>
      </c>
      <c r="H25" s="35"/>
    </row>
    <row r="27" spans="2:10" x14ac:dyDescent="0.2">
      <c r="B27" s="1" t="s">
        <v>147</v>
      </c>
      <c r="C27" s="1">
        <f>(1+$J$20)^C22</f>
        <v>1.08</v>
      </c>
      <c r="D27" s="1">
        <f t="shared" ref="D27:G27" si="31">(1+$J$20)^D22</f>
        <v>1.1664000000000001</v>
      </c>
      <c r="E27" s="1">
        <f t="shared" si="31"/>
        <v>1.2597120000000002</v>
      </c>
      <c r="F27" s="1">
        <f t="shared" si="31"/>
        <v>1.3604889600000003</v>
      </c>
      <c r="G27" s="1">
        <f t="shared" si="31"/>
        <v>1.4693280768000003</v>
      </c>
    </row>
    <row r="28" spans="2:10" x14ac:dyDescent="0.2">
      <c r="B28" s="1" t="s">
        <v>148</v>
      </c>
      <c r="C28" s="35">
        <f>C25/C27</f>
        <v>7414.3333333333321</v>
      </c>
      <c r="D28" s="35">
        <f t="shared" ref="D28:G28" si="32">D25/D27</f>
        <v>3208.8888888888855</v>
      </c>
      <c r="E28" s="35">
        <f t="shared" si="32"/>
        <v>3283.9506172839433</v>
      </c>
      <c r="F28" s="35">
        <f t="shared" si="32"/>
        <v>5198.0681298582476</v>
      </c>
      <c r="G28" s="35">
        <f t="shared" si="32"/>
        <v>4957.4168275499997</v>
      </c>
      <c r="H28" s="35"/>
    </row>
    <row r="29" spans="2:10" x14ac:dyDescent="0.2">
      <c r="B29" s="1" t="s">
        <v>149</v>
      </c>
      <c r="C29" s="35">
        <f>SUM(C28:G28)</f>
        <v>24062.657796914405</v>
      </c>
      <c r="D29" s="35"/>
      <c r="E29" s="35"/>
      <c r="F29" s="35"/>
      <c r="G29" s="35"/>
      <c r="H29" s="35"/>
    </row>
    <row r="30" spans="2:10" x14ac:dyDescent="0.2">
      <c r="B30" s="1" t="s">
        <v>150</v>
      </c>
      <c r="C30" s="35"/>
      <c r="D30" s="35"/>
      <c r="E30" s="35"/>
      <c r="F30" s="35"/>
      <c r="G30" s="35">
        <f>G25*1.03/0.05</f>
        <v>150051.87770227197</v>
      </c>
      <c r="H30" s="35"/>
    </row>
    <row r="31" spans="2:10" x14ac:dyDescent="0.2">
      <c r="B31" s="1" t="s">
        <v>151</v>
      </c>
      <c r="C31" s="1">
        <f>G30/G27</f>
        <v>102122.78664752998</v>
      </c>
    </row>
    <row r="32" spans="2:10" x14ac:dyDescent="0.2">
      <c r="B32" s="1" t="s">
        <v>152</v>
      </c>
      <c r="C32" s="35">
        <f>C29+C31</f>
        <v>126185.44444444438</v>
      </c>
      <c r="D32" s="35"/>
      <c r="E32" s="35"/>
      <c r="F32" s="35"/>
      <c r="G32" s="35"/>
    </row>
    <row r="33" spans="2:7" x14ac:dyDescent="0.2">
      <c r="B33" s="1" t="s">
        <v>143</v>
      </c>
      <c r="C33" s="35">
        <f>C19</f>
        <v>36025</v>
      </c>
    </row>
    <row r="34" spans="2:7" x14ac:dyDescent="0.2">
      <c r="B34" s="1" t="s">
        <v>153</v>
      </c>
      <c r="C34" s="35">
        <f>C32-C33</f>
        <v>90160.44444444438</v>
      </c>
      <c r="G34" s="35"/>
    </row>
    <row r="35" spans="2:7" x14ac:dyDescent="0.2">
      <c r="B35" s="1" t="s">
        <v>154</v>
      </c>
      <c r="C35" s="1">
        <v>188</v>
      </c>
    </row>
    <row r="36" spans="2:7" x14ac:dyDescent="0.2">
      <c r="B36" s="3" t="s">
        <v>155</v>
      </c>
      <c r="C36" s="35">
        <f>C34/C35</f>
        <v>479.57683215129987</v>
      </c>
    </row>
    <row r="38" spans="2:7" x14ac:dyDescent="0.2">
      <c r="B38" s="46" t="s">
        <v>157</v>
      </c>
      <c r="C38" s="35"/>
    </row>
    <row r="39" spans="2:7" x14ac:dyDescent="0.2">
      <c r="B39" s="46" t="s">
        <v>158</v>
      </c>
    </row>
    <row r="40" spans="2:7" x14ac:dyDescent="0.2">
      <c r="B40" s="3"/>
      <c r="C40" s="36"/>
    </row>
    <row r="42" spans="2:7" x14ac:dyDescent="0.2">
      <c r="C42" s="35"/>
      <c r="D42" s="35"/>
      <c r="E42" s="35"/>
      <c r="F42" s="35"/>
      <c r="G42" s="35"/>
    </row>
    <row r="43" spans="2:7" x14ac:dyDescent="0.2">
      <c r="C43" s="35"/>
      <c r="D43" s="35"/>
      <c r="E43" s="35"/>
      <c r="F43" s="35"/>
      <c r="G43" s="35"/>
    </row>
    <row r="44" spans="2:7" x14ac:dyDescent="0.2">
      <c r="C44" s="35"/>
    </row>
    <row r="45" spans="2:7" x14ac:dyDescent="0.2">
      <c r="G45" s="35"/>
    </row>
    <row r="47" spans="2:7" x14ac:dyDescent="0.2">
      <c r="C47" s="35"/>
    </row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</sheetData>
  <mergeCells count="1">
    <mergeCell ref="C2:G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E48E-E9CD-F34D-AB70-7AF7B753C743}">
  <dimension ref="C14:C21"/>
  <sheetViews>
    <sheetView tabSelected="1" workbookViewId="0">
      <selection activeCell="K12" sqref="K12"/>
    </sheetView>
  </sheetViews>
  <sheetFormatPr baseColWidth="10" defaultRowHeight="15" x14ac:dyDescent="0.2"/>
  <cols>
    <col min="3" max="3" width="13.6640625" customWidth="1"/>
  </cols>
  <sheetData>
    <row r="14" spans="3:3" x14ac:dyDescent="0.2">
      <c r="C14" t="s">
        <v>159</v>
      </c>
    </row>
    <row r="15" spans="3:3" x14ac:dyDescent="0.2">
      <c r="C15">
        <f>'Opgave 3'!C32/'Opgave 2'!I51</f>
        <v>20.495962778878663</v>
      </c>
    </row>
    <row r="17" spans="3:3" x14ac:dyDescent="0.2">
      <c r="C17" t="s">
        <v>160</v>
      </c>
    </row>
    <row r="18" spans="3:3" x14ac:dyDescent="0.2">
      <c r="C18" t="s">
        <v>161</v>
      </c>
    </row>
    <row r="19" spans="3:3" x14ac:dyDescent="0.2">
      <c r="C19" t="s">
        <v>162</v>
      </c>
    </row>
    <row r="20" spans="3:3" x14ac:dyDescent="0.2">
      <c r="C20" t="s">
        <v>163</v>
      </c>
    </row>
    <row r="21" spans="3:3" x14ac:dyDescent="0.2">
      <c r="C21" t="s">
        <v>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Opgave 1</vt:lpstr>
      <vt:lpstr>Opgave 2</vt:lpstr>
      <vt:lpstr>Opgave 3</vt:lpstr>
      <vt:lpstr>Opgave 4</vt:lpstr>
    </vt:vector>
  </TitlesOfParts>
  <Company>CBS - Copenhagen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Vagn Sørensen</dc:creator>
  <cp:lastModifiedBy>Jeppe Vanderhaegen</cp:lastModifiedBy>
  <dcterms:created xsi:type="dcterms:W3CDTF">2021-06-15T07:22:02Z</dcterms:created>
  <dcterms:modified xsi:type="dcterms:W3CDTF">2024-06-16T21:59:05Z</dcterms:modified>
</cp:coreProperties>
</file>