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/>
  <mc:AlternateContent xmlns:mc="http://schemas.openxmlformats.org/markup-compatibility/2006">
    <mc:Choice Requires="x15">
      <x15ac:absPath xmlns:x15ac="http://schemas.microsoft.com/office/spreadsheetml/2010/11/ac" url="/Users/jvander/Library/Mobile Documents/com~apple~CloudDocs/Documents/#University/8. Sem/Regnskab/"/>
    </mc:Choice>
  </mc:AlternateContent>
  <xr:revisionPtr revIDLastSave="0" documentId="13_ncr:1_{5142D959-6AC3-A149-87C9-8CF7F53782CD}" xr6:coauthVersionLast="47" xr6:coauthVersionMax="47" xr10:uidLastSave="{00000000-0000-0000-0000-000000000000}"/>
  <bookViews>
    <workbookView xWindow="0" yWindow="500" windowWidth="27160" windowHeight="13240" activeTab="3" xr2:uid="{00000000-000D-0000-FFFF-FFFF00000000}"/>
  </bookViews>
  <sheets>
    <sheet name="Opgave 1" sheetId="4" r:id="rId1"/>
    <sheet name="Opgave 2" sheetId="1" r:id="rId2"/>
    <sheet name="Opgave 3" sheetId="2" r:id="rId3"/>
    <sheet name="Opave 4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4" i="3" l="1"/>
  <c r="D33" i="3"/>
  <c r="D32" i="3"/>
  <c r="D31" i="3"/>
  <c r="D30" i="3"/>
  <c r="D29" i="3"/>
  <c r="H28" i="3"/>
  <c r="D27" i="3"/>
  <c r="E26" i="3"/>
  <c r="F26" i="3"/>
  <c r="G26" i="3"/>
  <c r="H26" i="3"/>
  <c r="D26" i="3"/>
  <c r="E25" i="3"/>
  <c r="F25" i="3"/>
  <c r="G25" i="3"/>
  <c r="H25" i="3"/>
  <c r="D25" i="3"/>
  <c r="E24" i="3"/>
  <c r="F24" i="3"/>
  <c r="G24" i="3"/>
  <c r="H24" i="3"/>
  <c r="D24" i="3"/>
  <c r="F20" i="3" l="1"/>
  <c r="G20" i="3"/>
  <c r="H20" i="3"/>
  <c r="E20" i="3"/>
  <c r="D22" i="3"/>
  <c r="D21" i="3"/>
  <c r="D20" i="3"/>
  <c r="E17" i="3"/>
  <c r="F17" i="3"/>
  <c r="G17" i="3"/>
  <c r="H17" i="3"/>
  <c r="D17" i="3"/>
  <c r="E16" i="3"/>
  <c r="F16" i="3"/>
  <c r="G16" i="3"/>
  <c r="H16" i="3"/>
  <c r="D16" i="3"/>
  <c r="E15" i="3"/>
  <c r="F15" i="3"/>
  <c r="G15" i="3"/>
  <c r="H15" i="3"/>
  <c r="D15" i="3"/>
  <c r="F14" i="3"/>
  <c r="G14" i="3" s="1"/>
  <c r="H14" i="3" s="1"/>
  <c r="E14" i="3"/>
  <c r="D14" i="3"/>
  <c r="F12" i="3"/>
  <c r="G12" i="3" s="1"/>
  <c r="H12" i="3" s="1"/>
  <c r="E12" i="3"/>
  <c r="E13" i="3"/>
  <c r="F13" i="3"/>
  <c r="G13" i="3"/>
  <c r="H13" i="3"/>
  <c r="D13" i="3"/>
  <c r="G87" i="2"/>
  <c r="G86" i="2"/>
  <c r="G85" i="2"/>
  <c r="G84" i="2" a="1"/>
  <c r="G84" i="2" s="1"/>
  <c r="G83" i="2"/>
  <c r="G82" i="2"/>
  <c r="H77" i="2"/>
  <c r="H75" i="2"/>
  <c r="H71" i="2"/>
  <c r="G72" i="2"/>
  <c r="G73" i="2"/>
  <c r="H56" i="2"/>
  <c r="G60" i="2"/>
  <c r="G59" i="2"/>
  <c r="H60" i="2" s="1"/>
  <c r="G54" i="2"/>
  <c r="G55" i="2" s="1"/>
  <c r="G50" i="2" s="1"/>
  <c r="H50" i="2" s="1"/>
  <c r="H51" i="2" s="1"/>
  <c r="G49" i="2"/>
  <c r="G48" i="2"/>
  <c r="H45" i="2"/>
  <c r="H44" i="2"/>
  <c r="H42" i="2"/>
  <c r="H41" i="2"/>
  <c r="H43" i="2" s="1"/>
  <c r="H46" i="2" s="1"/>
  <c r="H55" i="2" l="1"/>
  <c r="H57" i="2" s="1"/>
  <c r="H61" i="2"/>
  <c r="H63" i="2" s="1"/>
  <c r="H65" i="2" s="1"/>
  <c r="H32" i="2" l="1"/>
  <c r="G32" i="2"/>
  <c r="H31" i="2"/>
  <c r="G31" i="2"/>
  <c r="H30" i="2"/>
  <c r="G30" i="2"/>
  <c r="H29" i="2"/>
  <c r="H33" i="2" s="1"/>
  <c r="G29" i="2"/>
  <c r="G33" i="2" s="1"/>
  <c r="H26" i="2"/>
  <c r="G26" i="2"/>
  <c r="H25" i="2"/>
  <c r="G25" i="2"/>
  <c r="H24" i="2"/>
  <c r="G24" i="2"/>
  <c r="H21" i="2"/>
  <c r="G21" i="2"/>
  <c r="H26" i="1"/>
  <c r="F24" i="1"/>
  <c r="H25" i="1"/>
  <c r="F25" i="1"/>
  <c r="F23" i="1"/>
  <c r="F22" i="1"/>
  <c r="F21" i="1"/>
  <c r="H18" i="1"/>
  <c r="H13" i="1"/>
  <c r="H12" i="1"/>
  <c r="F8" i="1"/>
  <c r="H11" i="1"/>
  <c r="H9" i="1"/>
  <c r="H15" i="1" s="1"/>
  <c r="H8" i="1"/>
  <c r="F7" i="1"/>
  <c r="H5" i="1"/>
  <c r="C33" i="2" l="1"/>
  <c r="C36" i="2" s="1"/>
  <c r="D58" i="2" l="1"/>
  <c r="D69" i="2"/>
  <c r="C69" i="2"/>
  <c r="D63" i="2"/>
  <c r="D70" i="2" s="1"/>
  <c r="C63" i="2"/>
  <c r="D50" i="2"/>
  <c r="C50" i="2"/>
  <c r="D45" i="2"/>
  <c r="C45" i="2"/>
  <c r="C21" i="2"/>
  <c r="C24" i="2" s="1"/>
  <c r="C26" i="2" s="1"/>
  <c r="C29" i="2" s="1"/>
  <c r="C58" i="2"/>
  <c r="E11" i="2"/>
  <c r="G8" i="2"/>
  <c r="G9" i="2"/>
  <c r="G10" i="2"/>
  <c r="G7" i="2"/>
  <c r="H69" i="2" s="1"/>
  <c r="C22" i="1"/>
  <c r="C18" i="1"/>
  <c r="C9" i="1"/>
  <c r="C13" i="1" s="1"/>
  <c r="D51" i="2" l="1"/>
  <c r="H19" i="2" s="1"/>
  <c r="H23" i="2" s="1"/>
  <c r="H27" i="2" s="1"/>
  <c r="H35" i="2" s="1"/>
  <c r="C23" i="1"/>
  <c r="C25" i="1" s="1"/>
  <c r="D71" i="2"/>
  <c r="C51" i="2"/>
  <c r="G19" i="2" s="1"/>
  <c r="G23" i="2" s="1"/>
  <c r="G27" i="2" s="1"/>
  <c r="G35" i="2" s="1"/>
  <c r="C70" i="2"/>
  <c r="C71" i="2" s="1"/>
  <c r="G1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<sst xmlns="http://schemas.openxmlformats.org/spreadsheetml/2006/main" count="197" uniqueCount="166">
  <si>
    <t>Nettooverskud</t>
  </si>
  <si>
    <t>Årets resultat</t>
  </si>
  <si>
    <t>Reguleringer</t>
  </si>
  <si>
    <t>Ændring i driftskapital</t>
  </si>
  <si>
    <t>Varelagre</t>
  </si>
  <si>
    <t>Tilgodehavender</t>
  </si>
  <si>
    <t>Leverandørgæld</t>
  </si>
  <si>
    <t>Pengestrømme fra drift før finansielle poster og skat</t>
  </si>
  <si>
    <t>Renteindbetalinger</t>
  </si>
  <si>
    <t>Renteudbetalinger</t>
  </si>
  <si>
    <t>Betalte selskabsskatter</t>
  </si>
  <si>
    <t>Pengestrømme fra driftsaktivitet</t>
  </si>
  <si>
    <t>Køb af immaterielle aktiver</t>
  </si>
  <si>
    <t>Køb af materielle aktiver</t>
  </si>
  <si>
    <t>Køb af værdipapirer</t>
  </si>
  <si>
    <t>Salg af værdipapirer</t>
  </si>
  <si>
    <t>Pengestrømme fra investeringsaktivitet</t>
  </si>
  <si>
    <t>Udbetalt udbytte</t>
  </si>
  <si>
    <t>Provenue ved langfristet lånoptagelse</t>
  </si>
  <si>
    <t>Adfrag på lån</t>
  </si>
  <si>
    <t>Pengestrømme fra finansieringsaktivitet</t>
  </si>
  <si>
    <t>Ændring i likvider</t>
  </si>
  <si>
    <t>Likvider primo</t>
  </si>
  <si>
    <t>Likvider ultimo</t>
  </si>
  <si>
    <t>Ordinære aktier</t>
  </si>
  <si>
    <t>Overført overskud</t>
  </si>
  <si>
    <t>Total</t>
  </si>
  <si>
    <t>Totalindkomst</t>
  </si>
  <si>
    <t>Rapporteret egenkapitalopgørelse</t>
  </si>
  <si>
    <t>Rapporteret Totalindkomstopgørelse</t>
  </si>
  <si>
    <t>Nettoomsætning</t>
  </si>
  <si>
    <t>Produktionsomkostninger</t>
  </si>
  <si>
    <t>Bruttoresultat</t>
  </si>
  <si>
    <t>Salgs- og distributionsomkostninger</t>
  </si>
  <si>
    <t>Administrationsomkostninger</t>
  </si>
  <si>
    <t>Ordinært resultat før finansielle poster</t>
  </si>
  <si>
    <t>Ordinært resultat før usædvanlige poster</t>
  </si>
  <si>
    <t>Restruktureringsomkostninger</t>
  </si>
  <si>
    <t xml:space="preserve">Finansielle indtægter </t>
  </si>
  <si>
    <t>Finansielle omkostninger</t>
  </si>
  <si>
    <t>Resultat før skat</t>
  </si>
  <si>
    <t>Skat af årets resultat</t>
  </si>
  <si>
    <t>Rapporteret Balance</t>
  </si>
  <si>
    <t>Immaterielle aktiver</t>
  </si>
  <si>
    <t>Materielle aktiver</t>
  </si>
  <si>
    <t>Udskudt skatteaktiv</t>
  </si>
  <si>
    <t>Værdipapirer disponible for salg</t>
  </si>
  <si>
    <t>Langfristede aktiver i alt</t>
  </si>
  <si>
    <t>Varebeholdninger</t>
  </si>
  <si>
    <t>Likvide beholdninger</t>
  </si>
  <si>
    <t>Kortfristede aktiver i alt</t>
  </si>
  <si>
    <t>Aktiver i alt</t>
  </si>
  <si>
    <t>Ordinær aktiekapital</t>
  </si>
  <si>
    <t>Præferenceaktiekapital</t>
  </si>
  <si>
    <t>Reserve for værdipapirer disponible for salg</t>
  </si>
  <si>
    <t>Egenkapital i alt</t>
  </si>
  <si>
    <t>Udskudt skatteforpligtelse</t>
  </si>
  <si>
    <t>Realkreditlån</t>
  </si>
  <si>
    <t>Banklån</t>
  </si>
  <si>
    <t>Langfristede forpligtelser i alt</t>
  </si>
  <si>
    <t>Anden gæld</t>
  </si>
  <si>
    <t>Kortfristede forpligtelser i alt</t>
  </si>
  <si>
    <t>Forpligtelser i alt</t>
  </si>
  <si>
    <t>Passiver i alt</t>
  </si>
  <si>
    <t>Præference aktier</t>
  </si>
  <si>
    <t>Reserve for værdipapirerer</t>
  </si>
  <si>
    <t xml:space="preserve"> disponible for salg</t>
  </si>
  <si>
    <t>Saldo 1.1. 2019</t>
  </si>
  <si>
    <t>Saldo 31.12. 2019</t>
  </si>
  <si>
    <t>Urealiseret gevinst/tab på værdipapirer</t>
  </si>
  <si>
    <t>Salgsvækstrate</t>
  </si>
  <si>
    <t>Effektiv skatteprocent</t>
  </si>
  <si>
    <t>1/ATO</t>
  </si>
  <si>
    <t>2020E</t>
  </si>
  <si>
    <t>2021E</t>
  </si>
  <si>
    <t>2022E</t>
  </si>
  <si>
    <t>2023E</t>
  </si>
  <si>
    <t>2024E</t>
  </si>
  <si>
    <t>Budgetperiode</t>
  </si>
  <si>
    <t>periode</t>
  </si>
  <si>
    <t>Terminal-</t>
  </si>
  <si>
    <r>
      <t>PM</t>
    </r>
    <r>
      <rPr>
        <sz val="12"/>
        <color theme="1"/>
        <rFont val="Times New Roman"/>
        <family val="1"/>
      </rPr>
      <t xml:space="preserve"> (før skat)</t>
    </r>
  </si>
  <si>
    <t>i.r.</t>
  </si>
  <si>
    <t>i.r. Ikke relevant</t>
  </si>
  <si>
    <t>Pengestrømsopgørelse for A/S Globe 2019</t>
  </si>
  <si>
    <t>Af de samlede udbyttebetalinger på 400 tkr. Blev 50 tkr. udbetalt til ejere af præferenceaktier</t>
  </si>
  <si>
    <t>disponible for salg, efter skat</t>
  </si>
  <si>
    <t xml:space="preserve">Urealiseret gevinst på værdipapirer </t>
  </si>
  <si>
    <t>Uenig</t>
  </si>
  <si>
    <t xml:space="preserve">Andre faktorer såsom driftmæssige omkostninger, wacc, samt den langsigtede vækstrate spiller ind </t>
  </si>
  <si>
    <t xml:space="preserve">Den første del af spørgsmålet er korrekt. Højere udgifter til R&amp;D vil sænke ROCE </t>
  </si>
  <si>
    <t>Den anden del afhænger af markedets prissætning af R&amp;D</t>
  </si>
  <si>
    <t xml:space="preserve">Vækst antages kun ved at afkaste kapitalomkostninger, hvorfor det ikke skaber </t>
  </si>
  <si>
    <t xml:space="preserve">residualoverskud </t>
  </si>
  <si>
    <t xml:space="preserve">Uenig </t>
  </si>
  <si>
    <t>Det er når RNOA(PM x ATO) er lavere end wacc, at der nedbrydes værdi</t>
  </si>
  <si>
    <t xml:space="preserve">Det tilhører driften </t>
  </si>
  <si>
    <t>Netto rentebetalinger</t>
  </si>
  <si>
    <t>Skat @22%</t>
  </si>
  <si>
    <t>Korrigeret C</t>
  </si>
  <si>
    <t>Korrigeret I</t>
  </si>
  <si>
    <t>FCF</t>
  </si>
  <si>
    <t>Egenkapitalfinansiering (d)</t>
  </si>
  <si>
    <t>Betalt udbytte</t>
  </si>
  <si>
    <t>Netto gældsfinansiering (F)</t>
  </si>
  <si>
    <t>Netto rentebetalinger, efter skat</t>
  </si>
  <si>
    <t>Provenu ved langfristet lånoptagelse</t>
  </si>
  <si>
    <t>Afdrag på langfristet gæld</t>
  </si>
  <si>
    <t>d+F</t>
  </si>
  <si>
    <t>Værdipapirernetto</t>
  </si>
  <si>
    <t>Reformuleret balance</t>
  </si>
  <si>
    <t>Likvide midler</t>
  </si>
  <si>
    <t>Driftsaktiver</t>
  </si>
  <si>
    <t>Udskudt skatteforpligtigelse</t>
  </si>
  <si>
    <t>Netto driftsaktiver (NOA)</t>
  </si>
  <si>
    <t>Præferencekapital</t>
  </si>
  <si>
    <t>Langfristet lån</t>
  </si>
  <si>
    <t>Kortfristen Lån</t>
  </si>
  <si>
    <t>Likvide Beholdninger</t>
  </si>
  <si>
    <t>Netto finansielle forpligtigelser(NFO)</t>
  </si>
  <si>
    <t>Egenkapital</t>
  </si>
  <si>
    <t>Reformuleret Totalindkomst</t>
  </si>
  <si>
    <t>Salgs - og distributionsomkostninger</t>
  </si>
  <si>
    <t>Driftsoverskud før skat</t>
  </si>
  <si>
    <t>Rapporteret skat</t>
  </si>
  <si>
    <t>Skattefordel @22,5%</t>
  </si>
  <si>
    <t>Skat fra andet driftsoverskud</t>
  </si>
  <si>
    <t>Driftsoverskud efter skat</t>
  </si>
  <si>
    <t xml:space="preserve">Andet driftoverskud </t>
  </si>
  <si>
    <t>Samlet driftsoverskud (OI)</t>
  </si>
  <si>
    <t>Finansielle indtægter</t>
  </si>
  <si>
    <t>Skattefordel @ 22,5%</t>
  </si>
  <si>
    <t>Netto Finansielle Omkostninger(NFE)</t>
  </si>
  <si>
    <t>Skat</t>
  </si>
  <si>
    <t>Udbetaling af præferenceaktier</t>
  </si>
  <si>
    <t>Reformuleret egenkapitalsopgørelse</t>
  </si>
  <si>
    <t>Saldo start</t>
  </si>
  <si>
    <t>Urealiseret Gevinst på VP</t>
  </si>
  <si>
    <t>Præferenceudbytte</t>
  </si>
  <si>
    <t>Saldo slut</t>
  </si>
  <si>
    <t>ROCE = TOTALindkomst/GNS CSE</t>
  </si>
  <si>
    <t>RNOA = OI /GNS NOA</t>
  </si>
  <si>
    <t>FLEV = GNS NFO /GNS CSE</t>
  </si>
  <si>
    <t>NBC = NFE/GNS NFO</t>
  </si>
  <si>
    <t>PM = OI /SALG</t>
  </si>
  <si>
    <t>ATO= SALG/GNS NOA</t>
  </si>
  <si>
    <t>2b)</t>
  </si>
  <si>
    <t>NOA</t>
  </si>
  <si>
    <t>RR</t>
  </si>
  <si>
    <t>ReOI=OI-(NOA*Wacc)</t>
  </si>
  <si>
    <t xml:space="preserve">Driftsoverskud fra salg(Før skat) </t>
  </si>
  <si>
    <t xml:space="preserve">Driftsoverskud fra salg(Efter skat) </t>
  </si>
  <si>
    <t>NFO</t>
  </si>
  <si>
    <t>CSE</t>
  </si>
  <si>
    <t>Growth</t>
  </si>
  <si>
    <t>ReOI = OI - wacc * NOA</t>
  </si>
  <si>
    <t>df = (1 + wacc)^(t)</t>
  </si>
  <si>
    <t>PV ReOI = ReOI / df</t>
  </si>
  <si>
    <t>Sum PV ReOI</t>
  </si>
  <si>
    <t>TV = ReOI * (1 + g) / (wacc - g)</t>
  </si>
  <si>
    <t>PV TV = TV / df</t>
  </si>
  <si>
    <t>EV = NOA + Sum PV ReOI + PV TV</t>
  </si>
  <si>
    <t>V^(E) = EV - NFO</t>
  </si>
  <si>
    <t>Værdi per aktie</t>
  </si>
  <si>
    <t xml:space="preserve">Antal aktier </t>
  </si>
  <si>
    <t xml:space="preserve">Da den fundamentale værdi ligger under (9,7) så vil jeg anbefale at sælge.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</si>
</sst>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#,##0\ &quot;kr.&quot;;[Red]\-#,##0\ &quot;kr.&quot;"/>
    <numFmt numFmtId="43" formatCode="_-* #,##0.00_-;\-* #,##0.00_-;_-* &quot;-&quot;??_-;_-@_-"/>
    <numFmt numFmtId="164" formatCode="_-* #,##0_-;\-* #,##0_-;_-* &quot;-&quot;??_-;_-@_-"/>
    <numFmt numFmtId="165" formatCode="0.0%"/>
    <numFmt numFmtId="166" formatCode="_-* #,##0.00\ _k_r_._-;\-* #,##0.00\ _k_r_._-;_-* &quot;-&quot;??\ _k_r_._-;_-@_-"/>
    <numFmt numFmtId="167" formatCode="_-* #,##0.0_-;\-* #,##0.0_-;_-* &quot;-&quot;??_-;_-@_-"/>
  </numFmts>
  <fonts count="16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color theme="1"/>
      <name val="Times New Roman"/>
      <family val="1"/>
    </font>
    <font>
      <i/>
      <sz val="10"/>
      <color theme="1"/>
      <name val="Times New Roman"/>
      <family val="1"/>
    </font>
    <font>
      <b/>
      <i/>
      <sz val="12"/>
      <color theme="1"/>
      <name val="Times New Roman"/>
      <family val="1"/>
    </font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i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color rgb="FFFF0000"/>
      <name val="Times New Roman"/>
      <family val="1"/>
    </font>
    <font>
      <b/>
      <sz val="14"/>
      <color theme="4"/>
      <name val="Times New Roman"/>
      <family val="1"/>
    </font>
    <font>
      <b/>
      <sz val="14"/>
      <color rgb="FFFF0000"/>
      <name val="Times New Roman"/>
      <family val="1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58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0" fontId="1" fillId="0" borderId="0" xfId="0" quotePrefix="1" applyFont="1"/>
    <xf numFmtId="0" fontId="1" fillId="0" borderId="0" xfId="0" applyFont="1" applyAlignment="1">
      <alignment horizontal="left" indent="1"/>
    </xf>
    <xf numFmtId="0" fontId="8" fillId="0" borderId="0" xfId="0" applyFont="1"/>
    <xf numFmtId="0" fontId="1" fillId="0" borderId="1" xfId="0" applyFont="1" applyBorder="1"/>
    <xf numFmtId="164" fontId="1" fillId="0" borderId="0" xfId="1" applyNumberFormat="1" applyFont="1" applyBorder="1"/>
    <xf numFmtId="164" fontId="3" fillId="0" borderId="0" xfId="1" applyNumberFormat="1" applyFont="1" applyBorder="1"/>
    <xf numFmtId="164" fontId="1" fillId="0" borderId="1" xfId="1" applyNumberFormat="1" applyFont="1" applyBorder="1"/>
    <xf numFmtId="164" fontId="1" fillId="0" borderId="2" xfId="1" applyNumberFormat="1" applyFont="1" applyBorder="1"/>
    <xf numFmtId="164" fontId="3" fillId="0" borderId="2" xfId="1" applyNumberFormat="1" applyFont="1" applyBorder="1"/>
    <xf numFmtId="164" fontId="10" fillId="0" borderId="0" xfId="1" applyNumberFormat="1" applyFont="1" applyBorder="1"/>
    <xf numFmtId="164" fontId="10" fillId="0" borderId="1" xfId="1" applyNumberFormat="1" applyFont="1" applyBorder="1"/>
    <xf numFmtId="164" fontId="11" fillId="0" borderId="2" xfId="1" applyNumberFormat="1" applyFont="1" applyBorder="1"/>
    <xf numFmtId="0" fontId="9" fillId="0" borderId="3" xfId="0" applyFont="1" applyBorder="1"/>
    <xf numFmtId="0" fontId="1" fillId="0" borderId="3" xfId="0" applyFont="1" applyBorder="1"/>
    <xf numFmtId="164" fontId="1" fillId="0" borderId="0" xfId="0" applyNumberFormat="1" applyFont="1"/>
    <xf numFmtId="164" fontId="3" fillId="0" borderId="0" xfId="0" applyNumberFormat="1" applyFont="1"/>
    <xf numFmtId="0" fontId="1" fillId="0" borderId="0" xfId="0" applyFont="1" applyAlignment="1">
      <alignment horizontal="left"/>
    </xf>
    <xf numFmtId="0" fontId="3" fillId="0" borderId="1" xfId="0" applyFont="1" applyBorder="1"/>
    <xf numFmtId="0" fontId="13" fillId="0" borderId="0" xfId="0" applyFont="1"/>
    <xf numFmtId="6" fontId="4" fillId="0" borderId="1" xfId="0" applyNumberFormat="1" applyFont="1" applyBorder="1" applyAlignment="1">
      <alignment horizontal="left"/>
    </xf>
    <xf numFmtId="164" fontId="1" fillId="0" borderId="0" xfId="1" applyNumberFormat="1" applyFont="1"/>
    <xf numFmtId="0" fontId="1" fillId="0" borderId="1" xfId="0" applyFont="1" applyBorder="1" applyAlignment="1">
      <alignment horizontal="center"/>
    </xf>
    <xf numFmtId="164" fontId="3" fillId="0" borderId="0" xfId="1" applyNumberFormat="1" applyFont="1"/>
    <xf numFmtId="164" fontId="3" fillId="0" borderId="1" xfId="1" applyNumberFormat="1" applyFont="1" applyBorder="1"/>
    <xf numFmtId="0" fontId="13" fillId="0" borderId="1" xfId="0" applyFont="1" applyBorder="1"/>
    <xf numFmtId="0" fontId="1" fillId="0" borderId="0" xfId="0" applyFont="1" applyAlignment="1">
      <alignment horizontal="center"/>
    </xf>
    <xf numFmtId="6" fontId="4" fillId="0" borderId="2" xfId="0" applyNumberFormat="1" applyFont="1" applyBorder="1" applyAlignment="1">
      <alignment horizontal="left"/>
    </xf>
    <xf numFmtId="0" fontId="1" fillId="0" borderId="2" xfId="0" applyFont="1" applyBorder="1"/>
    <xf numFmtId="0" fontId="3" fillId="0" borderId="2" xfId="0" applyFont="1" applyBorder="1"/>
    <xf numFmtId="0" fontId="5" fillId="0" borderId="2" xfId="0" applyFont="1" applyBorder="1"/>
    <xf numFmtId="0" fontId="12" fillId="0" borderId="0" xfId="0" applyFont="1"/>
    <xf numFmtId="164" fontId="3" fillId="0" borderId="2" xfId="0" applyNumberFormat="1" applyFont="1" applyBorder="1"/>
    <xf numFmtId="9" fontId="1" fillId="0" borderId="0" xfId="2" applyFont="1"/>
    <xf numFmtId="0" fontId="7" fillId="0" borderId="0" xfId="0" applyFont="1"/>
    <xf numFmtId="0" fontId="3" fillId="0" borderId="2" xfId="0" applyFont="1" applyBorder="1" applyAlignment="1">
      <alignment horizontal="right"/>
    </xf>
    <xf numFmtId="9" fontId="1" fillId="0" borderId="0" xfId="0" applyNumberFormat="1" applyFont="1"/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43" fontId="1" fillId="0" borderId="0" xfId="0" applyNumberFormat="1" applyFont="1"/>
    <xf numFmtId="0" fontId="1" fillId="0" borderId="1" xfId="0" applyFont="1" applyBorder="1" applyAlignment="1">
      <alignment horizontal="right"/>
    </xf>
    <xf numFmtId="43" fontId="1" fillId="0" borderId="0" xfId="1" applyFont="1"/>
    <xf numFmtId="0" fontId="5" fillId="0" borderId="0" xfId="0" applyFont="1"/>
    <xf numFmtId="0" fontId="3" fillId="0" borderId="0" xfId="0" applyFont="1" applyAlignment="1">
      <alignment horizontal="right"/>
    </xf>
    <xf numFmtId="0" fontId="14" fillId="0" borderId="0" xfId="0" applyFont="1"/>
    <xf numFmtId="0" fontId="3" fillId="0" borderId="0" xfId="0" quotePrefix="1" applyFont="1"/>
    <xf numFmtId="164" fontId="1" fillId="0" borderId="0" xfId="1" applyNumberFormat="1" applyFont="1" applyBorder="1" applyAlignment="1">
      <alignment horizontal="center"/>
    </xf>
    <xf numFmtId="165" fontId="1" fillId="0" borderId="0" xfId="2" applyNumberFormat="1" applyFont="1" applyBorder="1"/>
    <xf numFmtId="165" fontId="1" fillId="0" borderId="0" xfId="0" applyNumberFormat="1" applyFont="1"/>
    <xf numFmtId="166" fontId="1" fillId="0" borderId="0" xfId="0" applyNumberFormat="1" applyFont="1"/>
    <xf numFmtId="0" fontId="3" fillId="0" borderId="2" xfId="0" applyFont="1" applyBorder="1" applyAlignment="1">
      <alignment horizontal="center"/>
    </xf>
    <xf numFmtId="0" fontId="15" fillId="0" borderId="0" xfId="0" applyFont="1"/>
    <xf numFmtId="0" fontId="1" fillId="0" borderId="0" xfId="0" applyFont="1" applyBorder="1" applyAlignment="1">
      <alignment horizontal="right"/>
    </xf>
    <xf numFmtId="0" fontId="1" fillId="0" borderId="0" xfId="1" applyNumberFormat="1" applyFont="1"/>
    <xf numFmtId="167" fontId="1" fillId="0" borderId="0" xfId="0" applyNumberFormat="1" applyFont="1"/>
  </cellXfs>
  <cellStyles count="3">
    <cellStyle name="Comma" xfId="1" builtinId="3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431800</xdr:colOff>
      <xdr:row>2</xdr:row>
      <xdr:rowOff>0</xdr:rowOff>
    </xdr:from>
    <xdr:to>
      <xdr:col>7</xdr:col>
      <xdr:colOff>698500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620E3E-BA9B-D136-AE91-765433FC2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" y="381000"/>
          <a:ext cx="5219700" cy="381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596900</xdr:colOff>
      <xdr:row>2</xdr:row>
      <xdr:rowOff>12700</xdr:rowOff>
    </xdr:from>
    <xdr:to>
      <xdr:col>16</xdr:col>
      <xdr:colOff>431800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074F38-37CC-9924-CBA5-9F0556605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8600" y="457200"/>
          <a:ext cx="5422900" cy="274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50800</xdr:colOff>
      <xdr:row>37</xdr:row>
      <xdr:rowOff>127000</xdr:rowOff>
    </xdr:from>
    <xdr:to>
      <xdr:col>16</xdr:col>
      <xdr:colOff>254000</xdr:colOff>
      <xdr:row>66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62D196-DACF-5DCF-5203-825A527A8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96600" y="7747000"/>
          <a:ext cx="5486400" cy="5930900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69</xdr:row>
      <xdr:rowOff>12700</xdr:rowOff>
    </xdr:from>
    <xdr:to>
      <xdr:col>20</xdr:col>
      <xdr:colOff>381000</xdr:colOff>
      <xdr:row>85</xdr:row>
      <xdr:rowOff>129978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3751BB-1C8C-55E3-C322-6EB2DD692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0" y="14160500"/>
          <a:ext cx="7772400" cy="3393878"/>
        </a:xfrm>
        <a:prstGeom prst="rect">
          <a:avLst/>
        </a:prstGeom>
      </xdr:spPr>
    </xdr:pic>
    <xdr:clientData/>
  </xdr:twoCellAnchor>
  <xdr:twoCellAnchor editAs="oneCell">
    <xdr:from>
      <xdr:col>4</xdr:col>
      <xdr:colOff>1104900</xdr:colOff>
      <xdr:row>89</xdr:row>
      <xdr:rowOff>165100</xdr:rowOff>
    </xdr:from>
    <xdr:to>
      <xdr:col>13</xdr:col>
      <xdr:colOff>368300</xdr:colOff>
      <xdr:row>96</xdr:row>
      <xdr:rowOff>129622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E4410E-40A9-8292-172D-3791B9949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00900" y="18402300"/>
          <a:ext cx="7772400" cy="1386922"/>
        </a:xfrm>
        <a:prstGeom prst="rect">
          <a:avLst/>
        </a:prstGeom>
      </xdr:spPr>
    </xdr:pic>
    <xdr:clientData/>
  </xdr:twoCellAnchor>
  <xdr:twoCellAnchor editAs="oneCell">
    <xdr:from>
      <xdr:col>4</xdr:col>
      <xdr:colOff>1117600</xdr:colOff>
      <xdr:row>96</xdr:row>
      <xdr:rowOff>165100</xdr:rowOff>
    </xdr:from>
    <xdr:to>
      <xdr:col>13</xdr:col>
      <xdr:colOff>381000</xdr:colOff>
      <xdr:row>106</xdr:row>
      <xdr:rowOff>150765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572389-1F26-B348-33BE-948147BC1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13600" y="19824700"/>
          <a:ext cx="7772400" cy="201766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292100</xdr:colOff>
      <xdr:row>6</xdr:row>
      <xdr:rowOff>190500</xdr:rowOff>
    </xdr:from>
    <xdr:to>
      <xdr:col>19</xdr:col>
      <xdr:colOff>533400</xdr:colOff>
      <xdr:row>25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6D77DD-27C2-1CED-EB70-58EE47B4B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25100" y="1409700"/>
          <a:ext cx="5524500" cy="3695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834D7-274F-D040-8D1B-335C4920AED0}">
  <dimension ref="I3:I20"/>
  <sheetViews>
    <sheetView workbookViewId="0">
      <selection activeCell="I22" sqref="I22"/>
    </sheetView>
  </sheetViews>
  <sheetFormatPr baseColWidth="10" defaultRowHeight="15" x14ac:dyDescent="0.2"/>
  <sheetData>
    <row r="3" spans="9:9" x14ac:dyDescent="0.2">
      <c r="I3" s="54" t="s">
        <v>88</v>
      </c>
    </row>
    <row r="4" spans="9:9" x14ac:dyDescent="0.2">
      <c r="I4" s="54" t="s">
        <v>89</v>
      </c>
    </row>
    <row r="8" spans="9:9" x14ac:dyDescent="0.2">
      <c r="I8" s="54" t="s">
        <v>90</v>
      </c>
    </row>
    <row r="9" spans="9:9" x14ac:dyDescent="0.2">
      <c r="I9" s="54" t="s">
        <v>91</v>
      </c>
    </row>
    <row r="12" spans="9:9" x14ac:dyDescent="0.2">
      <c r="I12" s="54" t="s">
        <v>88</v>
      </c>
    </row>
    <row r="13" spans="9:9" x14ac:dyDescent="0.2">
      <c r="I13" s="54" t="s">
        <v>92</v>
      </c>
    </row>
    <row r="14" spans="9:9" x14ac:dyDescent="0.2">
      <c r="I14" s="54" t="s">
        <v>93</v>
      </c>
    </row>
    <row r="16" spans="9:9" x14ac:dyDescent="0.2">
      <c r="I16" s="54" t="s">
        <v>94</v>
      </c>
    </row>
    <row r="17" spans="9:9" x14ac:dyDescent="0.2">
      <c r="I17" s="54" t="s">
        <v>95</v>
      </c>
    </row>
    <row r="19" spans="9:9" x14ac:dyDescent="0.2">
      <c r="I19" s="54" t="s">
        <v>88</v>
      </c>
    </row>
    <row r="20" spans="9:9" x14ac:dyDescent="0.2">
      <c r="I20" s="54" t="s">
        <v>96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57"/>
  <sheetViews>
    <sheetView topLeftCell="A5" workbookViewId="0">
      <selection activeCell="H27" sqref="H27"/>
    </sheetView>
  </sheetViews>
  <sheetFormatPr baseColWidth="10" defaultColWidth="9.1640625" defaultRowHeight="16" x14ac:dyDescent="0.2"/>
  <cols>
    <col min="1" max="1" width="9.1640625" style="1"/>
    <col min="2" max="2" width="49.83203125" style="1" customWidth="1"/>
    <col min="3" max="3" width="11" style="1" bestFit="1" customWidth="1"/>
    <col min="4" max="4" width="9.1640625" style="1"/>
    <col min="5" max="5" width="37.6640625" style="1" customWidth="1"/>
    <col min="6" max="6" width="10" style="1" bestFit="1" customWidth="1"/>
    <col min="7" max="16384" width="9.1640625" style="1"/>
  </cols>
  <sheetData>
    <row r="2" spans="2:8" ht="19" thickBot="1" x14ac:dyDescent="0.25">
      <c r="B2" s="16" t="s">
        <v>84</v>
      </c>
      <c r="C2" s="17"/>
    </row>
    <row r="3" spans="2:8" x14ac:dyDescent="0.2">
      <c r="B3" s="1" t="s">
        <v>1</v>
      </c>
      <c r="C3" s="8">
        <v>33444</v>
      </c>
    </row>
    <row r="4" spans="2:8" x14ac:dyDescent="0.2">
      <c r="B4" s="1" t="s">
        <v>2</v>
      </c>
      <c r="C4" s="8">
        <v>17696</v>
      </c>
    </row>
    <row r="5" spans="2:8" x14ac:dyDescent="0.2">
      <c r="B5" s="6" t="s">
        <v>3</v>
      </c>
      <c r="C5" s="9"/>
      <c r="D5" s="2"/>
      <c r="E5" s="2" t="s">
        <v>11</v>
      </c>
      <c r="H5" s="18">
        <f>C13</f>
        <v>38591</v>
      </c>
    </row>
    <row r="6" spans="2:8" x14ac:dyDescent="0.2">
      <c r="B6" s="5" t="s">
        <v>4</v>
      </c>
      <c r="C6" s="8">
        <v>434</v>
      </c>
    </row>
    <row r="7" spans="2:8" x14ac:dyDescent="0.2">
      <c r="B7" s="5" t="s">
        <v>5</v>
      </c>
      <c r="C7" s="8">
        <v>-1540</v>
      </c>
      <c r="E7" s="1" t="s">
        <v>97</v>
      </c>
      <c r="F7" s="18">
        <f>SUM(C10:C11)</f>
        <v>7520</v>
      </c>
    </row>
    <row r="8" spans="2:8" x14ac:dyDescent="0.2">
      <c r="B8" s="5" t="s">
        <v>6</v>
      </c>
      <c r="C8" s="10">
        <v>3633</v>
      </c>
      <c r="E8" s="1" t="s">
        <v>98</v>
      </c>
      <c r="F8" s="18">
        <f>-F7*22.5%</f>
        <v>-1692</v>
      </c>
      <c r="H8" s="18">
        <f>SUM(F7:F8)</f>
        <v>5828</v>
      </c>
    </row>
    <row r="9" spans="2:8" x14ac:dyDescent="0.2">
      <c r="B9" s="1" t="s">
        <v>7</v>
      </c>
      <c r="C9" s="8">
        <f>SUM(C3:C8)</f>
        <v>53667</v>
      </c>
      <c r="E9" s="1" t="s">
        <v>99</v>
      </c>
      <c r="H9" s="18">
        <f>H5-H8</f>
        <v>32763</v>
      </c>
    </row>
    <row r="10" spans="2:8" x14ac:dyDescent="0.2">
      <c r="B10" s="5" t="s">
        <v>8</v>
      </c>
      <c r="C10" s="8">
        <v>8750</v>
      </c>
    </row>
    <row r="11" spans="2:8" x14ac:dyDescent="0.2">
      <c r="B11" s="5" t="s">
        <v>9</v>
      </c>
      <c r="C11" s="8">
        <v>-1230</v>
      </c>
      <c r="E11" s="1" t="s">
        <v>16</v>
      </c>
      <c r="H11" s="18">
        <f>C18</f>
        <v>-18518</v>
      </c>
    </row>
    <row r="12" spans="2:8" x14ac:dyDescent="0.2">
      <c r="B12" s="5" t="s">
        <v>10</v>
      </c>
      <c r="C12" s="10">
        <v>-22596</v>
      </c>
      <c r="E12" s="1" t="s">
        <v>109</v>
      </c>
      <c r="H12" s="18">
        <f>-SUM(C16:C17)</f>
        <v>-36365</v>
      </c>
    </row>
    <row r="13" spans="2:8" x14ac:dyDescent="0.2">
      <c r="B13" s="2" t="s">
        <v>11</v>
      </c>
      <c r="C13" s="12">
        <f>SUM(C9:C12)</f>
        <v>38591</v>
      </c>
      <c r="E13" s="1" t="s">
        <v>100</v>
      </c>
      <c r="H13" s="18">
        <f>SUM(H11:H12)</f>
        <v>-54883</v>
      </c>
    </row>
    <row r="14" spans="2:8" x14ac:dyDescent="0.2">
      <c r="B14" s="1" t="s">
        <v>12</v>
      </c>
      <c r="C14" s="13">
        <v>-11323</v>
      </c>
      <c r="D14" s="3"/>
      <c r="E14" s="3"/>
    </row>
    <row r="15" spans="2:8" x14ac:dyDescent="0.2">
      <c r="B15" s="1" t="s">
        <v>13</v>
      </c>
      <c r="C15" s="13">
        <v>-43560</v>
      </c>
      <c r="D15" s="3"/>
      <c r="E15" s="3" t="s">
        <v>101</v>
      </c>
      <c r="H15" s="18">
        <f>H9+H13</f>
        <v>-22120</v>
      </c>
    </row>
    <row r="16" spans="2:8" x14ac:dyDescent="0.2">
      <c r="B16" s="1" t="s">
        <v>14</v>
      </c>
      <c r="C16" s="13">
        <v>-8956</v>
      </c>
      <c r="D16" s="3"/>
      <c r="E16" s="3"/>
    </row>
    <row r="17" spans="2:8" x14ac:dyDescent="0.2">
      <c r="B17" s="1" t="s">
        <v>15</v>
      </c>
      <c r="C17" s="14">
        <v>45321</v>
      </c>
      <c r="D17" s="3"/>
      <c r="E17" s="3" t="s">
        <v>102</v>
      </c>
    </row>
    <row r="18" spans="2:8" x14ac:dyDescent="0.2">
      <c r="B18" s="2" t="s">
        <v>16</v>
      </c>
      <c r="C18" s="12">
        <f>SUM(C14:C17)</f>
        <v>-18518</v>
      </c>
      <c r="E18" s="1" t="s">
        <v>103</v>
      </c>
      <c r="H18" s="18">
        <f>-C19</f>
        <v>8000</v>
      </c>
    </row>
    <row r="19" spans="2:8" x14ac:dyDescent="0.2">
      <c r="B19" s="5" t="s">
        <v>17</v>
      </c>
      <c r="C19" s="8">
        <v>-8000</v>
      </c>
    </row>
    <row r="20" spans="2:8" x14ac:dyDescent="0.2">
      <c r="B20" s="5" t="s">
        <v>18</v>
      </c>
      <c r="C20" s="8">
        <v>34568</v>
      </c>
      <c r="E20" s="1" t="s">
        <v>104</v>
      </c>
    </row>
    <row r="21" spans="2:8" x14ac:dyDescent="0.2">
      <c r="B21" s="5" t="s">
        <v>19</v>
      </c>
      <c r="C21" s="10">
        <v>-28654</v>
      </c>
      <c r="E21" s="1" t="s">
        <v>105</v>
      </c>
      <c r="F21" s="18">
        <f>-H8</f>
        <v>-5828</v>
      </c>
    </row>
    <row r="22" spans="2:8" x14ac:dyDescent="0.2">
      <c r="B22" s="2" t="s">
        <v>20</v>
      </c>
      <c r="C22" s="15">
        <f>SUM(C19:C21)</f>
        <v>-2086</v>
      </c>
      <c r="D22" s="3"/>
      <c r="E22" s="1" t="s">
        <v>106</v>
      </c>
      <c r="F22" s="18">
        <f>-C20</f>
        <v>-34568</v>
      </c>
    </row>
    <row r="23" spans="2:8" x14ac:dyDescent="0.2">
      <c r="B23" s="2" t="s">
        <v>21</v>
      </c>
      <c r="C23" s="9">
        <f>C13+C18+C22</f>
        <v>17987</v>
      </c>
      <c r="E23" s="1" t="s">
        <v>107</v>
      </c>
      <c r="F23" s="18">
        <f>-C21</f>
        <v>28654</v>
      </c>
    </row>
    <row r="24" spans="2:8" x14ac:dyDescent="0.2">
      <c r="B24" s="1" t="s">
        <v>22</v>
      </c>
      <c r="C24" s="13">
        <v>7645</v>
      </c>
      <c r="D24" s="3"/>
      <c r="E24" s="1" t="s">
        <v>14</v>
      </c>
      <c r="F24" s="18">
        <f>H12</f>
        <v>-36365</v>
      </c>
    </row>
    <row r="25" spans="2:8" x14ac:dyDescent="0.2">
      <c r="B25" s="2" t="s">
        <v>23</v>
      </c>
      <c r="C25" s="12">
        <f>C23+C24</f>
        <v>25632</v>
      </c>
      <c r="E25" s="1" t="s">
        <v>21</v>
      </c>
      <c r="F25" s="18">
        <f>C23</f>
        <v>17987</v>
      </c>
      <c r="H25" s="18">
        <f>SUM(F21:F25)</f>
        <v>-30120</v>
      </c>
    </row>
    <row r="26" spans="2:8" x14ac:dyDescent="0.2">
      <c r="C26" s="2"/>
      <c r="D26" s="2"/>
      <c r="E26" s="1" t="s">
        <v>108</v>
      </c>
      <c r="H26" s="18">
        <f>SUM(H18:H25)</f>
        <v>-22120</v>
      </c>
    </row>
    <row r="29" spans="2:8" x14ac:dyDescent="0.2">
      <c r="D29" s="18"/>
    </row>
    <row r="30" spans="2:8" x14ac:dyDescent="0.2">
      <c r="C30" s="2"/>
      <c r="D30" s="2"/>
    </row>
    <row r="31" spans="2:8" x14ac:dyDescent="0.2">
      <c r="B31" s="5"/>
      <c r="C31" s="8"/>
    </row>
    <row r="32" spans="2:8" x14ac:dyDescent="0.2">
      <c r="B32" s="5"/>
      <c r="C32" s="8"/>
    </row>
    <row r="33" spans="2:5" x14ac:dyDescent="0.2">
      <c r="B33" s="5"/>
      <c r="C33" s="18"/>
    </row>
    <row r="34" spans="2:5" x14ac:dyDescent="0.2">
      <c r="B34" s="5"/>
      <c r="C34" s="18"/>
      <c r="D34" s="18"/>
    </row>
    <row r="35" spans="2:5" x14ac:dyDescent="0.2">
      <c r="D35" s="18"/>
    </row>
    <row r="37" spans="2:5" x14ac:dyDescent="0.2">
      <c r="C37" s="18"/>
      <c r="D37" s="2"/>
    </row>
    <row r="39" spans="2:5" x14ac:dyDescent="0.2">
      <c r="C39" s="13"/>
    </row>
    <row r="40" spans="2:5" x14ac:dyDescent="0.2">
      <c r="C40" s="13"/>
      <c r="D40" s="18"/>
    </row>
    <row r="41" spans="2:5" x14ac:dyDescent="0.2">
      <c r="C41" s="18"/>
    </row>
    <row r="42" spans="2:5" x14ac:dyDescent="0.2">
      <c r="D42" s="18"/>
    </row>
    <row r="43" spans="2:5" x14ac:dyDescent="0.2">
      <c r="B43" s="2"/>
      <c r="C43" s="2"/>
      <c r="D43" s="19"/>
    </row>
    <row r="45" spans="2:5" x14ac:dyDescent="0.2">
      <c r="B45" s="6"/>
      <c r="E45" s="4"/>
    </row>
    <row r="46" spans="2:5" x14ac:dyDescent="0.2">
      <c r="D46" s="18"/>
    </row>
    <row r="48" spans="2:5" x14ac:dyDescent="0.2">
      <c r="B48" s="6"/>
    </row>
    <row r="49" spans="2:4" x14ac:dyDescent="0.2">
      <c r="B49" s="20"/>
      <c r="C49" s="8"/>
    </row>
    <row r="50" spans="2:4" x14ac:dyDescent="0.2">
      <c r="B50" s="20"/>
      <c r="C50" s="8"/>
    </row>
    <row r="51" spans="2:4" x14ac:dyDescent="0.2">
      <c r="C51" s="18"/>
    </row>
    <row r="52" spans="2:4" x14ac:dyDescent="0.2">
      <c r="C52" s="18"/>
    </row>
    <row r="53" spans="2:4" x14ac:dyDescent="0.2">
      <c r="C53" s="8"/>
      <c r="D53" s="18"/>
    </row>
    <row r="54" spans="2:4" x14ac:dyDescent="0.2">
      <c r="B54" s="45"/>
      <c r="D54" s="19"/>
    </row>
    <row r="56" spans="2:4" x14ac:dyDescent="0.2">
      <c r="D56" s="18"/>
    </row>
    <row r="57" spans="2:4" x14ac:dyDescent="0.2">
      <c r="D57" s="18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H136"/>
  <sheetViews>
    <sheetView topLeftCell="B70" workbookViewId="0">
      <selection activeCell="P104" sqref="P104"/>
    </sheetView>
  </sheetViews>
  <sheetFormatPr baseColWidth="10" defaultColWidth="8.6640625" defaultRowHeight="16" x14ac:dyDescent="0.2"/>
  <cols>
    <col min="1" max="1" width="8.6640625" style="1"/>
    <col min="2" max="2" width="40" style="1" customWidth="1"/>
    <col min="3" max="3" width="14.5" style="1" bestFit="1" customWidth="1"/>
    <col min="4" max="4" width="16.83203125" style="1" customWidth="1"/>
    <col min="5" max="5" width="17.1640625" style="1" customWidth="1"/>
    <col min="6" max="6" width="33.5" style="1" customWidth="1"/>
    <col min="7" max="7" width="9" style="1" bestFit="1" customWidth="1"/>
    <col min="8" max="16384" width="8.6640625" style="1"/>
  </cols>
  <sheetData>
    <row r="3" spans="2:7" ht="18" x14ac:dyDescent="0.2">
      <c r="B3" s="22" t="s">
        <v>28</v>
      </c>
    </row>
    <row r="4" spans="2:7" ht="18" x14ac:dyDescent="0.2">
      <c r="B4" s="28"/>
      <c r="C4" s="7"/>
      <c r="D4" s="7"/>
      <c r="E4" s="7"/>
      <c r="F4" s="7"/>
      <c r="G4" s="7"/>
    </row>
    <row r="5" spans="2:7" x14ac:dyDescent="0.2">
      <c r="F5" s="29" t="s">
        <v>65</v>
      </c>
    </row>
    <row r="6" spans="2:7" x14ac:dyDescent="0.2">
      <c r="B6" s="23">
        <v>1000</v>
      </c>
      <c r="C6" s="7" t="s">
        <v>24</v>
      </c>
      <c r="D6" s="7" t="s">
        <v>64</v>
      </c>
      <c r="E6" s="7" t="s">
        <v>25</v>
      </c>
      <c r="F6" s="25" t="s">
        <v>66</v>
      </c>
      <c r="G6" s="25" t="s">
        <v>26</v>
      </c>
    </row>
    <row r="7" spans="2:7" x14ac:dyDescent="0.2">
      <c r="B7" s="2" t="s">
        <v>67</v>
      </c>
      <c r="C7" s="24">
        <v>300</v>
      </c>
      <c r="D7" s="24">
        <v>100</v>
      </c>
      <c r="E7" s="24">
        <v>10450</v>
      </c>
      <c r="F7" s="24">
        <v>50</v>
      </c>
      <c r="G7" s="9">
        <f>SUM(C7:F7)</f>
        <v>10900</v>
      </c>
    </row>
    <row r="8" spans="2:7" x14ac:dyDescent="0.2">
      <c r="B8" s="1" t="s">
        <v>0</v>
      </c>
      <c r="C8" s="24"/>
      <c r="D8" s="24"/>
      <c r="E8" s="24">
        <v>1760</v>
      </c>
      <c r="F8" s="24"/>
      <c r="G8" s="24">
        <f t="shared" ref="G8:G10" si="0">SUM(C8:F8)</f>
        <v>1760</v>
      </c>
    </row>
    <row r="9" spans="2:7" x14ac:dyDescent="0.2">
      <c r="B9" s="1" t="s">
        <v>69</v>
      </c>
      <c r="C9" s="24"/>
      <c r="D9" s="24"/>
      <c r="E9" s="24"/>
      <c r="F9" s="24">
        <v>15</v>
      </c>
      <c r="G9" s="24">
        <f t="shared" si="0"/>
        <v>15</v>
      </c>
    </row>
    <row r="10" spans="2:7" x14ac:dyDescent="0.2">
      <c r="B10" s="1" t="s">
        <v>17</v>
      </c>
      <c r="C10" s="24"/>
      <c r="D10" s="24"/>
      <c r="E10" s="24">
        <v>-400</v>
      </c>
      <c r="F10" s="24"/>
      <c r="G10" s="24">
        <f t="shared" si="0"/>
        <v>-400</v>
      </c>
    </row>
    <row r="11" spans="2:7" x14ac:dyDescent="0.2">
      <c r="B11" s="21" t="s">
        <v>68</v>
      </c>
      <c r="C11" s="10">
        <v>300</v>
      </c>
      <c r="D11" s="10">
        <v>100</v>
      </c>
      <c r="E11" s="10">
        <f>SUM(E7:E10)</f>
        <v>11810</v>
      </c>
      <c r="F11" s="10">
        <v>65</v>
      </c>
      <c r="G11" s="27">
        <f>SUM(G7:G10)</f>
        <v>12275</v>
      </c>
    </row>
    <row r="13" spans="2:7" x14ac:dyDescent="0.2">
      <c r="B13" s="1" t="s">
        <v>85</v>
      </c>
    </row>
    <row r="16" spans="2:7" ht="18" x14ac:dyDescent="0.2">
      <c r="B16" s="22" t="s">
        <v>29</v>
      </c>
    </row>
    <row r="17" spans="2:8" ht="18" x14ac:dyDescent="0.2">
      <c r="B17" s="22"/>
    </row>
    <row r="18" spans="2:8" x14ac:dyDescent="0.2">
      <c r="B18" s="30">
        <v>1000</v>
      </c>
      <c r="C18" s="33">
        <v>2019</v>
      </c>
      <c r="F18" s="1" t="s">
        <v>110</v>
      </c>
      <c r="G18" s="1">
        <v>2019</v>
      </c>
      <c r="H18" s="1">
        <v>2018</v>
      </c>
    </row>
    <row r="19" spans="2:8" x14ac:dyDescent="0.2">
      <c r="B19" s="1" t="s">
        <v>30</v>
      </c>
      <c r="C19" s="24">
        <v>12200</v>
      </c>
      <c r="F19" s="2" t="s">
        <v>51</v>
      </c>
      <c r="G19" s="19">
        <f>C51</f>
        <v>26170</v>
      </c>
      <c r="H19" s="19">
        <f>D51</f>
        <v>24625</v>
      </c>
    </row>
    <row r="20" spans="2:8" x14ac:dyDescent="0.2">
      <c r="B20" s="5" t="s">
        <v>31</v>
      </c>
      <c r="C20" s="10">
        <v>-7740</v>
      </c>
    </row>
    <row r="21" spans="2:8" x14ac:dyDescent="0.2">
      <c r="B21" s="1" t="s">
        <v>32</v>
      </c>
      <c r="C21" s="24">
        <f>C19+C20</f>
        <v>4460</v>
      </c>
      <c r="F21" s="1" t="s">
        <v>111</v>
      </c>
      <c r="G21" s="1">
        <f>C49</f>
        <v>10000</v>
      </c>
      <c r="H21" s="1">
        <f>D49</f>
        <v>8500</v>
      </c>
    </row>
    <row r="22" spans="2:8" x14ac:dyDescent="0.2">
      <c r="B22" s="5" t="s">
        <v>33</v>
      </c>
      <c r="C22" s="24">
        <v>-1230</v>
      </c>
    </row>
    <row r="23" spans="2:8" x14ac:dyDescent="0.2">
      <c r="B23" s="5" t="s">
        <v>34</v>
      </c>
      <c r="C23" s="10">
        <v>-890</v>
      </c>
      <c r="F23" s="2" t="s">
        <v>112</v>
      </c>
      <c r="G23" s="19">
        <f>G19-G21</f>
        <v>16170</v>
      </c>
      <c r="H23" s="19">
        <f>H19-H21</f>
        <v>16125</v>
      </c>
    </row>
    <row r="24" spans="2:8" x14ac:dyDescent="0.2">
      <c r="B24" s="2" t="s">
        <v>36</v>
      </c>
      <c r="C24" s="26">
        <f>C21+C22+C23</f>
        <v>2340</v>
      </c>
      <c r="F24" s="1" t="s">
        <v>113</v>
      </c>
      <c r="G24" s="18">
        <f>C60</f>
        <v>320</v>
      </c>
      <c r="H24" s="18">
        <f>D60</f>
        <v>280</v>
      </c>
    </row>
    <row r="25" spans="2:8" x14ac:dyDescent="0.2">
      <c r="B25" s="5" t="s">
        <v>37</v>
      </c>
      <c r="C25" s="10">
        <v>-50</v>
      </c>
      <c r="F25" s="1" t="s">
        <v>6</v>
      </c>
      <c r="G25" s="18">
        <f>C67</f>
        <v>2230</v>
      </c>
      <c r="H25" s="18">
        <f>D67</f>
        <v>1234</v>
      </c>
    </row>
    <row r="26" spans="2:8" x14ac:dyDescent="0.2">
      <c r="B26" s="2" t="s">
        <v>35</v>
      </c>
      <c r="C26" s="26">
        <f>C24+C25</f>
        <v>2290</v>
      </c>
      <c r="F26" s="1" t="s">
        <v>60</v>
      </c>
      <c r="G26" s="18">
        <f>C68</f>
        <v>120</v>
      </c>
      <c r="H26" s="18">
        <f>D68</f>
        <v>130</v>
      </c>
    </row>
    <row r="27" spans="2:8" x14ac:dyDescent="0.2">
      <c r="B27" s="5" t="s">
        <v>38</v>
      </c>
      <c r="C27" s="24">
        <v>65</v>
      </c>
      <c r="F27" s="2" t="s">
        <v>114</v>
      </c>
      <c r="G27" s="19">
        <f>G23-SUM(G24:G26)</f>
        <v>13500</v>
      </c>
      <c r="H27" s="19">
        <f>H23-SUM(H24:H26)</f>
        <v>14481</v>
      </c>
    </row>
    <row r="28" spans="2:8" x14ac:dyDescent="0.2">
      <c r="B28" s="5" t="s">
        <v>39</v>
      </c>
      <c r="C28" s="24">
        <v>-35</v>
      </c>
    </row>
    <row r="29" spans="2:8" x14ac:dyDescent="0.2">
      <c r="B29" s="32" t="s">
        <v>40</v>
      </c>
      <c r="C29" s="12">
        <f>C26+C27+C28</f>
        <v>2320</v>
      </c>
      <c r="F29" s="1" t="s">
        <v>115</v>
      </c>
      <c r="G29" s="18">
        <f>C55</f>
        <v>100</v>
      </c>
      <c r="H29" s="18">
        <f>D55</f>
        <v>100</v>
      </c>
    </row>
    <row r="30" spans="2:8" x14ac:dyDescent="0.2">
      <c r="B30" s="5" t="s">
        <v>41</v>
      </c>
      <c r="C30" s="24">
        <v>-560</v>
      </c>
      <c r="F30" s="1" t="s">
        <v>116</v>
      </c>
      <c r="G30" s="18">
        <f>SUM(C61:C62)</f>
        <v>11060</v>
      </c>
      <c r="H30" s="18">
        <f>SUM(D61:D62)</f>
        <v>11910</v>
      </c>
    </row>
    <row r="31" spans="2:8" x14ac:dyDescent="0.2">
      <c r="B31" s="32" t="s">
        <v>0</v>
      </c>
      <c r="C31" s="12">
        <v>1760</v>
      </c>
      <c r="F31" s="1" t="s">
        <v>117</v>
      </c>
      <c r="G31" s="18">
        <f>SUM(C65:C66)</f>
        <v>165</v>
      </c>
      <c r="H31" s="18">
        <f>SUM(D65:D66)</f>
        <v>171</v>
      </c>
    </row>
    <row r="32" spans="2:8" x14ac:dyDescent="0.2">
      <c r="F32" s="1" t="s">
        <v>118</v>
      </c>
      <c r="G32" s="1">
        <f>-C49</f>
        <v>-10000</v>
      </c>
      <c r="H32" s="1">
        <f>-D49</f>
        <v>-8500</v>
      </c>
    </row>
    <row r="33" spans="2:8" x14ac:dyDescent="0.2">
      <c r="B33" s="1" t="s">
        <v>0</v>
      </c>
      <c r="C33" s="18">
        <f>C31</f>
        <v>1760</v>
      </c>
      <c r="F33" s="2" t="s">
        <v>119</v>
      </c>
      <c r="G33" s="19">
        <f>SUM(G29:G32)</f>
        <v>1325</v>
      </c>
      <c r="H33" s="19">
        <f>SUM(H29:H32)</f>
        <v>3681</v>
      </c>
    </row>
    <row r="34" spans="2:8" x14ac:dyDescent="0.2">
      <c r="B34" s="1" t="s">
        <v>87</v>
      </c>
    </row>
    <row r="35" spans="2:8" x14ac:dyDescent="0.2">
      <c r="B35" s="1" t="s">
        <v>86</v>
      </c>
      <c r="C35" s="1">
        <v>15</v>
      </c>
      <c r="F35" s="2" t="s">
        <v>120</v>
      </c>
      <c r="G35" s="19">
        <f>G27-G33</f>
        <v>12175</v>
      </c>
      <c r="H35" s="19">
        <f>H27-H33</f>
        <v>10800</v>
      </c>
    </row>
    <row r="36" spans="2:8" x14ac:dyDescent="0.2">
      <c r="B36" s="2" t="s">
        <v>27</v>
      </c>
      <c r="C36" s="12">
        <f>C33+C35</f>
        <v>1775</v>
      </c>
    </row>
    <row r="39" spans="2:8" ht="18" x14ac:dyDescent="0.2">
      <c r="B39" s="22" t="s">
        <v>42</v>
      </c>
      <c r="F39" s="1" t="s">
        <v>121</v>
      </c>
      <c r="H39" s="1">
        <v>2019</v>
      </c>
    </row>
    <row r="40" spans="2:8" x14ac:dyDescent="0.2">
      <c r="B40" s="30">
        <v>1000</v>
      </c>
      <c r="C40" s="33">
        <v>2019</v>
      </c>
      <c r="D40" s="33">
        <v>2018</v>
      </c>
    </row>
    <row r="41" spans="2:8" x14ac:dyDescent="0.2">
      <c r="B41" s="1" t="s">
        <v>43</v>
      </c>
      <c r="C41" s="24">
        <v>3800</v>
      </c>
      <c r="D41" s="24">
        <v>4000</v>
      </c>
      <c r="F41" s="1" t="s">
        <v>30</v>
      </c>
      <c r="H41" s="18">
        <f>C19</f>
        <v>12200</v>
      </c>
    </row>
    <row r="42" spans="2:8" x14ac:dyDescent="0.2">
      <c r="B42" s="1" t="s">
        <v>44</v>
      </c>
      <c r="C42" s="24">
        <v>5600</v>
      </c>
      <c r="D42" s="24">
        <v>5800</v>
      </c>
      <c r="F42" s="1" t="s">
        <v>31</v>
      </c>
      <c r="H42" s="18">
        <f>C20</f>
        <v>-7740</v>
      </c>
    </row>
    <row r="43" spans="2:8" x14ac:dyDescent="0.2">
      <c r="B43" s="1" t="s">
        <v>45</v>
      </c>
      <c r="C43" s="24">
        <v>120</v>
      </c>
      <c r="D43" s="24">
        <v>140</v>
      </c>
      <c r="F43" s="2" t="s">
        <v>32</v>
      </c>
      <c r="G43" s="2"/>
      <c r="H43" s="19">
        <f>SUM(H41:H42)</f>
        <v>4460</v>
      </c>
    </row>
    <row r="44" spans="2:8" x14ac:dyDescent="0.2">
      <c r="B44" s="1" t="s">
        <v>46</v>
      </c>
      <c r="C44" s="24">
        <v>150</v>
      </c>
      <c r="D44" s="24">
        <v>135</v>
      </c>
      <c r="F44" s="1" t="s">
        <v>122</v>
      </c>
      <c r="H44" s="18">
        <f>C22</f>
        <v>-1230</v>
      </c>
    </row>
    <row r="45" spans="2:8" x14ac:dyDescent="0.2">
      <c r="B45" s="32" t="s">
        <v>47</v>
      </c>
      <c r="C45" s="12">
        <f>SUM(C41:C44)</f>
        <v>9670</v>
      </c>
      <c r="D45" s="12">
        <f>SUM(D41:D44)</f>
        <v>10075</v>
      </c>
      <c r="F45" s="1" t="s">
        <v>34</v>
      </c>
      <c r="H45" s="18">
        <f>C23</f>
        <v>-890</v>
      </c>
    </row>
    <row r="46" spans="2:8" x14ac:dyDescent="0.2">
      <c r="F46" s="2" t="s">
        <v>123</v>
      </c>
      <c r="G46" s="2"/>
      <c r="H46" s="19">
        <f>SUM(H43:H45)</f>
        <v>2340</v>
      </c>
    </row>
    <row r="47" spans="2:8" x14ac:dyDescent="0.2">
      <c r="B47" s="1" t="s">
        <v>48</v>
      </c>
      <c r="C47" s="1">
        <v>3700</v>
      </c>
      <c r="D47" s="1">
        <v>3400</v>
      </c>
    </row>
    <row r="48" spans="2:8" x14ac:dyDescent="0.2">
      <c r="B48" s="1" t="s">
        <v>5</v>
      </c>
      <c r="C48" s="1">
        <v>2800</v>
      </c>
      <c r="D48" s="1">
        <v>2650</v>
      </c>
      <c r="F48" s="1" t="s">
        <v>124</v>
      </c>
      <c r="G48" s="18">
        <f>C30</f>
        <v>-560</v>
      </c>
    </row>
    <row r="49" spans="2:8" x14ac:dyDescent="0.2">
      <c r="B49" s="1" t="s">
        <v>49</v>
      </c>
      <c r="C49" s="1">
        <v>10000</v>
      </c>
      <c r="D49" s="1">
        <v>8500</v>
      </c>
      <c r="F49" s="1" t="s">
        <v>125</v>
      </c>
      <c r="G49" s="18">
        <f>SUM(C27:C28)*22.5%</f>
        <v>6.75</v>
      </c>
    </row>
    <row r="50" spans="2:8" x14ac:dyDescent="0.2">
      <c r="B50" s="32" t="s">
        <v>50</v>
      </c>
      <c r="C50" s="12">
        <f>SUM(C47:C49)</f>
        <v>16500</v>
      </c>
      <c r="D50" s="12">
        <f>SUM(D47:D49)</f>
        <v>14550</v>
      </c>
      <c r="F50" s="1" t="s">
        <v>126</v>
      </c>
      <c r="G50" s="18">
        <f>-G55</f>
        <v>-11.25</v>
      </c>
      <c r="H50" s="18">
        <f>SUM(G48:G50)</f>
        <v>-564.5</v>
      </c>
    </row>
    <row r="51" spans="2:8" x14ac:dyDescent="0.2">
      <c r="B51" s="32" t="s">
        <v>51</v>
      </c>
      <c r="C51" s="35">
        <f>C45+C50</f>
        <v>26170</v>
      </c>
      <c r="D51" s="35">
        <f>D45+D50</f>
        <v>24625</v>
      </c>
      <c r="F51" s="2" t="s">
        <v>127</v>
      </c>
      <c r="G51" s="2"/>
      <c r="H51" s="19">
        <f>SUM(H46:H50)</f>
        <v>1775.5</v>
      </c>
    </row>
    <row r="53" spans="2:8" x14ac:dyDescent="0.2">
      <c r="F53" s="2" t="s">
        <v>128</v>
      </c>
    </row>
    <row r="54" spans="2:8" x14ac:dyDescent="0.2">
      <c r="B54" s="1" t="s">
        <v>52</v>
      </c>
      <c r="C54" s="24">
        <v>300</v>
      </c>
      <c r="D54" s="24">
        <v>300</v>
      </c>
      <c r="F54" s="1" t="s">
        <v>37</v>
      </c>
      <c r="G54" s="18">
        <f>C25</f>
        <v>-50</v>
      </c>
    </row>
    <row r="55" spans="2:8" x14ac:dyDescent="0.2">
      <c r="B55" s="1" t="s">
        <v>53</v>
      </c>
      <c r="C55" s="24">
        <v>100</v>
      </c>
      <c r="D55" s="24">
        <v>100</v>
      </c>
      <c r="F55" s="1" t="s">
        <v>133</v>
      </c>
      <c r="G55" s="18">
        <f>G54*22.5%*(-1)</f>
        <v>11.25</v>
      </c>
      <c r="H55" s="18">
        <f>SUM(G54:G55)</f>
        <v>-38.75</v>
      </c>
    </row>
    <row r="56" spans="2:8" x14ac:dyDescent="0.2">
      <c r="B56" s="1" t="s">
        <v>25</v>
      </c>
      <c r="C56" s="24">
        <v>11810</v>
      </c>
      <c r="D56" s="24">
        <v>10450</v>
      </c>
      <c r="F56" s="1" t="s">
        <v>87</v>
      </c>
      <c r="H56" s="1">
        <f>C35</f>
        <v>15</v>
      </c>
    </row>
    <row r="57" spans="2:8" x14ac:dyDescent="0.2">
      <c r="B57" s="1" t="s">
        <v>54</v>
      </c>
      <c r="C57" s="24">
        <v>65</v>
      </c>
      <c r="D57" s="24">
        <v>50</v>
      </c>
      <c r="F57" s="2" t="s">
        <v>129</v>
      </c>
      <c r="H57" s="18">
        <f>SUM(H51:H56)</f>
        <v>1751.75</v>
      </c>
    </row>
    <row r="58" spans="2:8" x14ac:dyDescent="0.2">
      <c r="B58" s="32" t="s">
        <v>55</v>
      </c>
      <c r="C58" s="11">
        <f>SUM(C54:C57)</f>
        <v>12275</v>
      </c>
      <c r="D58" s="11">
        <f>SUM(D54:D57)</f>
        <v>10900</v>
      </c>
    </row>
    <row r="59" spans="2:8" x14ac:dyDescent="0.2">
      <c r="C59" s="24"/>
      <c r="D59" s="24"/>
      <c r="F59" s="1" t="s">
        <v>130</v>
      </c>
      <c r="G59" s="18">
        <f>C27</f>
        <v>65</v>
      </c>
    </row>
    <row r="60" spans="2:8" x14ac:dyDescent="0.2">
      <c r="B60" s="1" t="s">
        <v>56</v>
      </c>
      <c r="C60" s="24">
        <v>320</v>
      </c>
      <c r="D60" s="24">
        <v>280</v>
      </c>
      <c r="F60" s="1" t="s">
        <v>39</v>
      </c>
      <c r="G60" s="18">
        <f>C28</f>
        <v>-35</v>
      </c>
      <c r="H60" s="18">
        <f>SUM(G59:G60)</f>
        <v>30</v>
      </c>
    </row>
    <row r="61" spans="2:8" x14ac:dyDescent="0.2">
      <c r="B61" s="1" t="s">
        <v>57</v>
      </c>
      <c r="C61" s="24">
        <v>8760</v>
      </c>
      <c r="D61" s="24">
        <v>9900</v>
      </c>
      <c r="F61" s="1" t="s">
        <v>131</v>
      </c>
      <c r="H61" s="1">
        <f>-H60*22.5%</f>
        <v>-6.75</v>
      </c>
    </row>
    <row r="62" spans="2:8" x14ac:dyDescent="0.2">
      <c r="B62" s="1" t="s">
        <v>58</v>
      </c>
      <c r="C62" s="24">
        <v>2300</v>
      </c>
      <c r="D62" s="24">
        <v>2010</v>
      </c>
      <c r="F62" s="1" t="s">
        <v>134</v>
      </c>
      <c r="H62" s="1">
        <v>-50</v>
      </c>
    </row>
    <row r="63" spans="2:8" x14ac:dyDescent="0.2">
      <c r="B63" s="32" t="s">
        <v>59</v>
      </c>
      <c r="C63" s="11">
        <f>SUM(C60:C62)</f>
        <v>11380</v>
      </c>
      <c r="D63" s="11">
        <f>SUM(D60:D62)</f>
        <v>12190</v>
      </c>
      <c r="F63" s="2" t="s">
        <v>132</v>
      </c>
      <c r="H63" s="18">
        <f>SUM(H60:H62)</f>
        <v>-26.75</v>
      </c>
    </row>
    <row r="64" spans="2:8" x14ac:dyDescent="0.2">
      <c r="C64" s="24"/>
      <c r="D64" s="24"/>
    </row>
    <row r="65" spans="2:8" x14ac:dyDescent="0.2">
      <c r="B65" s="1" t="s">
        <v>57</v>
      </c>
      <c r="C65" s="24">
        <v>120</v>
      </c>
      <c r="D65" s="24">
        <v>110</v>
      </c>
      <c r="F65" s="1" t="s">
        <v>27</v>
      </c>
      <c r="H65" s="18">
        <f>H63+H57</f>
        <v>1725</v>
      </c>
    </row>
    <row r="66" spans="2:8" x14ac:dyDescent="0.2">
      <c r="B66" s="1" t="s">
        <v>58</v>
      </c>
      <c r="C66" s="24">
        <v>45</v>
      </c>
      <c r="D66" s="24">
        <v>61</v>
      </c>
    </row>
    <row r="67" spans="2:8" x14ac:dyDescent="0.2">
      <c r="B67" s="1" t="s">
        <v>6</v>
      </c>
      <c r="C67" s="24">
        <v>2230</v>
      </c>
      <c r="D67" s="24">
        <v>1234</v>
      </c>
    </row>
    <row r="68" spans="2:8" x14ac:dyDescent="0.2">
      <c r="B68" s="1" t="s">
        <v>60</v>
      </c>
      <c r="C68" s="24">
        <v>120</v>
      </c>
      <c r="D68" s="24">
        <v>130</v>
      </c>
      <c r="F68" s="1" t="s">
        <v>135</v>
      </c>
    </row>
    <row r="69" spans="2:8" x14ac:dyDescent="0.2">
      <c r="B69" s="32" t="s">
        <v>61</v>
      </c>
      <c r="C69" s="12">
        <f>SUM(C65:C68)</f>
        <v>2515</v>
      </c>
      <c r="D69" s="12">
        <f>SUM(D65:D68)</f>
        <v>1535</v>
      </c>
      <c r="F69" s="1" t="s">
        <v>136</v>
      </c>
      <c r="H69" s="18">
        <f>G7</f>
        <v>10900</v>
      </c>
    </row>
    <row r="70" spans="2:8" x14ac:dyDescent="0.2">
      <c r="B70" s="32" t="s">
        <v>62</v>
      </c>
      <c r="C70" s="12">
        <f>C63+C69</f>
        <v>13895</v>
      </c>
      <c r="D70" s="12">
        <f>D63+D69</f>
        <v>13725</v>
      </c>
    </row>
    <row r="71" spans="2:8" x14ac:dyDescent="0.2">
      <c r="B71" s="32" t="s">
        <v>63</v>
      </c>
      <c r="C71" s="12">
        <f>C58+C70</f>
        <v>26170</v>
      </c>
      <c r="D71" s="12">
        <f>D58+D70</f>
        <v>24625</v>
      </c>
      <c r="F71" s="1" t="s">
        <v>17</v>
      </c>
      <c r="H71" s="1">
        <f>-400+50</f>
        <v>-350</v>
      </c>
    </row>
    <row r="72" spans="2:8" x14ac:dyDescent="0.2">
      <c r="C72" s="18"/>
      <c r="D72" s="18"/>
      <c r="F72" s="1" t="s">
        <v>0</v>
      </c>
      <c r="G72" s="18">
        <f>C31</f>
        <v>1760</v>
      </c>
    </row>
    <row r="73" spans="2:8" x14ac:dyDescent="0.2">
      <c r="F73" s="1" t="s">
        <v>137</v>
      </c>
      <c r="G73" s="1">
        <f>C35</f>
        <v>15</v>
      </c>
    </row>
    <row r="74" spans="2:8" ht="18" x14ac:dyDescent="0.2">
      <c r="B74" s="47"/>
      <c r="F74" s="1" t="s">
        <v>138</v>
      </c>
      <c r="G74" s="1">
        <v>-50</v>
      </c>
    </row>
    <row r="75" spans="2:8" x14ac:dyDescent="0.2">
      <c r="B75" s="45"/>
      <c r="C75" s="45"/>
      <c r="D75" s="45"/>
      <c r="E75" s="29"/>
      <c r="F75" s="1" t="s">
        <v>27</v>
      </c>
      <c r="H75" s="18">
        <f>SUM(G72:G74)</f>
        <v>1725</v>
      </c>
    </row>
    <row r="76" spans="2:8" x14ac:dyDescent="0.2">
      <c r="C76" s="18"/>
      <c r="D76" s="18"/>
    </row>
    <row r="77" spans="2:8" x14ac:dyDescent="0.2">
      <c r="B77" s="4"/>
      <c r="C77" s="18"/>
      <c r="D77" s="18"/>
      <c r="F77" s="1" t="s">
        <v>139</v>
      </c>
      <c r="H77" s="18">
        <f>SUM(H69:H76)</f>
        <v>12275</v>
      </c>
    </row>
    <row r="78" spans="2:8" x14ac:dyDescent="0.2">
      <c r="B78" s="4"/>
      <c r="C78" s="18"/>
      <c r="D78" s="18"/>
    </row>
    <row r="79" spans="2:8" x14ac:dyDescent="0.2">
      <c r="B79" s="4"/>
      <c r="C79" s="18"/>
      <c r="D79" s="18"/>
    </row>
    <row r="80" spans="2:8" x14ac:dyDescent="0.2">
      <c r="B80" s="4"/>
      <c r="C80" s="18"/>
      <c r="D80" s="18"/>
    </row>
    <row r="81" spans="2:7" x14ac:dyDescent="0.2">
      <c r="B81" s="4"/>
      <c r="C81" s="18"/>
      <c r="D81" s="18"/>
    </row>
    <row r="82" spans="2:7" x14ac:dyDescent="0.2">
      <c r="B82" s="48"/>
      <c r="C82" s="19"/>
      <c r="D82" s="19"/>
      <c r="E82" s="49"/>
      <c r="F82" s="1" t="s">
        <v>140</v>
      </c>
      <c r="G82" s="1">
        <f>H65/AVERAGE(G35:H35)</f>
        <v>0.15016322089227421</v>
      </c>
    </row>
    <row r="83" spans="2:7" x14ac:dyDescent="0.2">
      <c r="F83" s="1" t="s">
        <v>141</v>
      </c>
      <c r="G83" s="1">
        <f>H57/AVERAGE(G27:H27)</f>
        <v>0.12520996390407776</v>
      </c>
    </row>
    <row r="84" spans="2:7" x14ac:dyDescent="0.2">
      <c r="F84" s="1" t="s">
        <v>142</v>
      </c>
      <c r="G84" s="1" cm="1">
        <f t="array" ref="G84">AVERAGE(G33:H33/AVERAGE(G35:H35))</f>
        <v>0.21788900979325354</v>
      </c>
    </row>
    <row r="85" spans="2:7" x14ac:dyDescent="0.2">
      <c r="C85" s="18"/>
      <c r="D85" s="18"/>
      <c r="F85" s="1" t="s">
        <v>143</v>
      </c>
      <c r="G85" s="1">
        <f>H63/AVERAGE(G33:H33)</f>
        <v>-1.0687175389532561E-2</v>
      </c>
    </row>
    <row r="86" spans="2:7" x14ac:dyDescent="0.2">
      <c r="C86" s="18"/>
      <c r="D86" s="18"/>
      <c r="F86" s="1" t="s">
        <v>144</v>
      </c>
      <c r="G86" s="1">
        <f>H57/H41</f>
        <v>0.14358606557377049</v>
      </c>
    </row>
    <row r="87" spans="2:7" x14ac:dyDescent="0.2">
      <c r="C87" s="18"/>
      <c r="D87" s="18"/>
      <c r="F87" s="1" t="s">
        <v>145</v>
      </c>
      <c r="G87" s="1">
        <f>H41/AVERAGE(G27:H27)</f>
        <v>0.87202029948893889</v>
      </c>
    </row>
    <row r="88" spans="2:7" x14ac:dyDescent="0.2">
      <c r="C88" s="18"/>
      <c r="D88" s="18"/>
    </row>
    <row r="89" spans="2:7" x14ac:dyDescent="0.2">
      <c r="B89" s="4"/>
      <c r="C89" s="18"/>
      <c r="D89" s="18"/>
    </row>
    <row r="90" spans="2:7" x14ac:dyDescent="0.2">
      <c r="B90" s="48"/>
      <c r="C90" s="19"/>
      <c r="D90" s="19"/>
      <c r="E90" s="49"/>
    </row>
    <row r="91" spans="2:7" x14ac:dyDescent="0.2">
      <c r="E91" s="1" t="s">
        <v>146</v>
      </c>
    </row>
    <row r="92" spans="2:7" x14ac:dyDescent="0.2">
      <c r="B92" s="2"/>
      <c r="C92" s="19"/>
      <c r="D92" s="19"/>
      <c r="E92" s="49"/>
    </row>
    <row r="94" spans="2:7" x14ac:dyDescent="0.2">
      <c r="C94" s="50"/>
    </row>
    <row r="95" spans="2:7" x14ac:dyDescent="0.2">
      <c r="C95" s="50"/>
    </row>
    <row r="97" spans="3:3" x14ac:dyDescent="0.2">
      <c r="C97" s="50"/>
    </row>
    <row r="98" spans="3:3" x14ac:dyDescent="0.2">
      <c r="C98" s="51"/>
    </row>
    <row r="99" spans="3:3" x14ac:dyDescent="0.2">
      <c r="C99" s="50"/>
    </row>
    <row r="100" spans="3:3" x14ac:dyDescent="0.2">
      <c r="C100" s="50"/>
    </row>
    <row r="101" spans="3:3" x14ac:dyDescent="0.2">
      <c r="C101" s="42"/>
    </row>
    <row r="102" spans="3:3" x14ac:dyDescent="0.2">
      <c r="C102" s="52"/>
    </row>
    <row r="113" s="1" customFormat="1" x14ac:dyDescent="0.2"/>
    <row r="114" s="1" customFormat="1" x14ac:dyDescent="0.2"/>
    <row r="115" s="1" customFormat="1" x14ac:dyDescent="0.2"/>
    <row r="116" s="1" customFormat="1" x14ac:dyDescent="0.2"/>
    <row r="117" s="1" customFormat="1" x14ac:dyDescent="0.2"/>
    <row r="118" s="1" customFormat="1" x14ac:dyDescent="0.2"/>
    <row r="119" s="1" customFormat="1" x14ac:dyDescent="0.2"/>
    <row r="120" s="1" customFormat="1" x14ac:dyDescent="0.2"/>
    <row r="121" s="1" customFormat="1" x14ac:dyDescent="0.2"/>
    <row r="122" s="1" customFormat="1" x14ac:dyDescent="0.2"/>
    <row r="123" s="1" customFormat="1" x14ac:dyDescent="0.2"/>
    <row r="124" s="1" customFormat="1" x14ac:dyDescent="0.2"/>
    <row r="125" s="1" customFormat="1" x14ac:dyDescent="0.2"/>
    <row r="126" s="1" customFormat="1" x14ac:dyDescent="0.2"/>
    <row r="127" s="1" customFormat="1" x14ac:dyDescent="0.2"/>
    <row r="128" s="1" customFormat="1" x14ac:dyDescent="0.2"/>
    <row r="129" s="1" customFormat="1" x14ac:dyDescent="0.2"/>
    <row r="130" s="1" customFormat="1" x14ac:dyDescent="0.2"/>
    <row r="131" s="1" customFormat="1" x14ac:dyDescent="0.2"/>
    <row r="132" s="1" customFormat="1" x14ac:dyDescent="0.2"/>
    <row r="133" s="1" customFormat="1" x14ac:dyDescent="0.2"/>
    <row r="134" s="1" customFormat="1" x14ac:dyDescent="0.2"/>
    <row r="135" s="1" customFormat="1" x14ac:dyDescent="0.2"/>
    <row r="136" s="1" customFormat="1" x14ac:dyDescent="0.2"/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J51"/>
  <sheetViews>
    <sheetView tabSelected="1" topLeftCell="A5" workbookViewId="0">
      <selection activeCell="C36" sqref="C36"/>
    </sheetView>
  </sheetViews>
  <sheetFormatPr baseColWidth="10" defaultColWidth="8.6640625" defaultRowHeight="16" x14ac:dyDescent="0.2"/>
  <cols>
    <col min="1" max="1" width="8.6640625" style="1"/>
    <col min="2" max="2" width="20.6640625" style="1" customWidth="1"/>
    <col min="3" max="3" width="26.1640625" style="1" customWidth="1"/>
    <col min="4" max="8" width="11" style="1" bestFit="1" customWidth="1"/>
    <col min="9" max="9" width="9.5" style="1" customWidth="1"/>
    <col min="10" max="16384" width="8.6640625" style="1"/>
  </cols>
  <sheetData>
    <row r="1" spans="2:10" x14ac:dyDescent="0.2">
      <c r="I1" s="7"/>
    </row>
    <row r="2" spans="2:10" x14ac:dyDescent="0.2">
      <c r="C2" s="31"/>
      <c r="D2" s="53" t="s">
        <v>78</v>
      </c>
      <c r="E2" s="53"/>
      <c r="F2" s="53"/>
      <c r="G2" s="53"/>
      <c r="H2" s="53"/>
      <c r="I2" s="40" t="s">
        <v>80</v>
      </c>
    </row>
    <row r="3" spans="2:10" x14ac:dyDescent="0.2">
      <c r="C3" s="31"/>
      <c r="D3" s="38" t="s">
        <v>73</v>
      </c>
      <c r="E3" s="38" t="s">
        <v>74</v>
      </c>
      <c r="F3" s="38" t="s">
        <v>75</v>
      </c>
      <c r="G3" s="38" t="s">
        <v>76</v>
      </c>
      <c r="H3" s="38" t="s">
        <v>77</v>
      </c>
      <c r="I3" s="41" t="s">
        <v>79</v>
      </c>
    </row>
    <row r="4" spans="2:10" x14ac:dyDescent="0.2">
      <c r="C4" s="1" t="s">
        <v>70</v>
      </c>
      <c r="D4" s="36">
        <v>0.04</v>
      </c>
      <c r="E4" s="36">
        <v>0.04</v>
      </c>
      <c r="F4" s="36">
        <v>0.03</v>
      </c>
      <c r="G4" s="36">
        <v>0.03</v>
      </c>
      <c r="H4" s="36">
        <v>0.02</v>
      </c>
      <c r="I4" s="39">
        <v>0.02</v>
      </c>
    </row>
    <row r="5" spans="2:10" x14ac:dyDescent="0.2">
      <c r="C5" s="1" t="s">
        <v>81</v>
      </c>
      <c r="D5" s="36">
        <v>0.2</v>
      </c>
      <c r="E5" s="36">
        <v>0.22</v>
      </c>
      <c r="F5" s="36">
        <v>0.2</v>
      </c>
      <c r="G5" s="36">
        <v>0.18</v>
      </c>
      <c r="H5" s="36">
        <v>0.18</v>
      </c>
      <c r="I5" s="39">
        <v>0.18</v>
      </c>
    </row>
    <row r="6" spans="2:10" x14ac:dyDescent="0.2">
      <c r="C6" s="1" t="s">
        <v>71</v>
      </c>
      <c r="D6" s="36">
        <v>0.24</v>
      </c>
      <c r="E6" s="36">
        <v>0.24</v>
      </c>
      <c r="F6" s="36">
        <v>0.24</v>
      </c>
      <c r="G6" s="36">
        <v>0.24</v>
      </c>
      <c r="H6" s="36">
        <v>0.24</v>
      </c>
      <c r="I6" s="36">
        <v>0.24</v>
      </c>
    </row>
    <row r="7" spans="2:10" x14ac:dyDescent="0.2">
      <c r="C7" s="7" t="s">
        <v>72</v>
      </c>
      <c r="D7" s="43" t="s">
        <v>82</v>
      </c>
      <c r="E7" s="7">
        <v>1.2</v>
      </c>
      <c r="F7" s="7">
        <v>1.2</v>
      </c>
      <c r="G7" s="7">
        <v>1.5</v>
      </c>
      <c r="H7" s="7">
        <v>1.5</v>
      </c>
      <c r="I7" s="7">
        <v>1.5</v>
      </c>
    </row>
    <row r="8" spans="2:10" x14ac:dyDescent="0.2">
      <c r="C8" s="37" t="s">
        <v>83</v>
      </c>
    </row>
    <row r="9" spans="2:10" x14ac:dyDescent="0.2">
      <c r="C9" s="46"/>
      <c r="D9" s="46"/>
      <c r="E9" s="46"/>
      <c r="F9" s="46"/>
      <c r="G9" s="46"/>
      <c r="H9" s="46"/>
    </row>
    <row r="10" spans="2:10" x14ac:dyDescent="0.2">
      <c r="B10" s="2"/>
      <c r="I10" s="1" t="s">
        <v>148</v>
      </c>
      <c r="J10" s="1">
        <v>0.06</v>
      </c>
    </row>
    <row r="11" spans="2:10" x14ac:dyDescent="0.2">
      <c r="B11" s="34"/>
      <c r="I11" s="1" t="s">
        <v>154</v>
      </c>
      <c r="J11" s="1">
        <v>0.02</v>
      </c>
    </row>
    <row r="12" spans="2:10" x14ac:dyDescent="0.2">
      <c r="C12" s="24"/>
      <c r="D12" s="24">
        <v>1</v>
      </c>
      <c r="E12" s="24">
        <f>D12+1</f>
        <v>2</v>
      </c>
      <c r="F12" s="24">
        <f t="shared" ref="F12:H12" si="0">E12+1</f>
        <v>3</v>
      </c>
      <c r="G12" s="24">
        <f t="shared" si="0"/>
        <v>4</v>
      </c>
      <c r="H12" s="24">
        <f t="shared" si="0"/>
        <v>5</v>
      </c>
      <c r="I12" s="24"/>
      <c r="J12" s="24"/>
    </row>
    <row r="13" spans="2:10" x14ac:dyDescent="0.2">
      <c r="C13" s="24"/>
      <c r="D13" s="24" t="str">
        <f>D3</f>
        <v>2020E</v>
      </c>
      <c r="E13" s="24" t="str">
        <f t="shared" ref="E13:H13" si="1">E3</f>
        <v>2021E</v>
      </c>
      <c r="F13" s="24" t="str">
        <f t="shared" si="1"/>
        <v>2022E</v>
      </c>
      <c r="G13" s="24" t="str">
        <f t="shared" si="1"/>
        <v>2023E</v>
      </c>
      <c r="H13" s="24" t="str">
        <f t="shared" si="1"/>
        <v>2024E</v>
      </c>
      <c r="I13" s="24"/>
      <c r="J13" s="24"/>
    </row>
    <row r="14" spans="2:10" x14ac:dyDescent="0.2">
      <c r="C14" s="24" t="s">
        <v>30</v>
      </c>
      <c r="D14" s="24">
        <f>'Opgave 3'!H41*(1+'Opave 4'!D4)</f>
        <v>12688</v>
      </c>
      <c r="E14" s="24">
        <f>D14*(1+E4)</f>
        <v>13195.52</v>
      </c>
      <c r="F14" s="24">
        <f t="shared" ref="F14:H14" si="2">E14*(1+F4)</f>
        <v>13591.385600000001</v>
      </c>
      <c r="G14" s="24">
        <f t="shared" si="2"/>
        <v>13999.127168000003</v>
      </c>
      <c r="H14" s="24">
        <f t="shared" si="2"/>
        <v>14279.109711360003</v>
      </c>
      <c r="I14" s="24"/>
      <c r="J14" s="24"/>
    </row>
    <row r="15" spans="2:10" x14ac:dyDescent="0.2">
      <c r="C15" s="1" t="s">
        <v>150</v>
      </c>
      <c r="D15" s="24">
        <f>D14*D5</f>
        <v>2537.6000000000004</v>
      </c>
      <c r="E15" s="24">
        <f t="shared" ref="E15:H15" si="3">E14*E5</f>
        <v>2903.0144</v>
      </c>
      <c r="F15" s="24">
        <f t="shared" si="3"/>
        <v>2718.2771200000007</v>
      </c>
      <c r="G15" s="24">
        <f t="shared" si="3"/>
        <v>2519.8428902400005</v>
      </c>
      <c r="H15" s="24">
        <f t="shared" si="3"/>
        <v>2570.2397480448003</v>
      </c>
      <c r="J15" s="24" t="s">
        <v>149</v>
      </c>
    </row>
    <row r="16" spans="2:10" x14ac:dyDescent="0.2">
      <c r="C16" s="24" t="s">
        <v>133</v>
      </c>
      <c r="D16" s="24">
        <f>D15*D6</f>
        <v>609.02400000000011</v>
      </c>
      <c r="E16" s="24">
        <f t="shared" ref="E16:H16" si="4">E15*E6</f>
        <v>696.72345599999994</v>
      </c>
      <c r="F16" s="24">
        <f t="shared" si="4"/>
        <v>652.38650880000012</v>
      </c>
      <c r="G16" s="24">
        <f t="shared" si="4"/>
        <v>604.76229365760014</v>
      </c>
      <c r="H16" s="24">
        <f t="shared" si="4"/>
        <v>616.85753953075209</v>
      </c>
      <c r="I16" s="24"/>
      <c r="J16" s="24"/>
    </row>
    <row r="17" spans="2:10" x14ac:dyDescent="0.2">
      <c r="B17" s="34"/>
      <c r="C17" s="1" t="s">
        <v>151</v>
      </c>
      <c r="D17" s="24">
        <f>D15-D16</f>
        <v>1928.5760000000002</v>
      </c>
      <c r="E17" s="24">
        <f t="shared" ref="E17:H17" si="5">E15-E16</f>
        <v>2206.2909440000003</v>
      </c>
      <c r="F17" s="24">
        <f t="shared" si="5"/>
        <v>2065.8906112000004</v>
      </c>
      <c r="G17" s="24">
        <f t="shared" si="5"/>
        <v>1915.0805965824004</v>
      </c>
      <c r="H17" s="24">
        <f t="shared" si="5"/>
        <v>1953.3822085140482</v>
      </c>
      <c r="I17" s="24"/>
      <c r="J17" s="24"/>
    </row>
    <row r="18" spans="2:10" x14ac:dyDescent="0.2">
      <c r="D18" s="24"/>
      <c r="E18" s="24"/>
      <c r="F18" s="24"/>
      <c r="G18" s="24"/>
      <c r="H18" s="24"/>
      <c r="I18" s="24"/>
      <c r="J18" s="24"/>
    </row>
    <row r="19" spans="2:10" x14ac:dyDescent="0.2">
      <c r="D19" s="24"/>
      <c r="E19" s="24"/>
      <c r="F19" s="24"/>
      <c r="G19" s="24"/>
      <c r="H19" s="24"/>
      <c r="I19" s="24"/>
      <c r="J19" s="24"/>
    </row>
    <row r="20" spans="2:10" x14ac:dyDescent="0.2">
      <c r="C20" s="1" t="s">
        <v>147</v>
      </c>
      <c r="D20" s="24">
        <f>'Opgave 3'!G27</f>
        <v>13500</v>
      </c>
      <c r="E20" s="24">
        <f>E14*E7</f>
        <v>15834.624</v>
      </c>
      <c r="F20" s="24">
        <f t="shared" ref="F20:H20" si="6">F14*F7</f>
        <v>16309.66272</v>
      </c>
      <c r="G20" s="24">
        <f t="shared" si="6"/>
        <v>20998.690752000002</v>
      </c>
      <c r="H20" s="24">
        <f t="shared" si="6"/>
        <v>21418.664567040003</v>
      </c>
      <c r="I20" s="24"/>
      <c r="J20" s="24"/>
    </row>
    <row r="21" spans="2:10" x14ac:dyDescent="0.2">
      <c r="C21" s="1" t="s">
        <v>152</v>
      </c>
      <c r="D21" s="24">
        <f>'Opgave 3'!G33</f>
        <v>1325</v>
      </c>
      <c r="E21" s="24"/>
      <c r="F21" s="24"/>
      <c r="G21" s="24"/>
      <c r="H21" s="24"/>
      <c r="I21" s="24"/>
      <c r="J21" s="24"/>
    </row>
    <row r="22" spans="2:10" x14ac:dyDescent="0.2">
      <c r="C22" s="1" t="s">
        <v>153</v>
      </c>
      <c r="D22" s="24">
        <f>'Opgave 3'!G35</f>
        <v>12175</v>
      </c>
      <c r="E22" s="24"/>
      <c r="F22" s="24"/>
      <c r="G22" s="24"/>
      <c r="H22" s="24"/>
      <c r="I22" s="24"/>
      <c r="J22" s="24"/>
    </row>
    <row r="23" spans="2:10" x14ac:dyDescent="0.2">
      <c r="C23" s="46"/>
      <c r="D23" s="55"/>
      <c r="E23" s="55"/>
      <c r="F23" s="55"/>
      <c r="G23" s="55"/>
      <c r="H23" s="55"/>
      <c r="I23" s="24"/>
      <c r="J23" s="24"/>
    </row>
    <row r="24" spans="2:10" x14ac:dyDescent="0.2">
      <c r="C24" s="1" t="s">
        <v>155</v>
      </c>
      <c r="D24" s="24">
        <f>D17-$J$10*D20</f>
        <v>1118.5760000000002</v>
      </c>
      <c r="E24" s="24">
        <f t="shared" ref="E24:H24" si="7">E17-$J$10*E20</f>
        <v>1256.2135040000003</v>
      </c>
      <c r="F24" s="24">
        <f t="shared" si="7"/>
        <v>1087.3108480000005</v>
      </c>
      <c r="G24" s="24">
        <f t="shared" si="7"/>
        <v>655.15915146240036</v>
      </c>
      <c r="H24" s="24">
        <f t="shared" si="7"/>
        <v>668.26233449164806</v>
      </c>
      <c r="I24" s="24"/>
      <c r="J24" s="24"/>
    </row>
    <row r="25" spans="2:10" x14ac:dyDescent="0.2">
      <c r="C25" s="1" t="s">
        <v>156</v>
      </c>
      <c r="D25" s="44">
        <f>(1+$J$10)^D12</f>
        <v>1.06</v>
      </c>
      <c r="E25" s="44">
        <f t="shared" ref="E25:H25" si="8">(1+$J$10)^E12</f>
        <v>1.1236000000000002</v>
      </c>
      <c r="F25" s="44">
        <f t="shared" si="8"/>
        <v>1.1910160000000003</v>
      </c>
      <c r="G25" s="44">
        <f t="shared" si="8"/>
        <v>1.2624769600000003</v>
      </c>
      <c r="H25" s="44">
        <f t="shared" si="8"/>
        <v>1.3382255776000005</v>
      </c>
      <c r="I25" s="24"/>
      <c r="J25" s="24"/>
    </row>
    <row r="26" spans="2:10" x14ac:dyDescent="0.2">
      <c r="C26" s="1" t="s">
        <v>157</v>
      </c>
      <c r="D26" s="56">
        <f>D24/D25</f>
        <v>1055.2603773584908</v>
      </c>
      <c r="E26" s="56">
        <f t="shared" ref="E26:H26" si="9">E24/E25</f>
        <v>1118.0255464578142</v>
      </c>
      <c r="F26" s="56">
        <f t="shared" si="9"/>
        <v>912.92715463100433</v>
      </c>
      <c r="G26" s="56">
        <f t="shared" si="9"/>
        <v>518.94741228576572</v>
      </c>
      <c r="H26" s="56">
        <f t="shared" si="9"/>
        <v>499.3644910674347</v>
      </c>
      <c r="I26" s="24"/>
      <c r="J26" s="24"/>
    </row>
    <row r="27" spans="2:10" x14ac:dyDescent="0.2">
      <c r="C27" s="1" t="s">
        <v>158</v>
      </c>
      <c r="D27" s="1">
        <f>SUM(D26:H26)</f>
        <v>4104.5249818005095</v>
      </c>
    </row>
    <row r="28" spans="2:10" x14ac:dyDescent="0.2">
      <c r="C28" s="1" t="s">
        <v>159</v>
      </c>
      <c r="H28" s="24">
        <f>H24*(1+J11)/(J10-J11)</f>
        <v>17040.689529537027</v>
      </c>
    </row>
    <row r="29" spans="2:10" x14ac:dyDescent="0.2">
      <c r="C29" s="1" t="s">
        <v>160</v>
      </c>
      <c r="D29" s="1">
        <f>H28/H25</f>
        <v>12733.794522219585</v>
      </c>
    </row>
    <row r="30" spans="2:10" x14ac:dyDescent="0.2">
      <c r="C30" s="1" t="s">
        <v>161</v>
      </c>
      <c r="D30" s="18">
        <f>D27+D29+D20</f>
        <v>30338.319504020095</v>
      </c>
    </row>
    <row r="31" spans="2:10" x14ac:dyDescent="0.2">
      <c r="C31" s="1" t="s">
        <v>152</v>
      </c>
      <c r="D31" s="18">
        <f>D21</f>
        <v>1325</v>
      </c>
    </row>
    <row r="32" spans="2:10" x14ac:dyDescent="0.2">
      <c r="C32" s="1" t="s">
        <v>162</v>
      </c>
      <c r="D32" s="18">
        <f>D30-D31</f>
        <v>29013.319504020095</v>
      </c>
    </row>
    <row r="33" spans="2:9" x14ac:dyDescent="0.2">
      <c r="C33" s="1" t="s">
        <v>164</v>
      </c>
      <c r="D33" s="1">
        <f>3000000/1000</f>
        <v>3000</v>
      </c>
    </row>
    <row r="34" spans="2:9" x14ac:dyDescent="0.2">
      <c r="B34" s="2"/>
      <c r="C34" s="2" t="s">
        <v>163</v>
      </c>
      <c r="D34" s="57">
        <f>D32/D33</f>
        <v>9.6711065013400326</v>
      </c>
    </row>
    <row r="35" spans="2:9" x14ac:dyDescent="0.2">
      <c r="C35" s="18"/>
    </row>
    <row r="36" spans="2:9" x14ac:dyDescent="0.2">
      <c r="C36" s="18" t="s">
        <v>165</v>
      </c>
    </row>
    <row r="37" spans="2:9" x14ac:dyDescent="0.2">
      <c r="C37" s="42"/>
    </row>
    <row r="38" spans="2:9" x14ac:dyDescent="0.2">
      <c r="C38" s="18"/>
    </row>
    <row r="39" spans="2:9" x14ac:dyDescent="0.2">
      <c r="C39" s="18"/>
    </row>
    <row r="40" spans="2:9" x14ac:dyDescent="0.2">
      <c r="C40" s="18"/>
    </row>
    <row r="41" spans="2:9" x14ac:dyDescent="0.2">
      <c r="C41" s="18"/>
      <c r="D41" s="18"/>
      <c r="E41" s="18"/>
      <c r="F41" s="18"/>
      <c r="G41" s="18"/>
      <c r="H41" s="18"/>
      <c r="I41" s="18"/>
    </row>
    <row r="42" spans="2:9" x14ac:dyDescent="0.2">
      <c r="C42" s="18"/>
      <c r="D42" s="18"/>
      <c r="E42" s="18"/>
      <c r="F42" s="18"/>
      <c r="G42" s="18"/>
      <c r="H42" s="18"/>
      <c r="I42" s="18"/>
    </row>
    <row r="43" spans="2:9" x14ac:dyDescent="0.2">
      <c r="C43" s="18"/>
      <c r="D43" s="18"/>
      <c r="E43" s="18"/>
      <c r="F43" s="18"/>
      <c r="G43" s="18"/>
      <c r="H43" s="18"/>
    </row>
    <row r="44" spans="2:9" x14ac:dyDescent="0.2">
      <c r="C44" s="18"/>
    </row>
    <row r="46" spans="2:9" x14ac:dyDescent="0.2">
      <c r="H46" s="18"/>
    </row>
    <row r="48" spans="2:9" x14ac:dyDescent="0.2">
      <c r="C48" s="18"/>
    </row>
    <row r="51" spans="5:9" x14ac:dyDescent="0.2">
      <c r="E51" s="36"/>
      <c r="F51" s="36"/>
      <c r="G51" s="36"/>
      <c r="H51" s="36"/>
      <c r="I51" s="36"/>
    </row>
  </sheetData>
  <mergeCells count="1">
    <mergeCell ref="D2:H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Opgave 1</vt:lpstr>
      <vt:lpstr>Opgave 2</vt:lpstr>
      <vt:lpstr>Opgave 3</vt:lpstr>
      <vt:lpstr>Opave 4</vt:lpstr>
    </vt:vector>
  </TitlesOfParts>
  <Company>CBS - Copenhagen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 Vagn Sørensen</dc:creator>
  <cp:lastModifiedBy>Jeppe Vanderhaegen</cp:lastModifiedBy>
  <cp:lastPrinted>2020-04-15T09:21:12Z</cp:lastPrinted>
  <dcterms:created xsi:type="dcterms:W3CDTF">2020-02-26T13:02:26Z</dcterms:created>
  <dcterms:modified xsi:type="dcterms:W3CDTF">2024-06-16T16:04:55Z</dcterms:modified>
</cp:coreProperties>
</file>