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vander/Library/Mobile Documents/com~apple~CloudDocs/Documents/#University/8. Sem/Regnskab/"/>
    </mc:Choice>
  </mc:AlternateContent>
  <xr:revisionPtr revIDLastSave="0" documentId="13_ncr:1_{A724F039-31F6-634A-B167-31AE681E2763}" xr6:coauthVersionLast="47" xr6:coauthVersionMax="47" xr10:uidLastSave="{00000000-0000-0000-0000-000000000000}"/>
  <bookViews>
    <workbookView xWindow="1260" yWindow="520" windowWidth="19540" windowHeight="15700" activeTab="1" xr2:uid="{00000000-000D-0000-FFFF-FFFF00000000}"/>
  </bookViews>
  <sheets>
    <sheet name="Opgave 1" sheetId="5" r:id="rId1"/>
    <sheet name="Opgave 2" sheetId="1" r:id="rId2"/>
    <sheet name="Opgave 3a" sheetId="2" r:id="rId3"/>
    <sheet name="Opgave 3b" sheetId="3" r:id="rId4"/>
    <sheet name="Opgave 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C24" i="4"/>
  <c r="C30" i="4"/>
  <c r="H28" i="4" l="1"/>
  <c r="C33" i="4" l="1"/>
  <c r="C32" i="4"/>
  <c r="C31" i="4"/>
  <c r="D26" i="4"/>
  <c r="E26" i="4"/>
  <c r="F26" i="4"/>
  <c r="G26" i="4"/>
  <c r="C27" i="4" s="1"/>
  <c r="H26" i="4"/>
  <c r="C29" i="4"/>
  <c r="C26" i="4"/>
  <c r="D25" i="4"/>
  <c r="E25" i="4"/>
  <c r="F25" i="4"/>
  <c r="G25" i="4"/>
  <c r="H25" i="4"/>
  <c r="C25" i="4"/>
  <c r="G24" i="4"/>
  <c r="F24" i="4"/>
  <c r="E24" i="4"/>
  <c r="D24" i="4"/>
  <c r="H24" i="4"/>
  <c r="E20" i="4"/>
  <c r="F20" i="4"/>
  <c r="G20" i="4"/>
  <c r="H20" i="4"/>
  <c r="D20" i="4"/>
  <c r="C20" i="4"/>
  <c r="D18" i="4"/>
  <c r="E18" i="4"/>
  <c r="F18" i="4"/>
  <c r="G18" i="4"/>
  <c r="H18" i="4"/>
  <c r="C18" i="4"/>
  <c r="D17" i="4"/>
  <c r="E17" i="4"/>
  <c r="F17" i="4"/>
  <c r="G17" i="4"/>
  <c r="H17" i="4"/>
  <c r="C17" i="4"/>
  <c r="D16" i="4"/>
  <c r="E16" i="4"/>
  <c r="F16" i="4"/>
  <c r="G16" i="4"/>
  <c r="H16" i="4"/>
  <c r="C16" i="4"/>
  <c r="D15" i="4"/>
  <c r="E15" i="4"/>
  <c r="F15" i="4"/>
  <c r="G15" i="4"/>
  <c r="H15" i="4"/>
  <c r="C15" i="4"/>
  <c r="D14" i="4"/>
  <c r="E14" i="4"/>
  <c r="F14" i="4"/>
  <c r="G14" i="4"/>
  <c r="H14" i="4"/>
  <c r="C14" i="4"/>
  <c r="E13" i="4"/>
  <c r="F13" i="4" s="1"/>
  <c r="G13" i="4" s="1"/>
  <c r="H13" i="4" s="1"/>
  <c r="D13" i="4"/>
  <c r="C13" i="4"/>
  <c r="D11" i="4"/>
  <c r="E11" i="4"/>
  <c r="F11" i="4"/>
  <c r="G11" i="4"/>
  <c r="H11" i="4"/>
  <c r="C11" i="4"/>
  <c r="E12" i="4"/>
  <c r="F12" i="4" s="1"/>
  <c r="G12" i="4" s="1"/>
  <c r="H12" i="4" s="1"/>
  <c r="D12" i="4"/>
  <c r="D9" i="3"/>
  <c r="D8" i="3"/>
  <c r="D6" i="3"/>
  <c r="D5" i="3"/>
  <c r="D4" i="3"/>
  <c r="I60" i="2"/>
  <c r="I58" i="2"/>
  <c r="H58" i="2"/>
  <c r="H57" i="2"/>
  <c r="H56" i="2"/>
  <c r="H55" i="2"/>
  <c r="H54" i="2"/>
  <c r="H53" i="2"/>
  <c r="I50" i="2"/>
  <c r="I43" i="2"/>
  <c r="I48" i="2"/>
  <c r="H48" i="2"/>
  <c r="H47" i="2"/>
  <c r="H46" i="2"/>
  <c r="I42" i="2"/>
  <c r="H42" i="2" a="1"/>
  <c r="H42" i="2" s="1"/>
  <c r="H41" i="2"/>
  <c r="I37" i="2"/>
  <c r="I38" i="2"/>
  <c r="I36" i="2"/>
  <c r="I34" i="2"/>
  <c r="I39" i="2" s="1"/>
  <c r="I33" i="2"/>
  <c r="I32" i="2"/>
  <c r="I25" i="2"/>
  <c r="I23" i="2"/>
  <c r="H23" i="2"/>
  <c r="I20" i="2"/>
  <c r="I21" i="2"/>
  <c r="I22" i="2"/>
  <c r="H22" i="2"/>
  <c r="H21" i="2"/>
  <c r="H20" i="2"/>
  <c r="H19" i="2"/>
  <c r="I19" i="2"/>
  <c r="I18" i="2"/>
  <c r="H18" i="2"/>
  <c r="I11" i="2"/>
  <c r="I12" i="2"/>
  <c r="I13" i="2"/>
  <c r="I16" i="2" s="1"/>
  <c r="I14" i="2"/>
  <c r="I15" i="2"/>
  <c r="H15" i="2"/>
  <c r="H14" i="2"/>
  <c r="H13" i="2"/>
  <c r="H12" i="2"/>
  <c r="H11" i="2"/>
  <c r="H16" i="2"/>
  <c r="H25" i="2" s="1"/>
  <c r="I7" i="2"/>
  <c r="I10" i="2" s="1"/>
  <c r="I9" i="2"/>
  <c r="H9" i="2"/>
  <c r="I8" i="2"/>
  <c r="H8" i="2"/>
  <c r="H7" i="2"/>
  <c r="I5" i="2"/>
  <c r="J25" i="1"/>
  <c r="J24" i="1"/>
  <c r="H24" i="1"/>
  <c r="H23" i="1"/>
  <c r="H22" i="1"/>
  <c r="H21" i="1"/>
  <c r="H20" i="1"/>
  <c r="J17" i="1"/>
  <c r="J14" i="1"/>
  <c r="J12" i="1"/>
  <c r="J10" i="1"/>
  <c r="J8" i="1"/>
  <c r="J7" i="1"/>
  <c r="H7" i="1"/>
  <c r="H6" i="1"/>
  <c r="J4" i="1"/>
  <c r="L9" i="1" l="1"/>
  <c r="M26" i="5" l="1"/>
  <c r="N22" i="5"/>
  <c r="D55" i="2"/>
  <c r="D51" i="2"/>
  <c r="D44" i="2"/>
  <c r="C31" i="2"/>
  <c r="D82" i="2" l="1"/>
  <c r="C82" i="2"/>
  <c r="D76" i="2"/>
  <c r="C76" i="2"/>
  <c r="D71" i="2"/>
  <c r="C71" i="2"/>
  <c r="D63" i="2"/>
  <c r="C63" i="2"/>
  <c r="C55" i="2"/>
  <c r="C51" i="2"/>
  <c r="C44" i="2"/>
  <c r="C8" i="2"/>
  <c r="C13" i="2" s="1"/>
  <c r="C15" i="2" s="1"/>
  <c r="C19" i="2" s="1"/>
  <c r="C22" i="2" s="1"/>
  <c r="C25" i="2" s="1"/>
  <c r="C33" i="2" s="1"/>
  <c r="D57" i="2" l="1"/>
  <c r="D65" i="2" s="1"/>
  <c r="C84" i="2"/>
  <c r="C86" i="2" s="1"/>
  <c r="D84" i="2"/>
  <c r="D86" i="2" s="1"/>
  <c r="C57" i="2"/>
  <c r="C65" i="2" s="1"/>
  <c r="C87" i="2" l="1"/>
  <c r="D87" i="2"/>
  <c r="D5" i="1" l="1"/>
  <c r="D6" i="1"/>
  <c r="D8" i="1"/>
  <c r="D9" i="1"/>
  <c r="D10" i="1"/>
  <c r="D12" i="1"/>
  <c r="D13" i="1"/>
  <c r="D14" i="1"/>
  <c r="D15" i="1"/>
  <c r="D17" i="1"/>
  <c r="D18" i="1"/>
  <c r="D19" i="1"/>
  <c r="D22" i="1"/>
  <c r="D4" i="1"/>
  <c r="C20" i="1" l="1"/>
  <c r="D20" i="1" s="1"/>
  <c r="C16" i="1"/>
  <c r="C7" i="1"/>
  <c r="C11" i="1" l="1"/>
  <c r="D7" i="1"/>
  <c r="D16" i="1"/>
  <c r="C21" i="1" l="1"/>
  <c r="D11" i="1"/>
  <c r="D21" i="1" l="1"/>
  <c r="C23" i="1"/>
  <c r="D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<sst xmlns="http://schemas.openxmlformats.org/spreadsheetml/2006/main" count="246" uniqueCount="212">
  <si>
    <t>Nettoomsætning</t>
  </si>
  <si>
    <t>Produktionsomkostninger</t>
  </si>
  <si>
    <t>Administrationsomkostninger</t>
  </si>
  <si>
    <t>Finansielle indtægter</t>
  </si>
  <si>
    <t>Finansielle omkostninger</t>
  </si>
  <si>
    <t>Resultat før skat</t>
  </si>
  <si>
    <t>Skat af årets resultat</t>
  </si>
  <si>
    <t>Årets resultat</t>
  </si>
  <si>
    <t>Varebeholdninger</t>
  </si>
  <si>
    <t>Periodeafgrænsningsposter</t>
  </si>
  <si>
    <t>Likvide beholdninger</t>
  </si>
  <si>
    <t>Aktiekapital</t>
  </si>
  <si>
    <t>Leverandørgæld</t>
  </si>
  <si>
    <t>Anden gæld</t>
  </si>
  <si>
    <t>Reguleringer</t>
  </si>
  <si>
    <t>t.kr.</t>
  </si>
  <si>
    <t>Langfristede forpligtelser</t>
  </si>
  <si>
    <t>Kortfristede forpligtelser</t>
  </si>
  <si>
    <t>Ændring i driftskapital</t>
  </si>
  <si>
    <t>Pengestrømme fra drift før finansielle poster</t>
  </si>
  <si>
    <t>Renteindbetalinger</t>
  </si>
  <si>
    <t>Renteudbetalinger</t>
  </si>
  <si>
    <t>Betalt skat</t>
  </si>
  <si>
    <t>Pengestrømme fra driftsaktivitet</t>
  </si>
  <si>
    <t>Køb af dattervirksomhed</t>
  </si>
  <si>
    <t>Køb af materielle anlægsaktiver</t>
  </si>
  <si>
    <t>Salg af materielle anlægsaktiver</t>
  </si>
  <si>
    <t>Pengestrømme fra investeringsaktivitet</t>
  </si>
  <si>
    <t>Afdrag på langfristet gæld</t>
  </si>
  <si>
    <t>Provenu ved langfristet lånoptagelse</t>
  </si>
  <si>
    <t>Betalt udbytte</t>
  </si>
  <si>
    <t>Pengestrømme fra finansieringsaktivitet</t>
  </si>
  <si>
    <t>Ændring i likvider</t>
  </si>
  <si>
    <t>Likvider 1. jan.</t>
  </si>
  <si>
    <t>Likvider 31. december</t>
  </si>
  <si>
    <t>Køb af værdipapirer</t>
  </si>
  <si>
    <t>Pengestrømsopgørelse 2021</t>
  </si>
  <si>
    <t>Resultatopgørelse</t>
  </si>
  <si>
    <t>(Beløb i DKK mio.)</t>
  </si>
  <si>
    <t>Note</t>
  </si>
  <si>
    <t>(1)</t>
  </si>
  <si>
    <t>Bruttoresultat</t>
  </si>
  <si>
    <t>Forsknings- og udviklingsomkostninger</t>
  </si>
  <si>
    <t>Distibutionsomkostninger</t>
  </si>
  <si>
    <t>Resultat af primær drift før usædvanlige poster</t>
  </si>
  <si>
    <t>Usædvanlige poster</t>
  </si>
  <si>
    <t>(2)</t>
  </si>
  <si>
    <t>Resultat af primær drift</t>
  </si>
  <si>
    <t>(3)</t>
  </si>
  <si>
    <t>Balancer</t>
  </si>
  <si>
    <t>Aktiver</t>
  </si>
  <si>
    <t>Patenter og licenser</t>
  </si>
  <si>
    <t>Andre immaterielle aktiver</t>
  </si>
  <si>
    <t>Forudbetalinger og aktiver under udførelse</t>
  </si>
  <si>
    <t>Immaterielle aktiver</t>
  </si>
  <si>
    <t>Grunde og bygninger</t>
  </si>
  <si>
    <t>Produktionsanlæg og maskiner</t>
  </si>
  <si>
    <t>Andre anlæg, driftsmateriel og inventar</t>
  </si>
  <si>
    <t>Indretning af lejede lokaler</t>
  </si>
  <si>
    <t>Materielle aktiver</t>
  </si>
  <si>
    <t>Udskudte skatteaktiver</t>
  </si>
  <si>
    <t>Andre langfristede aktiver</t>
  </si>
  <si>
    <t>Langfristede aktiver</t>
  </si>
  <si>
    <t>(4)</t>
  </si>
  <si>
    <t>Tilgodehavender fra salg</t>
  </si>
  <si>
    <t xml:space="preserve">Kortfristede aktiver </t>
  </si>
  <si>
    <t>Passiver</t>
  </si>
  <si>
    <t>Andre reserver</t>
  </si>
  <si>
    <t>Egenkapital</t>
  </si>
  <si>
    <t>Låntagning</t>
  </si>
  <si>
    <t>Udskudte skatteforpligtelser</t>
  </si>
  <si>
    <t>Hensatte forpligtelser</t>
  </si>
  <si>
    <t>Selskabsskat</t>
  </si>
  <si>
    <t>Forpligtelser</t>
  </si>
  <si>
    <t>Koncerngoodwill</t>
  </si>
  <si>
    <t>Udvalgte noter</t>
  </si>
  <si>
    <t>Totalindkomstopgørelse</t>
  </si>
  <si>
    <t>Anden totalindkomst</t>
  </si>
  <si>
    <t>Anden totalindkomst:</t>
  </si>
  <si>
    <t>Værdipapirer disponible for salg</t>
  </si>
  <si>
    <t>Totalindkomst</t>
  </si>
  <si>
    <t>Nedskrivning af koncerngoodwill</t>
  </si>
  <si>
    <t>1. Usædvanlige poster</t>
  </si>
  <si>
    <t>2. Værdipapirerer disponible for salg</t>
  </si>
  <si>
    <t>3. Aktiekapital</t>
  </si>
  <si>
    <t>4. Anden gæld</t>
  </si>
  <si>
    <t>Skyldig løn, moms m.m.</t>
  </si>
  <si>
    <t>Skyldige renter</t>
  </si>
  <si>
    <t xml:space="preserve">Aktiekapitalen på 48 mio. består af 48 mio. stk. aktier af </t>
  </si>
  <si>
    <t>nominelt 1 kr. per aktie. På balancedagen 31.12.2021 havde</t>
  </si>
  <si>
    <t>virksomheden en beholdning af egne aktier på 4 mio. aktier.</t>
  </si>
  <si>
    <t>Obligationsbeholdning</t>
  </si>
  <si>
    <t>Dagsværdi per 1. jan.</t>
  </si>
  <si>
    <t>Årets tilgang</t>
  </si>
  <si>
    <t>Årets afgang</t>
  </si>
  <si>
    <t>Årets værdiregulering</t>
  </si>
  <si>
    <t>Dagsværdi per 31. dec.</t>
  </si>
  <si>
    <t>Obligationsbeholdningen består primært af ultra likvide danske statsobligationer.</t>
  </si>
  <si>
    <t>Kapitalandele</t>
  </si>
  <si>
    <t>Kapitalandele består udelukkende af en 12 procents ejerandel i A/S Byg.</t>
  </si>
  <si>
    <t>Valutakursregulering vedrørende udenlandske virksomheder, efter skat</t>
  </si>
  <si>
    <t>Markedsværdiregulering af kapitalandele disponible for salg, efter skat</t>
  </si>
  <si>
    <t>Markedsværdiregulering af obligationer disponible for salg, efter skat</t>
  </si>
  <si>
    <t>I alt</t>
  </si>
  <si>
    <t>PM</t>
  </si>
  <si>
    <t>ATO</t>
  </si>
  <si>
    <t>RNOA</t>
  </si>
  <si>
    <r>
      <t>PM</t>
    </r>
    <r>
      <rPr>
        <vertAlign val="subscript"/>
        <sz val="12"/>
        <color theme="1"/>
        <rFont val="Times New Roman"/>
        <family val="1"/>
      </rPr>
      <t>salg</t>
    </r>
  </si>
  <si>
    <r>
      <t>PM</t>
    </r>
    <r>
      <rPr>
        <vertAlign val="subscript"/>
        <sz val="12"/>
        <color theme="1"/>
        <rFont val="Times New Roman"/>
        <family val="1"/>
      </rPr>
      <t>andet OI</t>
    </r>
  </si>
  <si>
    <t>2022E</t>
  </si>
  <si>
    <t>2023E</t>
  </si>
  <si>
    <t>2024E</t>
  </si>
  <si>
    <t>2025E</t>
  </si>
  <si>
    <t>2026E</t>
  </si>
  <si>
    <t>2027E</t>
  </si>
  <si>
    <t>2028E</t>
  </si>
  <si>
    <t>Budgetperiode</t>
  </si>
  <si>
    <t>Terminal-</t>
  </si>
  <si>
    <t>periode</t>
  </si>
  <si>
    <t>Valuedriver</t>
  </si>
  <si>
    <t>Salgsvækst rate</t>
  </si>
  <si>
    <r>
      <t>PM</t>
    </r>
    <r>
      <rPr>
        <vertAlign val="subscript"/>
        <sz val="12"/>
        <color theme="1"/>
        <rFont val="Times New Roman"/>
        <family val="1"/>
      </rPr>
      <t>salg</t>
    </r>
    <r>
      <rPr>
        <sz val="12"/>
        <color theme="1"/>
        <rFont val="Times New Roman"/>
        <family val="1"/>
      </rPr>
      <t>, før skat</t>
    </r>
  </si>
  <si>
    <t>Effektiv skatteprocent</t>
  </si>
  <si>
    <r>
      <t>PM</t>
    </r>
    <r>
      <rPr>
        <vertAlign val="subscript"/>
        <sz val="12"/>
        <color theme="1"/>
        <rFont val="Times New Roman"/>
        <family val="1"/>
      </rPr>
      <t>andet OI</t>
    </r>
    <r>
      <rPr>
        <sz val="12"/>
        <color theme="1"/>
        <rFont val="Times New Roman"/>
        <family val="1"/>
      </rPr>
      <t>, efter skat</t>
    </r>
  </si>
  <si>
    <t>1/ATO</t>
  </si>
  <si>
    <t>i.r.</t>
  </si>
  <si>
    <t>i.r. Ikke relevant</t>
  </si>
  <si>
    <t>Enig</t>
  </si>
  <si>
    <t xml:space="preserve">Tænk lagerhaller, varevogne ol. </t>
  </si>
  <si>
    <t>Det bruges i driften, og bør derfor være under driftsaktiver</t>
  </si>
  <si>
    <t xml:space="preserve">Uenig </t>
  </si>
  <si>
    <t xml:space="preserve">Denne regnes som </t>
  </si>
  <si>
    <t xml:space="preserve">(RNOA - wacc) x NOA </t>
  </si>
  <si>
    <t>Uenig</t>
  </si>
  <si>
    <t>Det er en forudsætning, at RNOA er større end wacc</t>
  </si>
  <si>
    <t>for at E&gt;NOA</t>
  </si>
  <si>
    <t>Virksomhedens normale trailing P/E beregnes som 1+r/r</t>
  </si>
  <si>
    <t xml:space="preserve">Der er den normale trailing P/E givet ved </t>
  </si>
  <si>
    <t>Vi bruger at ROCE=RNOA+FLEV x (RNOA-NBC)</t>
  </si>
  <si>
    <t>Dette kan omskrives til FLEV=(ROCE-RNOA)/(RNOA-NBC)</t>
  </si>
  <si>
    <t xml:space="preserve">Svaret er derfor </t>
  </si>
  <si>
    <t>Hvorfor uenig</t>
  </si>
  <si>
    <t>Netto rentebetalinger</t>
  </si>
  <si>
    <t>Skat @22%</t>
  </si>
  <si>
    <t>Korrigeret C</t>
  </si>
  <si>
    <t>Værdipapirer</t>
  </si>
  <si>
    <t>Korrigeret I</t>
  </si>
  <si>
    <t>FCF</t>
  </si>
  <si>
    <t>Egenkapitalfinansiering (d)</t>
  </si>
  <si>
    <t>Netto gældsfinansiering (F)</t>
  </si>
  <si>
    <t>Netto rentebetalinger, efter skat</t>
  </si>
  <si>
    <t>d+F</t>
  </si>
  <si>
    <t>Til den rapporterede pengestrøm fra driften fratrækkes efter-skat renteinbetalinger,</t>
  </si>
  <si>
    <t>så pengestrømmen er uafhængig af virksomhedens finansielle aktiviter</t>
  </si>
  <si>
    <t>Beløbet placeres under "gældsfinansiering' (F). Køb af værdipapirer er placering</t>
  </si>
  <si>
    <t xml:space="preserve">af overskydende likviditet og ikke investering i driften. Beløbbet placeres under </t>
  </si>
  <si>
    <t xml:space="preserve">gældsfinansiering </t>
  </si>
  <si>
    <t>Reformuleret balance</t>
  </si>
  <si>
    <t>Aktiver i alt</t>
  </si>
  <si>
    <t>Obligationsholdning</t>
  </si>
  <si>
    <t>Driftsaktiver</t>
  </si>
  <si>
    <t>Udskudte forpligtigelser</t>
  </si>
  <si>
    <t>Hensatte forpligtigelser</t>
  </si>
  <si>
    <t>Nettodriftsaktiver (NOA)</t>
  </si>
  <si>
    <t>Likvidebeholdninger</t>
  </si>
  <si>
    <t>Langfristet Låntagning</t>
  </si>
  <si>
    <t>Kortfristet Låntagning</t>
  </si>
  <si>
    <t>Netto Finansielle forpligtelser</t>
  </si>
  <si>
    <t>Egenkapital (NOA-NFO)</t>
  </si>
  <si>
    <t>Likvide beholdninger og obligationsholdningen er finansielle aktiver - øvrige aktiver er driftsaktiver</t>
  </si>
  <si>
    <t>Låntagning(lang- og kortfristet) og skyldige renter er finansielle forpligtigelser</t>
  </si>
  <si>
    <t>Reformuleret totalindkomstopgørelse</t>
  </si>
  <si>
    <t>Brutto</t>
  </si>
  <si>
    <t>R&amp;D</t>
  </si>
  <si>
    <t>Driftsoverskud af salg, før skat</t>
  </si>
  <si>
    <t>Rapporterede skat</t>
  </si>
  <si>
    <t>Skattefordel @22%</t>
  </si>
  <si>
    <t>Andet drift overskud</t>
  </si>
  <si>
    <t>Nedskrivning af goodwill</t>
  </si>
  <si>
    <t>Valutakursregulering vedr udenlandske virksomheder, efter</t>
  </si>
  <si>
    <t>Markedsværdiregulering af kapitalandele disponible for salg</t>
  </si>
  <si>
    <t>Driftsoverskud i alt, efter skat</t>
  </si>
  <si>
    <t xml:space="preserve">Driftsoverskud af salg , efter skat </t>
  </si>
  <si>
    <t>Nettofinansielle omkostninger(NFE)</t>
  </si>
  <si>
    <t>Finansielle udgifter</t>
  </si>
  <si>
    <t>Net finansielle omkostninger før skat</t>
  </si>
  <si>
    <t>Skattefordel @ 22%</t>
  </si>
  <si>
    <t>Net finansielle omkostninger efter skat</t>
  </si>
  <si>
    <t>Markedsværdiregulering af obligationer disponible for salg,</t>
  </si>
  <si>
    <t>Markedsværdiregulering af obligation er oplyst på efter-skat basis, hvorfor der ikke skal beregnes skat af disse</t>
  </si>
  <si>
    <t>Forudsat, at denne post er klassificeret som et finansielt aktiv i balancen skat indregner vi denne under NFE</t>
  </si>
  <si>
    <t>Markedsreguering af kapitalandele er også oplyst efter skat, hvorofr der ikke skal beregnes af denne post</t>
  </si>
  <si>
    <t xml:space="preserve">Forudsat, at denne post er klassificeret som et driftsaktiv i balancen skat skal denne post indregens under andet drifstoverskud </t>
  </si>
  <si>
    <t>Driftsoverskud fra salg, før</t>
  </si>
  <si>
    <t>Skat</t>
  </si>
  <si>
    <t>Driftsoverskud fra salg, efter</t>
  </si>
  <si>
    <t>Andet driftsoverskud, efter</t>
  </si>
  <si>
    <t>Samlet driftsoverskud(OI)</t>
  </si>
  <si>
    <t>NOA</t>
  </si>
  <si>
    <t>ReOI Værdiansættelse</t>
  </si>
  <si>
    <t>ReOI</t>
  </si>
  <si>
    <t>df</t>
  </si>
  <si>
    <t>PV ReOI</t>
  </si>
  <si>
    <t>Sum af PV af ReOI</t>
  </si>
  <si>
    <t>TV</t>
  </si>
  <si>
    <t>PV TV</t>
  </si>
  <si>
    <t>EV</t>
  </si>
  <si>
    <t>NFO</t>
  </si>
  <si>
    <t>Værdi egenkapital</t>
  </si>
  <si>
    <t>Værdi per aktie</t>
  </si>
  <si>
    <t>RR</t>
  </si>
  <si>
    <t>Den fundamentale værdi per aktier er 411, hvilket er lig den handlede værdi per aktie, hvorfor abnefalingen bør være et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</si>
</sst>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0.000"/>
    <numFmt numFmtId="169" formatCode="_-* #,##0.000\ _k_r_._-;\-* #,##0.000\ _k_r_._-;_-* &quot;-&quot;???\ _k_r_._-;_-@_-"/>
    <numFmt numFmtId="170" formatCode="_-* #,##0\ _k_r_._-;\-* #,##0\ _k_r_._-;_-* &quot;-&quot;???\ _k_r_._-;_-@_-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sz val="16"/>
      <color theme="4"/>
      <name val="Times New Roman"/>
      <family val="1"/>
    </font>
    <font>
      <b/>
      <sz val="16"/>
      <color rgb="FFFF0000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1" applyNumberFormat="1" applyFont="1"/>
    <xf numFmtId="0" fontId="4" fillId="0" borderId="0" xfId="0" applyFont="1"/>
    <xf numFmtId="165" fontId="1" fillId="0" borderId="1" xfId="1" applyNumberFormat="1" applyFont="1" applyBorder="1"/>
    <xf numFmtId="165" fontId="1" fillId="0" borderId="0" xfId="0" applyNumberFormat="1" applyFont="1"/>
    <xf numFmtId="165" fontId="2" fillId="0" borderId="0" xfId="1" applyNumberFormat="1" applyFont="1"/>
    <xf numFmtId="0" fontId="1" fillId="0" borderId="1" xfId="0" applyFont="1" applyBorder="1"/>
    <xf numFmtId="165" fontId="2" fillId="0" borderId="0" xfId="1" applyNumberFormat="1" applyFont="1" applyBorder="1"/>
    <xf numFmtId="165" fontId="1" fillId="0" borderId="1" xfId="0" applyNumberFormat="1" applyFont="1" applyBorder="1"/>
    <xf numFmtId="165" fontId="1" fillId="0" borderId="0" xfId="1" applyNumberFormat="1" applyFont="1" applyFill="1"/>
    <xf numFmtId="165" fontId="2" fillId="0" borderId="0" xfId="0" applyNumberFormat="1" applyFont="1"/>
    <xf numFmtId="0" fontId="5" fillId="0" borderId="0" xfId="0" applyFont="1"/>
    <xf numFmtId="0" fontId="1" fillId="0" borderId="0" xfId="0" quotePrefix="1" applyFont="1"/>
    <xf numFmtId="165" fontId="6" fillId="0" borderId="0" xfId="1" applyNumberFormat="1" applyFont="1" applyFill="1" applyBorder="1"/>
    <xf numFmtId="165" fontId="7" fillId="0" borderId="0" xfId="1" applyNumberFormat="1" applyFont="1" applyFill="1" applyBorder="1"/>
    <xf numFmtId="165" fontId="1" fillId="0" borderId="0" xfId="1" applyNumberFormat="1" applyFont="1" applyFill="1" applyBorder="1" applyAlignment="1">
      <alignment horizontal="left" indent="1"/>
    </xf>
    <xf numFmtId="165" fontId="1" fillId="0" borderId="0" xfId="1" applyNumberFormat="1" applyFont="1" applyFill="1" applyBorder="1"/>
    <xf numFmtId="165" fontId="2" fillId="0" borderId="0" xfId="1" applyNumberFormat="1" applyFont="1" applyFill="1" applyBorder="1"/>
    <xf numFmtId="165" fontId="5" fillId="0" borderId="0" xfId="0" applyNumberFormat="1" applyFont="1"/>
    <xf numFmtId="0" fontId="8" fillId="0" borderId="0" xfId="0" applyFont="1" applyAlignment="1">
      <alignment horizontal="center"/>
    </xf>
    <xf numFmtId="165" fontId="1" fillId="0" borderId="1" xfId="1" applyNumberFormat="1" applyFont="1" applyFill="1" applyBorder="1"/>
    <xf numFmtId="0" fontId="2" fillId="0" borderId="2" xfId="0" applyFont="1" applyBorder="1"/>
    <xf numFmtId="165" fontId="2" fillId="0" borderId="2" xfId="1" applyNumberFormat="1" applyFont="1" applyFill="1" applyBorder="1"/>
    <xf numFmtId="0" fontId="10" fillId="0" borderId="1" xfId="0" applyFont="1" applyBorder="1"/>
    <xf numFmtId="0" fontId="1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166" fontId="1" fillId="0" borderId="0" xfId="0" applyNumberFormat="1" applyFont="1"/>
    <xf numFmtId="0" fontId="9" fillId="0" borderId="0" xfId="0" applyFont="1"/>
    <xf numFmtId="0" fontId="11" fillId="0" borderId="0" xfId="0" applyFont="1"/>
    <xf numFmtId="0" fontId="4" fillId="0" borderId="2" xfId="0" applyFont="1" applyBorder="1"/>
    <xf numFmtId="0" fontId="9" fillId="0" borderId="2" xfId="0" applyFont="1" applyBorder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/>
    <xf numFmtId="165" fontId="2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4" xfId="0" applyFont="1" applyBorder="1"/>
    <xf numFmtId="165" fontId="2" fillId="0" borderId="4" xfId="1" applyNumberFormat="1" applyFont="1" applyBorder="1"/>
    <xf numFmtId="165" fontId="2" fillId="0" borderId="3" xfId="0" applyNumberFormat="1" applyFont="1" applyBorder="1"/>
    <xf numFmtId="165" fontId="1" fillId="0" borderId="0" xfId="1" quotePrefix="1" applyNumberFormat="1" applyFont="1" applyAlignment="1">
      <alignment horizontal="center"/>
    </xf>
    <xf numFmtId="165" fontId="2" fillId="0" borderId="4" xfId="0" applyNumberFormat="1" applyFont="1" applyBorder="1"/>
    <xf numFmtId="0" fontId="6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quotePrefix="1" applyFont="1" applyAlignment="1">
      <alignment horizontal="center"/>
    </xf>
    <xf numFmtId="0" fontId="1" fillId="0" borderId="2" xfId="0" applyFont="1" applyBorder="1"/>
    <xf numFmtId="0" fontId="13" fillId="0" borderId="0" xfId="0" applyFont="1"/>
    <xf numFmtId="0" fontId="9" fillId="0" borderId="1" xfId="0" applyFont="1" applyBorder="1"/>
    <xf numFmtId="167" fontId="1" fillId="0" borderId="0" xfId="2" applyNumberFormat="1" applyFont="1"/>
    <xf numFmtId="168" fontId="1" fillId="0" borderId="0" xfId="0" applyNumberFormat="1" applyFont="1"/>
    <xf numFmtId="167" fontId="1" fillId="0" borderId="0" xfId="0" applyNumberFormat="1" applyFont="1"/>
    <xf numFmtId="167" fontId="5" fillId="0" borderId="0" xfId="2" applyNumberFormat="1" applyFont="1"/>
    <xf numFmtId="168" fontId="5" fillId="0" borderId="0" xfId="0" applyNumberFormat="1" applyFont="1"/>
    <xf numFmtId="168" fontId="1" fillId="0" borderId="1" xfId="0" applyNumberFormat="1" applyFont="1" applyBorder="1"/>
    <xf numFmtId="0" fontId="1" fillId="0" borderId="5" xfId="0" applyFont="1" applyBorder="1"/>
    <xf numFmtId="167" fontId="1" fillId="0" borderId="6" xfId="2" applyNumberFormat="1" applyFont="1" applyBorder="1"/>
    <xf numFmtId="0" fontId="1" fillId="0" borderId="8" xfId="0" applyFont="1" applyBorder="1"/>
    <xf numFmtId="0" fontId="1" fillId="0" borderId="9" xfId="0" applyFont="1" applyBorder="1"/>
    <xf numFmtId="167" fontId="1" fillId="0" borderId="9" xfId="2" applyNumberFormat="1" applyFont="1" applyBorder="1"/>
    <xf numFmtId="168" fontId="1" fillId="0" borderId="10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2" fillId="0" borderId="7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167" fontId="1" fillId="0" borderId="0" xfId="2" applyNumberFormat="1" applyFont="1" applyBorder="1"/>
    <xf numFmtId="167" fontId="1" fillId="0" borderId="13" xfId="2" applyNumberFormat="1" applyFont="1" applyBorder="1"/>
    <xf numFmtId="0" fontId="1" fillId="0" borderId="7" xfId="0" applyFont="1" applyBorder="1" applyAlignment="1">
      <alignment horizontal="center"/>
    </xf>
    <xf numFmtId="168" fontId="1" fillId="0" borderId="14" xfId="0" applyNumberFormat="1" applyFont="1" applyBorder="1"/>
    <xf numFmtId="0" fontId="4" fillId="0" borderId="10" xfId="0" applyFont="1" applyBorder="1"/>
    <xf numFmtId="0" fontId="1" fillId="0" borderId="10" xfId="0" applyFont="1" applyBorder="1"/>
    <xf numFmtId="0" fontId="14" fillId="0" borderId="0" xfId="0" applyFont="1"/>
    <xf numFmtId="165" fontId="1" fillId="0" borderId="0" xfId="1" applyNumberFormat="1" applyFont="1" applyBorder="1"/>
    <xf numFmtId="0" fontId="2" fillId="0" borderId="0" xfId="0" quotePrefix="1" applyFont="1"/>
    <xf numFmtId="0" fontId="2" fillId="0" borderId="0" xfId="0" applyFont="1" applyAlignment="1">
      <alignment horizontal="right"/>
    </xf>
    <xf numFmtId="170" fontId="1" fillId="0" borderId="0" xfId="0" applyNumberFormat="1" applyFont="1"/>
    <xf numFmtId="169" fontId="1" fillId="0" borderId="0" xfId="0" applyNumberFormat="1" applyFont="1"/>
    <xf numFmtId="0" fontId="16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64" fontId="5" fillId="0" borderId="0" xfId="1" applyFont="1" applyBorder="1"/>
    <xf numFmtId="164" fontId="1" fillId="0" borderId="0" xfId="1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3</xdr:row>
      <xdr:rowOff>165100</xdr:rowOff>
    </xdr:from>
    <xdr:to>
      <xdr:col>9</xdr:col>
      <xdr:colOff>241300</xdr:colOff>
      <xdr:row>27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E173D-9504-B793-D5B8-7F63FEE9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400" y="736600"/>
          <a:ext cx="61214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24</xdr:row>
      <xdr:rowOff>25400</xdr:rowOff>
    </xdr:from>
    <xdr:to>
      <xdr:col>5</xdr:col>
      <xdr:colOff>571500</xdr:colOff>
      <xdr:row>48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CD966-C353-71ED-B7F4-89D5CEB8A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953000"/>
          <a:ext cx="6362700" cy="4864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1701800</xdr:colOff>
      <xdr:row>2</xdr:row>
      <xdr:rowOff>50800</xdr:rowOff>
    </xdr:from>
    <xdr:to>
      <xdr:col>8</xdr:col>
      <xdr:colOff>190500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4C239C-CE23-D4B1-B043-B66465F8D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4200" y="457200"/>
          <a:ext cx="36195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7A33-1033-2440-8B27-95EEF6B3B349}">
  <dimension ref="K5:N27"/>
  <sheetViews>
    <sheetView workbookViewId="0">
      <selection activeCell="K24" sqref="K24:K25"/>
    </sheetView>
  </sheetViews>
  <sheetFormatPr baseColWidth="10" defaultRowHeight="15" x14ac:dyDescent="0.2"/>
  <sheetData>
    <row r="5" spans="11:11" x14ac:dyDescent="0.2">
      <c r="K5" s="80" t="s">
        <v>127</v>
      </c>
    </row>
    <row r="6" spans="11:11" x14ac:dyDescent="0.2">
      <c r="K6" s="80" t="s">
        <v>129</v>
      </c>
    </row>
    <row r="7" spans="11:11" x14ac:dyDescent="0.2">
      <c r="K7" s="80" t="s">
        <v>128</v>
      </c>
    </row>
    <row r="10" spans="11:11" x14ac:dyDescent="0.2">
      <c r="K10" s="80" t="s">
        <v>130</v>
      </c>
    </row>
    <row r="11" spans="11:11" x14ac:dyDescent="0.2">
      <c r="K11" s="80" t="s">
        <v>131</v>
      </c>
    </row>
    <row r="12" spans="11:11" x14ac:dyDescent="0.2">
      <c r="K12" s="80" t="s">
        <v>132</v>
      </c>
    </row>
    <row r="15" spans="11:11" x14ac:dyDescent="0.2">
      <c r="K15" s="80" t="s">
        <v>133</v>
      </c>
    </row>
    <row r="16" spans="11:11" x14ac:dyDescent="0.2">
      <c r="K16" s="80" t="s">
        <v>134</v>
      </c>
    </row>
    <row r="17" spans="11:14" x14ac:dyDescent="0.2">
      <c r="K17" s="80" t="s">
        <v>135</v>
      </c>
    </row>
    <row r="20" spans="11:14" x14ac:dyDescent="0.2">
      <c r="K20" s="80" t="s">
        <v>133</v>
      </c>
    </row>
    <row r="21" spans="11:14" x14ac:dyDescent="0.2">
      <c r="K21" s="80" t="s">
        <v>136</v>
      </c>
    </row>
    <row r="22" spans="11:14" x14ac:dyDescent="0.2">
      <c r="K22" s="80" t="s">
        <v>137</v>
      </c>
      <c r="N22">
        <f>1.12/0.12</f>
        <v>9.3333333333333339</v>
      </c>
    </row>
    <row r="24" spans="11:14" x14ac:dyDescent="0.2">
      <c r="K24" s="80" t="s">
        <v>138</v>
      </c>
    </row>
    <row r="25" spans="11:14" x14ac:dyDescent="0.2">
      <c r="K25" s="80" t="s">
        <v>139</v>
      </c>
    </row>
    <row r="26" spans="11:14" x14ac:dyDescent="0.2">
      <c r="K26" s="80" t="s">
        <v>140</v>
      </c>
      <c r="M26">
        <f>12+0.5*(12-2)</f>
        <v>17</v>
      </c>
    </row>
    <row r="27" spans="11:14" x14ac:dyDescent="0.2">
      <c r="K27" s="80" t="s">
        <v>141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4"/>
  <sheetViews>
    <sheetView tabSelected="1" topLeftCell="B1" workbookViewId="0">
      <selection activeCell="E22" sqref="E22"/>
    </sheetView>
  </sheetViews>
  <sheetFormatPr baseColWidth="10" defaultColWidth="9.1640625" defaultRowHeight="16" x14ac:dyDescent="0.2"/>
  <cols>
    <col min="1" max="1" width="9.1640625" style="1"/>
    <col min="2" max="2" width="45.6640625" style="1" bestFit="1" customWidth="1"/>
    <col min="3" max="3" width="13.5" style="1" customWidth="1"/>
    <col min="4" max="4" width="13.5" style="1" hidden="1" customWidth="1"/>
    <col min="5" max="6" width="9.1640625" style="1"/>
    <col min="7" max="7" width="39.5" style="1" bestFit="1" customWidth="1"/>
    <col min="8" max="8" width="12.5" style="1" customWidth="1"/>
    <col min="9" max="9" width="12.5" style="1" hidden="1" customWidth="1"/>
    <col min="10" max="11" width="12.5" style="1" customWidth="1"/>
    <col min="12" max="12" width="14.5" style="1" customWidth="1"/>
    <col min="13" max="13" width="12.5" style="1" customWidth="1"/>
    <col min="14" max="14" width="12.5" style="1" hidden="1" customWidth="1"/>
    <col min="15" max="16384" width="9.1640625" style="1"/>
  </cols>
  <sheetData>
    <row r="1" spans="2:17" x14ac:dyDescent="0.2">
      <c r="G1" s="17"/>
      <c r="H1" s="15"/>
      <c r="I1" s="15"/>
      <c r="J1" s="15"/>
      <c r="K1" s="15"/>
      <c r="L1" s="15"/>
      <c r="M1" s="15"/>
      <c r="N1" s="15"/>
      <c r="O1" s="20"/>
      <c r="P1" s="20"/>
      <c r="Q1" s="6"/>
    </row>
    <row r="2" spans="2:17" ht="20" x14ac:dyDescent="0.2">
      <c r="B2" s="25" t="s">
        <v>36</v>
      </c>
      <c r="C2" s="8"/>
      <c r="G2" s="19"/>
      <c r="H2" s="19"/>
      <c r="I2" s="16"/>
      <c r="J2" s="16"/>
      <c r="K2" s="16"/>
      <c r="L2" s="16"/>
      <c r="M2" s="16"/>
      <c r="N2" s="16"/>
      <c r="Q2" s="6"/>
    </row>
    <row r="3" spans="2:17" x14ac:dyDescent="0.2">
      <c r="B3" s="4" t="s">
        <v>15</v>
      </c>
      <c r="D3" s="2"/>
      <c r="G3" s="17"/>
      <c r="H3" s="18"/>
      <c r="I3" s="15"/>
      <c r="J3" s="15"/>
      <c r="K3" s="15"/>
      <c r="L3" s="15"/>
      <c r="M3" s="15"/>
      <c r="N3" s="15"/>
      <c r="O3" s="6"/>
      <c r="Q3" s="6"/>
    </row>
    <row r="4" spans="2:17" x14ac:dyDescent="0.2">
      <c r="B4" s="1" t="s">
        <v>7</v>
      </c>
      <c r="C4" s="11">
        <v>22460</v>
      </c>
      <c r="D4" s="3" t="e">
        <f>C4/#REF!</f>
        <v>#REF!</v>
      </c>
      <c r="G4" s="17" t="s">
        <v>23</v>
      </c>
      <c r="I4" s="15"/>
      <c r="J4" s="18">
        <f>C11</f>
        <v>25770</v>
      </c>
      <c r="K4" s="15"/>
      <c r="L4" s="15"/>
      <c r="M4" s="15"/>
      <c r="N4" s="15"/>
      <c r="O4" s="6"/>
      <c r="Q4" s="6"/>
    </row>
    <row r="5" spans="2:17" x14ac:dyDescent="0.2">
      <c r="B5" s="1" t="s">
        <v>14</v>
      </c>
      <c r="C5" s="11">
        <v>7640</v>
      </c>
      <c r="D5" s="3" t="e">
        <f>C5/#REF!</f>
        <v>#REF!</v>
      </c>
      <c r="G5" s="17"/>
      <c r="H5" s="18"/>
      <c r="I5" s="15"/>
      <c r="J5" s="15"/>
      <c r="K5" s="15"/>
      <c r="L5" s="15"/>
      <c r="M5" s="15"/>
      <c r="N5" s="15"/>
      <c r="Q5" s="6"/>
    </row>
    <row r="6" spans="2:17" x14ac:dyDescent="0.2">
      <c r="B6" s="1" t="s">
        <v>18</v>
      </c>
      <c r="C6" s="22">
        <v>1725</v>
      </c>
      <c r="D6" s="5" t="e">
        <f>C6/#REF!</f>
        <v>#REF!</v>
      </c>
      <c r="G6" s="17" t="s">
        <v>142</v>
      </c>
      <c r="H6" s="18">
        <f>SUM(C8:C9)</f>
        <v>10085</v>
      </c>
      <c r="I6" s="15"/>
      <c r="J6" s="15"/>
      <c r="K6" s="15"/>
      <c r="L6" s="15"/>
      <c r="M6" s="15"/>
      <c r="N6" s="15"/>
      <c r="Q6" s="6"/>
    </row>
    <row r="7" spans="2:17" x14ac:dyDescent="0.2">
      <c r="B7" s="1" t="s">
        <v>19</v>
      </c>
      <c r="C7" s="11">
        <f>C4+C5+C6</f>
        <v>31825</v>
      </c>
      <c r="D7" s="3" t="e">
        <f>C7/#REF!</f>
        <v>#REF!</v>
      </c>
      <c r="G7" s="19" t="s">
        <v>143</v>
      </c>
      <c r="H7" s="19">
        <f>-H6*22%</f>
        <v>-2218.6999999999998</v>
      </c>
      <c r="I7" s="16"/>
      <c r="J7" s="16">
        <f>SUM(H6:H7)</f>
        <v>7866.3</v>
      </c>
      <c r="K7" s="16"/>
      <c r="L7" s="16"/>
      <c r="M7" s="16"/>
      <c r="N7" s="16"/>
      <c r="Q7" s="6"/>
    </row>
    <row r="8" spans="2:17" x14ac:dyDescent="0.2">
      <c r="B8" s="1" t="s">
        <v>20</v>
      </c>
      <c r="C8" s="11">
        <v>10890</v>
      </c>
      <c r="D8" s="3" t="e">
        <f>C8/#REF!</f>
        <v>#REF!</v>
      </c>
      <c r="E8" s="21"/>
      <c r="G8" s="17" t="s">
        <v>144</v>
      </c>
      <c r="H8" s="18"/>
      <c r="I8" s="15"/>
      <c r="J8" s="15">
        <f>J4-J7</f>
        <v>17903.7</v>
      </c>
      <c r="K8" s="15"/>
      <c r="L8" s="15"/>
      <c r="M8" s="15"/>
      <c r="N8" s="15"/>
      <c r="O8" s="6"/>
      <c r="P8" s="6"/>
      <c r="Q8" s="6"/>
    </row>
    <row r="9" spans="2:17" x14ac:dyDescent="0.2">
      <c r="B9" s="1" t="s">
        <v>21</v>
      </c>
      <c r="C9" s="11">
        <v>-805</v>
      </c>
      <c r="D9" s="3" t="e">
        <f>C9/#REF!</f>
        <v>#REF!</v>
      </c>
      <c r="E9" s="21"/>
      <c r="G9" s="17"/>
      <c r="H9" s="18"/>
      <c r="I9" s="15"/>
      <c r="J9" s="15"/>
      <c r="K9" s="15"/>
      <c r="L9" s="15">
        <f>J9-K9</f>
        <v>0</v>
      </c>
      <c r="M9" s="15"/>
      <c r="N9" s="15"/>
      <c r="O9" s="6"/>
      <c r="P9" s="6"/>
      <c r="Q9" s="6"/>
    </row>
    <row r="10" spans="2:17" x14ac:dyDescent="0.2">
      <c r="B10" s="1" t="s">
        <v>22</v>
      </c>
      <c r="C10" s="18">
        <v>-16140</v>
      </c>
      <c r="D10" s="5" t="e">
        <f>C10/#REF!</f>
        <v>#REF!</v>
      </c>
      <c r="E10" s="21"/>
      <c r="G10" s="17" t="s">
        <v>27</v>
      </c>
      <c r="H10" s="18"/>
      <c r="I10" s="15"/>
      <c r="J10" s="15">
        <f>C16</f>
        <v>-28050</v>
      </c>
      <c r="K10" s="15"/>
      <c r="L10" s="15"/>
      <c r="M10" s="15"/>
      <c r="N10" s="15"/>
      <c r="O10" s="6"/>
      <c r="P10" s="6"/>
      <c r="Q10" s="6"/>
    </row>
    <row r="11" spans="2:17" x14ac:dyDescent="0.2">
      <c r="B11" s="23" t="s">
        <v>23</v>
      </c>
      <c r="C11" s="24">
        <f>SUM(C7:C10)</f>
        <v>25770</v>
      </c>
      <c r="D11" s="7" t="e">
        <f>C11/#REF!</f>
        <v>#REF!</v>
      </c>
      <c r="G11" s="17" t="s">
        <v>145</v>
      </c>
      <c r="H11" s="6"/>
      <c r="I11" s="15"/>
      <c r="J11" s="1">
        <v>14000</v>
      </c>
      <c r="P11" s="6"/>
      <c r="Q11" s="6"/>
    </row>
    <row r="12" spans="2:17" x14ac:dyDescent="0.2">
      <c r="B12" s="1" t="s">
        <v>24</v>
      </c>
      <c r="C12" s="11">
        <v>-7250</v>
      </c>
      <c r="D12" s="3" t="e">
        <f>C12/#REF!</f>
        <v>#REF!</v>
      </c>
      <c r="G12" s="19" t="s">
        <v>146</v>
      </c>
      <c r="H12" s="19"/>
      <c r="I12" s="16"/>
      <c r="J12" s="16">
        <f>SUM(J10:J11)</f>
        <v>-14050</v>
      </c>
      <c r="K12" s="16"/>
      <c r="L12" s="16"/>
      <c r="M12" s="16"/>
      <c r="N12" s="16"/>
    </row>
    <row r="13" spans="2:17" x14ac:dyDescent="0.2">
      <c r="B13" s="1" t="s">
        <v>25</v>
      </c>
      <c r="C13" s="11">
        <v>-7050</v>
      </c>
      <c r="D13" s="3" t="e">
        <f>C13/#REF!</f>
        <v>#REF!</v>
      </c>
      <c r="E13" s="21"/>
      <c r="G13" s="19"/>
      <c r="H13" s="19"/>
      <c r="I13" s="16"/>
      <c r="J13" s="16"/>
      <c r="K13" s="16"/>
      <c r="L13" s="16"/>
      <c r="M13" s="16"/>
      <c r="N13" s="16"/>
    </row>
    <row r="14" spans="2:17" x14ac:dyDescent="0.2">
      <c r="B14" s="1" t="s">
        <v>26</v>
      </c>
      <c r="C14" s="11">
        <v>250</v>
      </c>
      <c r="D14" s="3" t="e">
        <f>C14/#REF!</f>
        <v>#REF!</v>
      </c>
      <c r="G14" s="19" t="s">
        <v>147</v>
      </c>
      <c r="H14" s="19"/>
      <c r="I14" s="16"/>
      <c r="J14" s="16">
        <f>J8+J12</f>
        <v>3853.7000000000007</v>
      </c>
      <c r="K14" s="16"/>
      <c r="L14" s="16"/>
      <c r="M14" s="16"/>
      <c r="N14" s="16"/>
    </row>
    <row r="15" spans="2:17" x14ac:dyDescent="0.2">
      <c r="B15" s="1" t="s">
        <v>35</v>
      </c>
      <c r="C15" s="18">
        <v>-14000</v>
      </c>
      <c r="D15" s="5" t="e">
        <f>C15/#REF!</f>
        <v>#REF!</v>
      </c>
      <c r="E15" s="21"/>
    </row>
    <row r="16" spans="2:17" x14ac:dyDescent="0.2">
      <c r="B16" s="23" t="s">
        <v>27</v>
      </c>
      <c r="C16" s="24">
        <f>SUM(C12:C15)</f>
        <v>-28050</v>
      </c>
      <c r="D16" s="7" t="e">
        <f>C16/#REF!</f>
        <v>#REF!</v>
      </c>
      <c r="G16" s="1" t="s">
        <v>148</v>
      </c>
    </row>
    <row r="17" spans="2:16" x14ac:dyDescent="0.2">
      <c r="B17" s="1" t="s">
        <v>28</v>
      </c>
      <c r="C17" s="11">
        <v>-1030</v>
      </c>
      <c r="D17" s="3" t="e">
        <f>C17/#REF!</f>
        <v>#REF!</v>
      </c>
      <c r="G17" s="1" t="s">
        <v>30</v>
      </c>
      <c r="J17" s="6">
        <f>C19*(-1)</f>
        <v>5000</v>
      </c>
    </row>
    <row r="18" spans="2:16" x14ac:dyDescent="0.2">
      <c r="B18" s="1" t="s">
        <v>29</v>
      </c>
      <c r="C18" s="11">
        <v>17000</v>
      </c>
      <c r="D18" s="3" t="e">
        <f>C18/#REF!</f>
        <v>#REF!</v>
      </c>
    </row>
    <row r="19" spans="2:16" x14ac:dyDescent="0.2">
      <c r="B19" s="1" t="s">
        <v>30</v>
      </c>
      <c r="C19" s="15">
        <v>-5000</v>
      </c>
      <c r="D19" s="5" t="e">
        <f>C19/#REF!</f>
        <v>#REF!</v>
      </c>
      <c r="G19" s="1" t="s">
        <v>149</v>
      </c>
    </row>
    <row r="20" spans="2:16" x14ac:dyDescent="0.2">
      <c r="B20" s="23" t="s">
        <v>31</v>
      </c>
      <c r="C20" s="24">
        <f>SUM(C17:C19)</f>
        <v>10970</v>
      </c>
      <c r="D20" s="7" t="e">
        <f>C20/#REF!</f>
        <v>#REF!</v>
      </c>
      <c r="G20" s="1" t="s">
        <v>150</v>
      </c>
      <c r="H20" s="6">
        <f>-J7</f>
        <v>-7866.3</v>
      </c>
    </row>
    <row r="21" spans="2:16" x14ac:dyDescent="0.2">
      <c r="B21" s="1" t="s">
        <v>32</v>
      </c>
      <c r="C21" s="11">
        <f>C11+C16+C20</f>
        <v>8690</v>
      </c>
      <c r="D21" s="3" t="e">
        <f>C21/#REF!</f>
        <v>#REF!</v>
      </c>
      <c r="E21" s="21"/>
      <c r="G21" s="1" t="s">
        <v>29</v>
      </c>
      <c r="H21" s="6">
        <f>-C18</f>
        <v>-17000</v>
      </c>
    </row>
    <row r="22" spans="2:16" x14ac:dyDescent="0.2">
      <c r="B22" s="1" t="s">
        <v>33</v>
      </c>
      <c r="C22" s="11">
        <v>8465</v>
      </c>
      <c r="D22" s="3" t="e">
        <f>C22/#REF!</f>
        <v>#REF!</v>
      </c>
      <c r="G22" s="1" t="s">
        <v>28</v>
      </c>
      <c r="H22" s="6">
        <f>-C17</f>
        <v>1030</v>
      </c>
    </row>
    <row r="23" spans="2:16" x14ac:dyDescent="0.2">
      <c r="B23" s="8" t="s">
        <v>34</v>
      </c>
      <c r="C23" s="22">
        <f>C21+C22</f>
        <v>17155</v>
      </c>
      <c r="D23" s="3" t="e">
        <f>C23/#REF!</f>
        <v>#REF!</v>
      </c>
      <c r="G23" s="1" t="s">
        <v>35</v>
      </c>
      <c r="H23" s="6">
        <f>-C15</f>
        <v>14000</v>
      </c>
    </row>
    <row r="24" spans="2:16" x14ac:dyDescent="0.2">
      <c r="G24" s="1" t="s">
        <v>32</v>
      </c>
      <c r="H24" s="6">
        <f>C21</f>
        <v>8690</v>
      </c>
      <c r="J24" s="6">
        <f>SUM(H20:H24)</f>
        <v>-1146.2999999999993</v>
      </c>
      <c r="P24" s="6"/>
    </row>
    <row r="25" spans="2:16" x14ac:dyDescent="0.2">
      <c r="G25" s="1" t="s">
        <v>151</v>
      </c>
      <c r="J25" s="6">
        <f>SUM(J17:J24)</f>
        <v>3853.7000000000007</v>
      </c>
    </row>
    <row r="26" spans="2:16" x14ac:dyDescent="0.2">
      <c r="E26" s="6"/>
    </row>
    <row r="28" spans="2:16" x14ac:dyDescent="0.2">
      <c r="B28" s="26"/>
      <c r="C28" s="18"/>
      <c r="G28" s="13" t="s">
        <v>152</v>
      </c>
    </row>
    <row r="29" spans="2:16" x14ac:dyDescent="0.2">
      <c r="B29" s="26"/>
      <c r="C29" s="18"/>
      <c r="G29" s="13" t="s">
        <v>153</v>
      </c>
    </row>
    <row r="30" spans="2:16" x14ac:dyDescent="0.2">
      <c r="B30" s="26"/>
      <c r="C30" s="6"/>
      <c r="G30" s="13" t="s">
        <v>154</v>
      </c>
      <c r="H30" s="18"/>
      <c r="I30" s="18"/>
      <c r="J30" s="18"/>
      <c r="K30" s="18"/>
    </row>
    <row r="31" spans="2:16" x14ac:dyDescent="0.2">
      <c r="B31" s="26"/>
      <c r="C31" s="6"/>
      <c r="E31" s="6"/>
      <c r="G31" s="13" t="s">
        <v>155</v>
      </c>
      <c r="H31" s="18"/>
      <c r="I31" s="18"/>
      <c r="J31" s="18"/>
      <c r="K31" s="18"/>
    </row>
    <row r="32" spans="2:16" x14ac:dyDescent="0.2">
      <c r="B32" s="2"/>
      <c r="C32" s="19"/>
      <c r="D32" s="2"/>
      <c r="E32" s="12"/>
      <c r="G32" s="13" t="s">
        <v>156</v>
      </c>
      <c r="H32" s="19"/>
      <c r="I32" s="19"/>
      <c r="J32" s="19"/>
      <c r="K32" s="19"/>
    </row>
    <row r="33" spans="2:11" x14ac:dyDescent="0.2">
      <c r="B33" s="26"/>
      <c r="C33" s="18"/>
    </row>
    <row r="34" spans="2:11" x14ac:dyDescent="0.2">
      <c r="E34" s="18"/>
    </row>
    <row r="35" spans="2:11" x14ac:dyDescent="0.2">
      <c r="B35" s="26"/>
      <c r="E35" s="18"/>
      <c r="H35" s="18"/>
      <c r="I35" s="18"/>
      <c r="J35" s="18"/>
      <c r="K35" s="18"/>
    </row>
    <row r="36" spans="2:11" x14ac:dyDescent="0.2">
      <c r="B36" s="2"/>
      <c r="C36" s="19"/>
      <c r="D36" s="2"/>
      <c r="E36" s="12"/>
      <c r="H36" s="18"/>
      <c r="I36" s="18"/>
      <c r="J36" s="18"/>
      <c r="K36" s="18"/>
    </row>
    <row r="37" spans="2:11" x14ac:dyDescent="0.2">
      <c r="B37" s="26"/>
      <c r="C37" s="13"/>
      <c r="G37" s="2"/>
      <c r="H37" s="19"/>
      <c r="I37" s="19"/>
      <c r="J37" s="19"/>
      <c r="K37" s="19"/>
    </row>
    <row r="38" spans="2:11" x14ac:dyDescent="0.2">
      <c r="B38" s="2"/>
      <c r="C38" s="30"/>
      <c r="D38" s="2"/>
      <c r="E38" s="12"/>
    </row>
    <row r="39" spans="2:11" x14ac:dyDescent="0.2">
      <c r="B39" s="27"/>
      <c r="C39" s="15"/>
    </row>
    <row r="40" spans="2:11" x14ac:dyDescent="0.2">
      <c r="B40" s="26"/>
    </row>
    <row r="41" spans="2:11" x14ac:dyDescent="0.2">
      <c r="B41" s="4"/>
      <c r="C41" s="18"/>
    </row>
    <row r="42" spans="2:11" x14ac:dyDescent="0.2">
      <c r="B42" s="26"/>
      <c r="C42" s="18"/>
      <c r="E42" s="12"/>
    </row>
    <row r="43" spans="2:11" x14ac:dyDescent="0.2">
      <c r="C43" s="18"/>
    </row>
    <row r="44" spans="2:11" x14ac:dyDescent="0.2">
      <c r="B44" s="4"/>
      <c r="C44" s="18"/>
    </row>
    <row r="45" spans="2:11" x14ac:dyDescent="0.2">
      <c r="C45" s="18"/>
      <c r="H45" s="6"/>
    </row>
    <row r="46" spans="2:11" x14ac:dyDescent="0.2">
      <c r="C46" s="18"/>
      <c r="G46" s="14"/>
      <c r="H46" s="6"/>
    </row>
    <row r="47" spans="2:11" x14ac:dyDescent="0.2">
      <c r="C47" s="18"/>
      <c r="D47" s="6"/>
      <c r="E47" s="6"/>
      <c r="G47" s="14"/>
    </row>
    <row r="48" spans="2:11" x14ac:dyDescent="0.2">
      <c r="C48" s="18"/>
      <c r="D48" s="6"/>
      <c r="G48" s="14"/>
      <c r="H48" s="6"/>
    </row>
    <row r="49" spans="2:7" x14ac:dyDescent="0.2">
      <c r="C49" s="6"/>
      <c r="E49" s="6"/>
      <c r="G49" s="14"/>
    </row>
    <row r="50" spans="2:7" x14ac:dyDescent="0.2">
      <c r="B50" s="29"/>
      <c r="C50" s="6"/>
      <c r="D50" s="6"/>
      <c r="E50" s="12"/>
    </row>
    <row r="51" spans="2:7" x14ac:dyDescent="0.2">
      <c r="C51" s="6"/>
    </row>
    <row r="52" spans="2:7" x14ac:dyDescent="0.2">
      <c r="B52" s="2"/>
      <c r="C52" s="12"/>
      <c r="D52" s="6"/>
      <c r="E52" s="6"/>
    </row>
    <row r="54" spans="2:7" x14ac:dyDescent="0.2">
      <c r="C54" s="6"/>
    </row>
    <row r="60" spans="2:7" x14ac:dyDescent="0.2">
      <c r="C60" s="18"/>
      <c r="D60" s="6"/>
      <c r="E60" s="6"/>
      <c r="F60" s="21"/>
    </row>
    <row r="61" spans="2:7" x14ac:dyDescent="0.2">
      <c r="B61" s="2"/>
      <c r="C61" s="12"/>
      <c r="E61" s="12"/>
    </row>
    <row r="62" spans="2:7" x14ac:dyDescent="0.2">
      <c r="C62" s="6"/>
    </row>
    <row r="63" spans="2:7" x14ac:dyDescent="0.2">
      <c r="D63" s="6"/>
    </row>
    <row r="65" spans="2:6" x14ac:dyDescent="0.2">
      <c r="B65" s="4"/>
    </row>
    <row r="66" spans="2:6" x14ac:dyDescent="0.2">
      <c r="C66" s="6"/>
    </row>
    <row r="67" spans="2:6" x14ac:dyDescent="0.2">
      <c r="C67" s="28"/>
    </row>
    <row r="68" spans="2:6" x14ac:dyDescent="0.2">
      <c r="C68" s="18"/>
      <c r="F68" s="21"/>
    </row>
    <row r="70" spans="2:6" x14ac:dyDescent="0.2">
      <c r="C70" s="18"/>
    </row>
    <row r="71" spans="2:6" x14ac:dyDescent="0.2">
      <c r="C71" s="18"/>
      <c r="D71" s="6"/>
      <c r="F71" s="21"/>
    </row>
    <row r="72" spans="2:6" x14ac:dyDescent="0.2">
      <c r="C72" s="6"/>
    </row>
    <row r="73" spans="2:6" x14ac:dyDescent="0.2">
      <c r="B73" s="4"/>
    </row>
    <row r="74" spans="2:6" x14ac:dyDescent="0.2">
      <c r="C74" s="18"/>
    </row>
    <row r="76" spans="2:6" x14ac:dyDescent="0.2">
      <c r="B76" s="29"/>
      <c r="C76" s="12"/>
    </row>
    <row r="77" spans="2:6" x14ac:dyDescent="0.2">
      <c r="C77" s="6"/>
      <c r="D77" s="6"/>
    </row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8" customFormat="1" x14ac:dyDescent="0.2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77"/>
  <sheetViews>
    <sheetView topLeftCell="B26" zoomScaleNormal="100" workbookViewId="0">
      <selection activeCell="G50" sqref="G50"/>
    </sheetView>
  </sheetViews>
  <sheetFormatPr baseColWidth="10" defaultColWidth="8.6640625" defaultRowHeight="16" x14ac:dyDescent="0.2"/>
  <cols>
    <col min="1" max="1" width="8.6640625" style="1"/>
    <col min="2" max="2" width="67.1640625" style="1" customWidth="1"/>
    <col min="3" max="4" width="8.6640625" style="1"/>
    <col min="5" max="5" width="9.1640625" style="1" bestFit="1" customWidth="1"/>
    <col min="6" max="6" width="8.6640625" style="1"/>
    <col min="7" max="7" width="46.33203125" style="1" customWidth="1"/>
    <col min="8" max="16384" width="8.6640625" style="1"/>
  </cols>
  <sheetData>
    <row r="3" spans="2:9" ht="20" x14ac:dyDescent="0.2">
      <c r="B3" s="48" t="s">
        <v>37</v>
      </c>
      <c r="C3" s="2"/>
    </row>
    <row r="5" spans="2:9" x14ac:dyDescent="0.2">
      <c r="B5" s="31" t="s">
        <v>38</v>
      </c>
      <c r="C5" s="32">
        <v>2021</v>
      </c>
      <c r="E5" s="44" t="s">
        <v>39</v>
      </c>
      <c r="G5" s="13" t="s">
        <v>157</v>
      </c>
      <c r="H5" s="1">
        <v>2020</v>
      </c>
      <c r="I5" s="1">
        <f>H5+1</f>
        <v>2021</v>
      </c>
    </row>
    <row r="6" spans="2:9" x14ac:dyDescent="0.2">
      <c r="B6" s="1" t="s">
        <v>0</v>
      </c>
      <c r="C6" s="3">
        <v>14469</v>
      </c>
      <c r="E6" s="45"/>
    </row>
    <row r="7" spans="2:9" x14ac:dyDescent="0.2">
      <c r="B7" s="8" t="s">
        <v>1</v>
      </c>
      <c r="C7" s="5">
        <v>-4276</v>
      </c>
      <c r="E7" s="46"/>
      <c r="G7" s="1" t="s">
        <v>158</v>
      </c>
      <c r="H7" s="6">
        <f>C65</f>
        <v>18082</v>
      </c>
      <c r="I7" s="6">
        <f>D65</f>
        <v>18478</v>
      </c>
    </row>
    <row r="8" spans="2:9" x14ac:dyDescent="0.2">
      <c r="B8" s="2" t="s">
        <v>41</v>
      </c>
      <c r="C8" s="7">
        <f t="shared" ref="C8" si="0">C6+C7</f>
        <v>10193</v>
      </c>
      <c r="E8" s="44"/>
      <c r="G8" s="1" t="s">
        <v>159</v>
      </c>
      <c r="H8" s="1">
        <f>C100</f>
        <v>30</v>
      </c>
      <c r="I8" s="1">
        <f>D100</f>
        <v>37</v>
      </c>
    </row>
    <row r="9" spans="2:9" x14ac:dyDescent="0.2">
      <c r="E9" s="44"/>
      <c r="G9" s="1" t="s">
        <v>10</v>
      </c>
      <c r="H9" s="6">
        <f>C62</f>
        <v>792</v>
      </c>
      <c r="I9" s="6">
        <f>D62</f>
        <v>952</v>
      </c>
    </row>
    <row r="10" spans="2:9" x14ac:dyDescent="0.2">
      <c r="B10" s="1" t="s">
        <v>42</v>
      </c>
      <c r="C10" s="3">
        <v>-1261</v>
      </c>
      <c r="E10" s="46"/>
      <c r="G10" s="2" t="s">
        <v>160</v>
      </c>
      <c r="H10" s="6">
        <f>H7-SUM(H8:H9)</f>
        <v>17260</v>
      </c>
      <c r="I10" s="6">
        <f>I7-SUM(I8:I9)</f>
        <v>17489</v>
      </c>
    </row>
    <row r="11" spans="2:9" x14ac:dyDescent="0.2">
      <c r="B11" s="1" t="s">
        <v>43</v>
      </c>
      <c r="C11" s="3">
        <v>-7067</v>
      </c>
      <c r="E11" s="46"/>
      <c r="G11" s="1" t="s">
        <v>161</v>
      </c>
      <c r="H11" s="1">
        <f>C74</f>
        <v>314</v>
      </c>
      <c r="I11" s="1">
        <f>D74</f>
        <v>339</v>
      </c>
    </row>
    <row r="12" spans="2:9" x14ac:dyDescent="0.2">
      <c r="B12" s="8" t="s">
        <v>2</v>
      </c>
      <c r="C12" s="8">
        <v>-840</v>
      </c>
      <c r="E12" s="46"/>
      <c r="G12" s="1" t="s">
        <v>162</v>
      </c>
      <c r="H12" s="1">
        <f>C75</f>
        <v>926</v>
      </c>
      <c r="I12" s="1">
        <f>D75</f>
        <v>1000</v>
      </c>
    </row>
    <row r="13" spans="2:9" x14ac:dyDescent="0.2">
      <c r="B13" s="2" t="s">
        <v>44</v>
      </c>
      <c r="C13" s="12">
        <f t="shared" ref="C13" si="1">SUM(C8:C12)</f>
        <v>1025</v>
      </c>
      <c r="E13" s="44"/>
      <c r="G13" s="1" t="s">
        <v>12</v>
      </c>
      <c r="H13" s="6">
        <f>C79</f>
        <v>2555</v>
      </c>
      <c r="I13" s="6">
        <f>D79</f>
        <v>2977</v>
      </c>
    </row>
    <row r="14" spans="2:9" x14ac:dyDescent="0.2">
      <c r="B14" s="1" t="s">
        <v>45</v>
      </c>
      <c r="C14" s="10">
        <v>-160</v>
      </c>
      <c r="E14" s="46" t="s">
        <v>40</v>
      </c>
      <c r="G14" s="1" t="s">
        <v>72</v>
      </c>
      <c r="H14" s="1">
        <f>C80</f>
        <v>66</v>
      </c>
      <c r="I14" s="1">
        <f>D80</f>
        <v>131</v>
      </c>
    </row>
    <row r="15" spans="2:9" x14ac:dyDescent="0.2">
      <c r="B15" s="2" t="s">
        <v>47</v>
      </c>
      <c r="C15" s="7">
        <f t="shared" ref="C15" si="2">C13+C14</f>
        <v>865</v>
      </c>
      <c r="D15" s="34"/>
      <c r="G15" s="1" t="s">
        <v>13</v>
      </c>
      <c r="H15" s="1">
        <f>C117</f>
        <v>155</v>
      </c>
      <c r="I15" s="1">
        <f>D117</f>
        <v>165</v>
      </c>
    </row>
    <row r="16" spans="2:9" x14ac:dyDescent="0.2">
      <c r="D16" s="34"/>
      <c r="G16" s="2" t="s">
        <v>163</v>
      </c>
      <c r="H16" s="12">
        <f>H10-SUM(H11:H15)</f>
        <v>13244</v>
      </c>
      <c r="I16" s="12">
        <f>I10-SUM(I11:I15)</f>
        <v>12877</v>
      </c>
    </row>
    <row r="17" spans="2:9" x14ac:dyDescent="0.2">
      <c r="B17" s="1" t="s">
        <v>3</v>
      </c>
      <c r="C17" s="1">
        <v>38</v>
      </c>
      <c r="D17" s="34"/>
    </row>
    <row r="18" spans="2:9" x14ac:dyDescent="0.2">
      <c r="B18" s="8" t="s">
        <v>4</v>
      </c>
      <c r="C18" s="8">
        <v>-191</v>
      </c>
      <c r="D18" s="33"/>
      <c r="G18" s="1" t="s">
        <v>91</v>
      </c>
      <c r="H18" s="1">
        <f>-H8</f>
        <v>-30</v>
      </c>
      <c r="I18" s="1">
        <f>-I8</f>
        <v>-37</v>
      </c>
    </row>
    <row r="19" spans="2:9" x14ac:dyDescent="0.2">
      <c r="B19" s="2" t="s">
        <v>5</v>
      </c>
      <c r="C19" s="7">
        <f t="shared" ref="C19" si="3">SUM(C15:C18)</f>
        <v>712</v>
      </c>
      <c r="G19" s="1" t="s">
        <v>164</v>
      </c>
      <c r="H19" s="1">
        <f>-H9</f>
        <v>-792</v>
      </c>
      <c r="I19" s="1">
        <f>-I9</f>
        <v>-952</v>
      </c>
    </row>
    <row r="20" spans="2:9" x14ac:dyDescent="0.2">
      <c r="G20" s="1" t="s">
        <v>165</v>
      </c>
      <c r="H20" s="6">
        <f>C73</f>
        <v>2512</v>
      </c>
      <c r="I20" s="6">
        <f>D73</f>
        <v>3499</v>
      </c>
    </row>
    <row r="21" spans="2:9" x14ac:dyDescent="0.2">
      <c r="B21" s="8" t="s">
        <v>6</v>
      </c>
      <c r="C21" s="8">
        <v>-202</v>
      </c>
      <c r="G21" s="1" t="s">
        <v>166</v>
      </c>
      <c r="H21" s="6">
        <f>C78</f>
        <v>3908</v>
      </c>
      <c r="I21" s="6">
        <f>D78</f>
        <v>2102</v>
      </c>
    </row>
    <row r="22" spans="2:9" ht="17" thickBot="1" x14ac:dyDescent="0.25">
      <c r="B22" s="35" t="s">
        <v>7</v>
      </c>
      <c r="C22" s="36">
        <f t="shared" ref="C22" si="4">C19+C21</f>
        <v>510</v>
      </c>
      <c r="G22" s="1" t="s">
        <v>87</v>
      </c>
      <c r="H22" s="1">
        <f>C118</f>
        <v>10</v>
      </c>
      <c r="I22" s="1">
        <f>D118</f>
        <v>15</v>
      </c>
    </row>
    <row r="23" spans="2:9" x14ac:dyDescent="0.2">
      <c r="G23" s="2" t="s">
        <v>167</v>
      </c>
      <c r="H23" s="2">
        <f>SUM(H18:H22)</f>
        <v>5608</v>
      </c>
      <c r="I23" s="2">
        <f>SUM(I18:I22)</f>
        <v>4627</v>
      </c>
    </row>
    <row r="24" spans="2:9" ht="20" x14ac:dyDescent="0.2">
      <c r="B24" s="48" t="s">
        <v>76</v>
      </c>
    </row>
    <row r="25" spans="2:9" x14ac:dyDescent="0.2">
      <c r="B25" s="2" t="s">
        <v>7</v>
      </c>
      <c r="C25" s="12">
        <f>C22</f>
        <v>510</v>
      </c>
      <c r="G25" s="2" t="s">
        <v>168</v>
      </c>
      <c r="H25" s="12">
        <f>H16-H23</f>
        <v>7636</v>
      </c>
      <c r="I25" s="12">
        <f>I16-I23</f>
        <v>8250</v>
      </c>
    </row>
    <row r="26" spans="2:9" x14ac:dyDescent="0.2">
      <c r="C26" s="6"/>
    </row>
    <row r="27" spans="2:9" x14ac:dyDescent="0.2">
      <c r="B27" s="2" t="s">
        <v>78</v>
      </c>
      <c r="C27" s="6"/>
      <c r="G27" s="13" t="s">
        <v>169</v>
      </c>
    </row>
    <row r="28" spans="2:9" x14ac:dyDescent="0.2">
      <c r="B28" s="1" t="s">
        <v>100</v>
      </c>
      <c r="C28" s="6">
        <v>-40</v>
      </c>
      <c r="G28" s="13" t="s">
        <v>170</v>
      </c>
    </row>
    <row r="29" spans="2:9" x14ac:dyDescent="0.2">
      <c r="B29" s="1" t="s">
        <v>101</v>
      </c>
      <c r="C29" s="6">
        <v>9</v>
      </c>
    </row>
    <row r="30" spans="2:9" x14ac:dyDescent="0.2">
      <c r="B30" s="1" t="s">
        <v>102</v>
      </c>
      <c r="C30" s="10">
        <v>5</v>
      </c>
      <c r="G30" s="13" t="s">
        <v>171</v>
      </c>
      <c r="H30" s="1">
        <v>2021</v>
      </c>
    </row>
    <row r="31" spans="2:9" x14ac:dyDescent="0.2">
      <c r="B31" s="2" t="s">
        <v>77</v>
      </c>
      <c r="C31" s="12">
        <f>SUM(C28:C30)</f>
        <v>-26</v>
      </c>
    </row>
    <row r="32" spans="2:9" x14ac:dyDescent="0.2">
      <c r="C32" s="6"/>
      <c r="G32" s="1" t="s">
        <v>0</v>
      </c>
      <c r="I32" s="6">
        <f>C6</f>
        <v>14469</v>
      </c>
    </row>
    <row r="33" spans="2:9" x14ac:dyDescent="0.2">
      <c r="B33" s="2" t="s">
        <v>80</v>
      </c>
      <c r="C33" s="12">
        <f>C25+C31</f>
        <v>484</v>
      </c>
      <c r="G33" s="1" t="s">
        <v>1</v>
      </c>
      <c r="I33" s="6">
        <f>C7</f>
        <v>-4276</v>
      </c>
    </row>
    <row r="34" spans="2:9" x14ac:dyDescent="0.2">
      <c r="C34" s="6"/>
      <c r="G34" s="2" t="s">
        <v>172</v>
      </c>
      <c r="I34" s="6">
        <f>SUM(I32:I33)</f>
        <v>10193</v>
      </c>
    </row>
    <row r="36" spans="2:9" ht="20" x14ac:dyDescent="0.2">
      <c r="B36" s="48" t="s">
        <v>49</v>
      </c>
      <c r="C36" s="2"/>
      <c r="D36" s="2"/>
      <c r="E36" s="2"/>
      <c r="F36" s="2"/>
      <c r="G36" s="1" t="s">
        <v>173</v>
      </c>
      <c r="I36" s="6">
        <f>C10</f>
        <v>-1261</v>
      </c>
    </row>
    <row r="37" spans="2:9" x14ac:dyDescent="0.2">
      <c r="G37" s="1" t="s">
        <v>43</v>
      </c>
      <c r="I37" s="6">
        <f>C11</f>
        <v>-7067</v>
      </c>
    </row>
    <row r="38" spans="2:9" x14ac:dyDescent="0.2">
      <c r="B38" s="31" t="s">
        <v>38</v>
      </c>
      <c r="C38" s="32">
        <v>2020</v>
      </c>
      <c r="D38" s="32">
        <v>2021</v>
      </c>
      <c r="F38" s="37"/>
      <c r="G38" s="1" t="s">
        <v>2</v>
      </c>
      <c r="I38" s="6">
        <f>C12</f>
        <v>-840</v>
      </c>
    </row>
    <row r="39" spans="2:9" x14ac:dyDescent="0.2">
      <c r="B39" s="2" t="s">
        <v>50</v>
      </c>
      <c r="C39" s="2"/>
      <c r="D39" s="2"/>
      <c r="F39" s="2"/>
      <c r="G39" s="2" t="s">
        <v>174</v>
      </c>
      <c r="I39" s="6">
        <f>I34+SUM(I36:I38)</f>
        <v>1025</v>
      </c>
    </row>
    <row r="40" spans="2:9" x14ac:dyDescent="0.2">
      <c r="B40" s="1" t="s">
        <v>74</v>
      </c>
      <c r="C40" s="3">
        <v>7826</v>
      </c>
      <c r="D40" s="3">
        <v>8320</v>
      </c>
      <c r="F40" s="3"/>
    </row>
    <row r="41" spans="2:9" x14ac:dyDescent="0.2">
      <c r="B41" s="1" t="s">
        <v>51</v>
      </c>
      <c r="C41" s="3">
        <v>21</v>
      </c>
      <c r="D41" s="3">
        <v>12</v>
      </c>
      <c r="F41" s="3"/>
      <c r="G41" s="1" t="s">
        <v>175</v>
      </c>
      <c r="H41" s="1">
        <f>C21</f>
        <v>-202</v>
      </c>
    </row>
    <row r="42" spans="2:9" x14ac:dyDescent="0.2">
      <c r="B42" s="1" t="s">
        <v>52</v>
      </c>
      <c r="C42" s="3">
        <v>508</v>
      </c>
      <c r="D42" s="3">
        <v>489</v>
      </c>
      <c r="F42" s="3"/>
      <c r="G42" s="1" t="s">
        <v>176</v>
      </c>
      <c r="H42" s="1" cm="1">
        <f t="array" ref="H42">SUM(C17:C18*22%)</f>
        <v>-33.660000000000004</v>
      </c>
      <c r="I42" s="1">
        <f>SUM(H41:H42)</f>
        <v>-235.66</v>
      </c>
    </row>
    <row r="43" spans="2:9" x14ac:dyDescent="0.2">
      <c r="B43" s="1" t="s">
        <v>53</v>
      </c>
      <c r="C43" s="1">
        <v>221</v>
      </c>
      <c r="D43" s="1">
        <v>283</v>
      </c>
      <c r="G43" s="2" t="s">
        <v>182</v>
      </c>
      <c r="I43" s="6">
        <f>I39+I42</f>
        <v>789.34</v>
      </c>
    </row>
    <row r="44" spans="2:9" ht="17" thickBot="1" x14ac:dyDescent="0.25">
      <c r="B44" s="38" t="s">
        <v>54</v>
      </c>
      <c r="C44" s="39">
        <f t="shared" ref="C44:D44" si="5">SUM(C40:C43)</f>
        <v>8576</v>
      </c>
      <c r="D44" s="39">
        <f t="shared" si="5"/>
        <v>9104</v>
      </c>
      <c r="F44" s="9"/>
    </row>
    <row r="45" spans="2:9" x14ac:dyDescent="0.2">
      <c r="F45" s="3"/>
      <c r="G45" s="2" t="s">
        <v>177</v>
      </c>
    </row>
    <row r="46" spans="2:9" x14ac:dyDescent="0.2">
      <c r="B46" s="1" t="s">
        <v>55</v>
      </c>
      <c r="C46" s="1">
        <v>887</v>
      </c>
      <c r="D46" s="1">
        <v>980</v>
      </c>
      <c r="F46" s="3"/>
      <c r="G46" s="1" t="s">
        <v>178</v>
      </c>
      <c r="H46" s="1">
        <f>D92</f>
        <v>-160</v>
      </c>
    </row>
    <row r="47" spans="2:9" x14ac:dyDescent="0.2">
      <c r="B47" s="1" t="s">
        <v>56</v>
      </c>
      <c r="C47" s="1">
        <v>240</v>
      </c>
      <c r="D47" s="1">
        <v>217</v>
      </c>
      <c r="F47" s="3"/>
      <c r="G47" s="1" t="s">
        <v>179</v>
      </c>
      <c r="H47" s="6">
        <f>C28</f>
        <v>-40</v>
      </c>
    </row>
    <row r="48" spans="2:9" x14ac:dyDescent="0.2">
      <c r="B48" s="1" t="s">
        <v>57</v>
      </c>
      <c r="C48" s="1">
        <v>372</v>
      </c>
      <c r="D48" s="1">
        <v>350</v>
      </c>
      <c r="F48" s="3"/>
      <c r="G48" s="1" t="s">
        <v>180</v>
      </c>
      <c r="H48" s="6">
        <f>C29</f>
        <v>9</v>
      </c>
      <c r="I48" s="1">
        <f>SUM(H46:H48)</f>
        <v>-191</v>
      </c>
    </row>
    <row r="49" spans="2:9" x14ac:dyDescent="0.2">
      <c r="B49" s="1" t="s">
        <v>58</v>
      </c>
      <c r="C49" s="1">
        <v>427</v>
      </c>
      <c r="D49" s="1">
        <v>411</v>
      </c>
      <c r="F49" s="3"/>
    </row>
    <row r="50" spans="2:9" x14ac:dyDescent="0.2">
      <c r="B50" s="1" t="s">
        <v>53</v>
      </c>
      <c r="C50" s="1">
        <v>135</v>
      </c>
      <c r="D50" s="1">
        <v>181</v>
      </c>
      <c r="F50" s="11"/>
      <c r="G50" s="2" t="s">
        <v>181</v>
      </c>
      <c r="I50" s="6">
        <f>SUM(I43:I48)</f>
        <v>598.34</v>
      </c>
    </row>
    <row r="51" spans="2:9" ht="17" thickBot="1" x14ac:dyDescent="0.25">
      <c r="B51" s="38" t="s">
        <v>59</v>
      </c>
      <c r="C51" s="39">
        <f t="shared" ref="C51:D51" si="6">SUM(C46:C50)</f>
        <v>2061</v>
      </c>
      <c r="D51" s="39">
        <f t="shared" si="6"/>
        <v>2139</v>
      </c>
      <c r="F51" s="9"/>
    </row>
    <row r="52" spans="2:9" x14ac:dyDescent="0.2">
      <c r="F52" s="3"/>
      <c r="G52" s="1" t="s">
        <v>183</v>
      </c>
    </row>
    <row r="53" spans="2:9" x14ac:dyDescent="0.2">
      <c r="B53" s="1" t="s">
        <v>79</v>
      </c>
      <c r="C53" s="1">
        <v>30</v>
      </c>
      <c r="D53" s="1">
        <v>517</v>
      </c>
      <c r="E53" s="46" t="s">
        <v>46</v>
      </c>
      <c r="F53" s="3"/>
      <c r="G53" s="1" t="s">
        <v>3</v>
      </c>
      <c r="H53" s="1">
        <f>C17</f>
        <v>38</v>
      </c>
    </row>
    <row r="54" spans="2:9" x14ac:dyDescent="0.2">
      <c r="B54" s="1" t="s">
        <v>60</v>
      </c>
      <c r="C54" s="1">
        <v>551</v>
      </c>
      <c r="D54" s="1">
        <v>553</v>
      </c>
      <c r="F54" s="3"/>
      <c r="G54" s="1" t="s">
        <v>184</v>
      </c>
      <c r="H54" s="1">
        <f>C18</f>
        <v>-191</v>
      </c>
    </row>
    <row r="55" spans="2:9" ht="17" thickBot="1" x14ac:dyDescent="0.25">
      <c r="B55" s="38" t="s">
        <v>61</v>
      </c>
      <c r="C55" s="39">
        <f t="shared" ref="C55:D55" si="7">SUM(C53:C54)</f>
        <v>581</v>
      </c>
      <c r="D55" s="39">
        <f t="shared" si="7"/>
        <v>1070</v>
      </c>
      <c r="F55" s="9"/>
      <c r="G55" s="1" t="s">
        <v>185</v>
      </c>
      <c r="H55" s="1">
        <f>SUM(H53:H54)</f>
        <v>-153</v>
      </c>
    </row>
    <row r="56" spans="2:9" x14ac:dyDescent="0.2">
      <c r="G56" s="1" t="s">
        <v>186</v>
      </c>
      <c r="H56" s="1">
        <f>H42*(-1)</f>
        <v>33.660000000000004</v>
      </c>
    </row>
    <row r="57" spans="2:9" ht="17" thickBot="1" x14ac:dyDescent="0.25">
      <c r="B57" s="35" t="s">
        <v>62</v>
      </c>
      <c r="C57" s="40">
        <f t="shared" ref="C57:D57" si="8">C44+C51+C55</f>
        <v>11218</v>
      </c>
      <c r="D57" s="40">
        <f t="shared" si="8"/>
        <v>12313</v>
      </c>
      <c r="F57" s="12"/>
      <c r="G57" s="1" t="s">
        <v>187</v>
      </c>
      <c r="H57" s="1">
        <f>SUM(H55:H56)</f>
        <v>-119.34</v>
      </c>
    </row>
    <row r="58" spans="2:9" x14ac:dyDescent="0.2">
      <c r="F58" s="3"/>
      <c r="G58" s="1" t="s">
        <v>188</v>
      </c>
      <c r="H58" s="6">
        <f>C30</f>
        <v>5</v>
      </c>
      <c r="I58" s="1">
        <f>SUM(H57:H58)</f>
        <v>-114.34</v>
      </c>
    </row>
    <row r="59" spans="2:9" x14ac:dyDescent="0.2">
      <c r="B59" s="1" t="s">
        <v>8</v>
      </c>
      <c r="C59" s="3">
        <v>2136</v>
      </c>
      <c r="D59" s="3">
        <v>1968</v>
      </c>
      <c r="F59" s="41"/>
    </row>
    <row r="60" spans="2:9" x14ac:dyDescent="0.2">
      <c r="B60" s="1" t="s">
        <v>64</v>
      </c>
      <c r="C60" s="3">
        <v>3587</v>
      </c>
      <c r="D60" s="3">
        <v>2919</v>
      </c>
      <c r="F60" s="3"/>
      <c r="G60" s="2" t="s">
        <v>80</v>
      </c>
      <c r="I60" s="6">
        <f>SUM(I50:I59)</f>
        <v>484</v>
      </c>
    </row>
    <row r="61" spans="2:9" x14ac:dyDescent="0.2">
      <c r="B61" s="1" t="s">
        <v>9</v>
      </c>
      <c r="C61" s="3">
        <v>349</v>
      </c>
      <c r="D61" s="3">
        <v>326</v>
      </c>
      <c r="F61" s="3"/>
    </row>
    <row r="62" spans="2:9" x14ac:dyDescent="0.2">
      <c r="B62" s="1" t="s">
        <v>10</v>
      </c>
      <c r="C62" s="3">
        <v>792</v>
      </c>
      <c r="D62" s="3">
        <v>952</v>
      </c>
      <c r="F62" s="3"/>
      <c r="G62" s="13" t="s">
        <v>189</v>
      </c>
    </row>
    <row r="63" spans="2:9" ht="17" thickBot="1" x14ac:dyDescent="0.25">
      <c r="B63" s="38" t="s">
        <v>65</v>
      </c>
      <c r="C63" s="39">
        <f t="shared" ref="C63:D63" si="9">SUM(C59:C62)</f>
        <v>6864</v>
      </c>
      <c r="D63" s="39">
        <f t="shared" si="9"/>
        <v>6165</v>
      </c>
      <c r="F63" s="9"/>
      <c r="G63" s="13" t="s">
        <v>190</v>
      </c>
    </row>
    <row r="64" spans="2:9" x14ac:dyDescent="0.2">
      <c r="F64" s="7"/>
      <c r="G64" s="13"/>
    </row>
    <row r="65" spans="2:7" ht="17" thickBot="1" x14ac:dyDescent="0.25">
      <c r="B65" s="35" t="s">
        <v>50</v>
      </c>
      <c r="C65" s="40">
        <f t="shared" ref="C65:D65" si="10">C57+C63</f>
        <v>18082</v>
      </c>
      <c r="D65" s="40">
        <f t="shared" si="10"/>
        <v>18478</v>
      </c>
      <c r="F65" s="12"/>
      <c r="G65" s="13" t="s">
        <v>191</v>
      </c>
    </row>
    <row r="66" spans="2:7" x14ac:dyDescent="0.2">
      <c r="G66" s="13" t="s">
        <v>192</v>
      </c>
    </row>
    <row r="67" spans="2:7" x14ac:dyDescent="0.2">
      <c r="B67" s="31" t="s">
        <v>38</v>
      </c>
      <c r="C67" s="32">
        <v>2020</v>
      </c>
      <c r="D67" s="32">
        <v>2021</v>
      </c>
    </row>
    <row r="68" spans="2:7" x14ac:dyDescent="0.2">
      <c r="B68" s="2" t="s">
        <v>66</v>
      </c>
      <c r="C68" s="2"/>
      <c r="D68" s="2"/>
      <c r="E68" s="46" t="s">
        <v>48</v>
      </c>
    </row>
    <row r="69" spans="2:7" x14ac:dyDescent="0.2">
      <c r="B69" s="1" t="s">
        <v>11</v>
      </c>
      <c r="C69" s="1">
        <v>49</v>
      </c>
      <c r="D69" s="1">
        <v>48</v>
      </c>
      <c r="F69" s="33"/>
    </row>
    <row r="70" spans="2:7" x14ac:dyDescent="0.2">
      <c r="B70" s="8" t="s">
        <v>67</v>
      </c>
      <c r="C70" s="5">
        <v>7587</v>
      </c>
      <c r="D70" s="5">
        <v>8202</v>
      </c>
    </row>
    <row r="71" spans="2:7" ht="17" thickBot="1" x14ac:dyDescent="0.25">
      <c r="B71" s="38" t="s">
        <v>68</v>
      </c>
      <c r="C71" s="42">
        <f t="shared" ref="C71:D71" si="11">C69+C70</f>
        <v>7636</v>
      </c>
      <c r="D71" s="42">
        <f t="shared" si="11"/>
        <v>8250</v>
      </c>
    </row>
    <row r="72" spans="2:7" x14ac:dyDescent="0.2">
      <c r="B72" s="13"/>
    </row>
    <row r="73" spans="2:7" x14ac:dyDescent="0.2">
      <c r="B73" s="1" t="s">
        <v>69</v>
      </c>
      <c r="C73" s="3">
        <v>2512</v>
      </c>
      <c r="D73" s="3">
        <v>3499</v>
      </c>
    </row>
    <row r="74" spans="2:7" x14ac:dyDescent="0.2">
      <c r="B74" s="1" t="s">
        <v>70</v>
      </c>
      <c r="C74" s="1">
        <v>314</v>
      </c>
      <c r="D74" s="1">
        <v>339</v>
      </c>
    </row>
    <row r="75" spans="2:7" x14ac:dyDescent="0.2">
      <c r="B75" s="1" t="s">
        <v>71</v>
      </c>
      <c r="C75" s="1">
        <v>926</v>
      </c>
      <c r="D75" s="5">
        <v>1000</v>
      </c>
      <c r="F75" s="33"/>
    </row>
    <row r="76" spans="2:7" ht="17" thickBot="1" x14ac:dyDescent="0.25">
      <c r="B76" s="38" t="s">
        <v>16</v>
      </c>
      <c r="C76" s="42">
        <f t="shared" ref="C76:D76" si="12">SUM(C73:C75)</f>
        <v>3752</v>
      </c>
      <c r="D76" s="42">
        <f t="shared" si="12"/>
        <v>4838</v>
      </c>
    </row>
    <row r="77" spans="2:7" x14ac:dyDescent="0.2">
      <c r="B77" s="13"/>
      <c r="C77" s="6"/>
      <c r="D77" s="6"/>
    </row>
    <row r="78" spans="2:7" x14ac:dyDescent="0.2">
      <c r="B78" s="1" t="s">
        <v>69</v>
      </c>
      <c r="C78" s="3">
        <v>3908</v>
      </c>
      <c r="D78" s="3">
        <v>2102</v>
      </c>
    </row>
    <row r="79" spans="2:7" x14ac:dyDescent="0.2">
      <c r="B79" s="1" t="s">
        <v>12</v>
      </c>
      <c r="C79" s="3">
        <v>2555</v>
      </c>
      <c r="D79" s="3">
        <v>2977</v>
      </c>
    </row>
    <row r="80" spans="2:7" x14ac:dyDescent="0.2">
      <c r="B80" s="1" t="s">
        <v>72</v>
      </c>
      <c r="C80" s="1">
        <v>66</v>
      </c>
      <c r="D80" s="1">
        <v>131</v>
      </c>
    </row>
    <row r="81" spans="2:5" x14ac:dyDescent="0.2">
      <c r="B81" s="43" t="s">
        <v>13</v>
      </c>
      <c r="C81" s="3">
        <v>165</v>
      </c>
      <c r="D81" s="3">
        <v>180</v>
      </c>
      <c r="E81" s="46" t="s">
        <v>63</v>
      </c>
    </row>
    <row r="82" spans="2:5" ht="17" thickBot="1" x14ac:dyDescent="0.25">
      <c r="B82" s="38" t="s">
        <v>17</v>
      </c>
      <c r="C82" s="42">
        <f t="shared" ref="C82:D82" si="13">SUM(C78:C81)</f>
        <v>6694</v>
      </c>
      <c r="D82" s="42">
        <f t="shared" si="13"/>
        <v>5390</v>
      </c>
    </row>
    <row r="83" spans="2:5" x14ac:dyDescent="0.2">
      <c r="B83" s="13"/>
    </row>
    <row r="84" spans="2:5" ht="17" thickBot="1" x14ac:dyDescent="0.25">
      <c r="B84" s="35" t="s">
        <v>73</v>
      </c>
      <c r="C84" s="40">
        <f t="shared" ref="C84:D84" si="14">C76+C82</f>
        <v>10446</v>
      </c>
      <c r="D84" s="40">
        <f t="shared" si="14"/>
        <v>10228</v>
      </c>
    </row>
    <row r="86" spans="2:5" ht="17" thickBot="1" x14ac:dyDescent="0.25">
      <c r="B86" s="35" t="s">
        <v>66</v>
      </c>
      <c r="C86" s="40">
        <f t="shared" ref="C86:D86" si="15">C71+C84</f>
        <v>18082</v>
      </c>
      <c r="D86" s="40">
        <f t="shared" si="15"/>
        <v>18478</v>
      </c>
    </row>
    <row r="87" spans="2:5" x14ac:dyDescent="0.2">
      <c r="C87" s="6">
        <f>C65-C86</f>
        <v>0</v>
      </c>
      <c r="D87" s="6">
        <f>D65-D86</f>
        <v>0</v>
      </c>
    </row>
    <row r="89" spans="2:5" ht="20" x14ac:dyDescent="0.2">
      <c r="B89" s="48" t="s">
        <v>75</v>
      </c>
    </row>
    <row r="90" spans="2:5" x14ac:dyDescent="0.2">
      <c r="C90" s="32">
        <v>2020</v>
      </c>
      <c r="D90" s="32">
        <v>2021</v>
      </c>
    </row>
    <row r="91" spans="2:5" x14ac:dyDescent="0.2">
      <c r="B91" s="2" t="s">
        <v>82</v>
      </c>
    </row>
    <row r="92" spans="2:5" x14ac:dyDescent="0.2">
      <c r="B92" s="1" t="s">
        <v>81</v>
      </c>
      <c r="D92" s="1">
        <v>-160</v>
      </c>
    </row>
    <row r="94" spans="2:5" x14ac:dyDescent="0.2">
      <c r="B94" s="2" t="s">
        <v>83</v>
      </c>
    </row>
    <row r="95" spans="2:5" x14ac:dyDescent="0.2">
      <c r="B95" s="4" t="s">
        <v>91</v>
      </c>
    </row>
    <row r="96" spans="2:5" x14ac:dyDescent="0.2">
      <c r="B96" s="1" t="s">
        <v>92</v>
      </c>
      <c r="C96" s="1">
        <v>25</v>
      </c>
      <c r="D96" s="1">
        <v>30</v>
      </c>
    </row>
    <row r="97" spans="2:4" x14ac:dyDescent="0.2">
      <c r="B97" s="1" t="s">
        <v>93</v>
      </c>
      <c r="C97" s="1">
        <v>0</v>
      </c>
      <c r="D97" s="1">
        <v>0</v>
      </c>
    </row>
    <row r="98" spans="2:4" x14ac:dyDescent="0.2">
      <c r="B98" s="1" t="s">
        <v>94</v>
      </c>
      <c r="C98" s="1">
        <v>0</v>
      </c>
      <c r="D98" s="1">
        <v>0</v>
      </c>
    </row>
    <row r="99" spans="2:4" x14ac:dyDescent="0.2">
      <c r="B99" s="1" t="s">
        <v>95</v>
      </c>
      <c r="C99" s="1">
        <v>5</v>
      </c>
      <c r="D99" s="1">
        <v>7</v>
      </c>
    </row>
    <row r="100" spans="2:4" x14ac:dyDescent="0.2">
      <c r="B100" s="47" t="s">
        <v>96</v>
      </c>
      <c r="C100" s="47">
        <v>30</v>
      </c>
      <c r="D100" s="47">
        <v>37</v>
      </c>
    </row>
    <row r="101" spans="2:4" x14ac:dyDescent="0.2">
      <c r="B101" s="4" t="s">
        <v>97</v>
      </c>
    </row>
    <row r="103" spans="2:4" x14ac:dyDescent="0.2">
      <c r="B103" s="4" t="s">
        <v>98</v>
      </c>
    </row>
    <row r="104" spans="2:4" x14ac:dyDescent="0.2">
      <c r="B104" s="1" t="s">
        <v>92</v>
      </c>
      <c r="D104" s="1">
        <v>468</v>
      </c>
    </row>
    <row r="105" spans="2:4" x14ac:dyDescent="0.2">
      <c r="B105" s="1" t="s">
        <v>93</v>
      </c>
      <c r="D105" s="1">
        <v>0</v>
      </c>
    </row>
    <row r="106" spans="2:4" x14ac:dyDescent="0.2">
      <c r="B106" s="1" t="s">
        <v>94</v>
      </c>
      <c r="D106" s="1">
        <v>0</v>
      </c>
    </row>
    <row r="107" spans="2:4" x14ac:dyDescent="0.2">
      <c r="B107" s="1" t="s">
        <v>95</v>
      </c>
      <c r="D107" s="1">
        <v>12</v>
      </c>
    </row>
    <row r="108" spans="2:4" x14ac:dyDescent="0.2">
      <c r="B108" s="47" t="s">
        <v>96</v>
      </c>
      <c r="C108" s="47"/>
      <c r="D108" s="47">
        <v>480</v>
      </c>
    </row>
    <row r="109" spans="2:4" x14ac:dyDescent="0.2">
      <c r="B109" s="4" t="s">
        <v>99</v>
      </c>
    </row>
    <row r="111" spans="2:4" x14ac:dyDescent="0.2">
      <c r="B111" s="2" t="s">
        <v>84</v>
      </c>
    </row>
    <row r="112" spans="2:4" x14ac:dyDescent="0.2">
      <c r="B112" s="1" t="s">
        <v>88</v>
      </c>
    </row>
    <row r="113" spans="2:5" x14ac:dyDescent="0.2">
      <c r="B113" s="1" t="s">
        <v>89</v>
      </c>
    </row>
    <row r="114" spans="2:5" x14ac:dyDescent="0.2">
      <c r="B114" s="1" t="s">
        <v>90</v>
      </c>
    </row>
    <row r="116" spans="2:5" x14ac:dyDescent="0.2">
      <c r="B116" s="2" t="s">
        <v>85</v>
      </c>
    </row>
    <row r="117" spans="2:5" x14ac:dyDescent="0.2">
      <c r="B117" s="1" t="s">
        <v>86</v>
      </c>
      <c r="C117" s="1">
        <v>155</v>
      </c>
      <c r="D117" s="1">
        <v>165</v>
      </c>
    </row>
    <row r="118" spans="2:5" x14ac:dyDescent="0.2">
      <c r="B118" s="1" t="s">
        <v>87</v>
      </c>
      <c r="C118" s="1">
        <v>10</v>
      </c>
      <c r="D118" s="1">
        <v>15</v>
      </c>
    </row>
    <row r="119" spans="2:5" x14ac:dyDescent="0.2">
      <c r="B119" s="47" t="s">
        <v>103</v>
      </c>
      <c r="C119" s="47">
        <v>165</v>
      </c>
      <c r="D119" s="47">
        <v>180</v>
      </c>
    </row>
    <row r="122" spans="2:5" ht="20" x14ac:dyDescent="0.2">
      <c r="B122" s="74"/>
    </row>
    <row r="123" spans="2:5" x14ac:dyDescent="0.2">
      <c r="C123" s="29"/>
      <c r="D123" s="29"/>
      <c r="E123" s="34"/>
    </row>
    <row r="124" spans="2:5" x14ac:dyDescent="0.2">
      <c r="C124" s="6"/>
      <c r="D124" s="6"/>
    </row>
    <row r="125" spans="2:5" x14ac:dyDescent="0.2">
      <c r="B125" s="14"/>
    </row>
    <row r="126" spans="2:5" x14ac:dyDescent="0.2">
      <c r="B126" s="14"/>
      <c r="C126" s="6"/>
      <c r="D126" s="6"/>
    </row>
    <row r="127" spans="2:5" x14ac:dyDescent="0.2">
      <c r="B127" s="14"/>
      <c r="C127" s="6"/>
      <c r="D127" s="6"/>
    </row>
    <row r="128" spans="2:5" x14ac:dyDescent="0.2">
      <c r="B128" s="14"/>
      <c r="C128" s="75"/>
      <c r="D128" s="75"/>
    </row>
    <row r="129" spans="2:5" x14ac:dyDescent="0.2">
      <c r="B129" s="14"/>
      <c r="C129" s="75"/>
      <c r="D129" s="75"/>
    </row>
    <row r="130" spans="2:5" x14ac:dyDescent="0.2">
      <c r="B130" s="14"/>
      <c r="C130" s="75"/>
      <c r="D130" s="75"/>
    </row>
    <row r="131" spans="2:5" x14ac:dyDescent="0.2">
      <c r="B131" s="14"/>
      <c r="C131" s="75"/>
      <c r="D131" s="75"/>
    </row>
    <row r="132" spans="2:5" x14ac:dyDescent="0.2">
      <c r="B132" s="14"/>
      <c r="C132" s="75"/>
      <c r="D132" s="75"/>
    </row>
    <row r="133" spans="2:5" x14ac:dyDescent="0.2">
      <c r="B133" s="76"/>
      <c r="C133" s="12"/>
      <c r="D133" s="12"/>
      <c r="E133" s="6"/>
    </row>
    <row r="135" spans="2:5" x14ac:dyDescent="0.2">
      <c r="B135" s="14"/>
    </row>
    <row r="136" spans="2:5" x14ac:dyDescent="0.2">
      <c r="B136" s="14"/>
      <c r="C136" s="6"/>
      <c r="D136" s="6"/>
    </row>
    <row r="137" spans="2:5" x14ac:dyDescent="0.2">
      <c r="C137" s="6"/>
      <c r="D137" s="6"/>
    </row>
    <row r="138" spans="2:5" x14ac:dyDescent="0.2">
      <c r="C138" s="6"/>
      <c r="D138" s="6"/>
    </row>
    <row r="140" spans="2:5" x14ac:dyDescent="0.2">
      <c r="B140" s="76"/>
      <c r="C140" s="12"/>
      <c r="D140" s="12"/>
      <c r="E140" s="6"/>
    </row>
    <row r="142" spans="2:5" x14ac:dyDescent="0.2">
      <c r="B142" s="2"/>
      <c r="C142" s="12"/>
      <c r="D142" s="12"/>
      <c r="E142" s="6"/>
    </row>
    <row r="143" spans="2:5" x14ac:dyDescent="0.2">
      <c r="C143" s="6"/>
      <c r="D143" s="6"/>
    </row>
    <row r="144" spans="2:5" ht="20" x14ac:dyDescent="0.2">
      <c r="B144" s="74"/>
    </row>
    <row r="146" spans="2:4" x14ac:dyDescent="0.2">
      <c r="D146" s="75"/>
    </row>
    <row r="147" spans="2:4" x14ac:dyDescent="0.2">
      <c r="D147" s="75"/>
    </row>
    <row r="148" spans="2:4" x14ac:dyDescent="0.2">
      <c r="B148" s="2"/>
      <c r="D148" s="9"/>
    </row>
    <row r="150" spans="2:4" x14ac:dyDescent="0.2">
      <c r="D150" s="75"/>
    </row>
    <row r="151" spans="2:4" x14ac:dyDescent="0.2">
      <c r="D151" s="75"/>
    </row>
    <row r="153" spans="2:4" x14ac:dyDescent="0.2">
      <c r="B153" s="2"/>
      <c r="D153" s="12"/>
    </row>
    <row r="157" spans="2:4" x14ac:dyDescent="0.2">
      <c r="B157" s="2"/>
      <c r="D157" s="12"/>
    </row>
    <row r="159" spans="2:4" x14ac:dyDescent="0.2">
      <c r="B159" s="2"/>
    </row>
    <row r="162" spans="2:4" x14ac:dyDescent="0.2">
      <c r="D162" s="2"/>
    </row>
    <row r="164" spans="2:4" x14ac:dyDescent="0.2">
      <c r="B164" s="2"/>
      <c r="D164" s="12"/>
    </row>
    <row r="166" spans="2:4" x14ac:dyDescent="0.2">
      <c r="B166" s="2"/>
    </row>
    <row r="172" spans="2:4" x14ac:dyDescent="0.2">
      <c r="D172" s="2"/>
    </row>
    <row r="174" spans="2:4" x14ac:dyDescent="0.2">
      <c r="B174" s="2"/>
      <c r="C174" s="2"/>
      <c r="D174" s="12"/>
    </row>
    <row r="177" s="1" customForma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10"/>
  <sheetViews>
    <sheetView workbookViewId="0">
      <selection activeCell="K9" sqref="K9"/>
    </sheetView>
  </sheetViews>
  <sheetFormatPr baseColWidth="10" defaultColWidth="8.6640625" defaultRowHeight="16" x14ac:dyDescent="0.2"/>
  <cols>
    <col min="1" max="3" width="8.6640625" style="1"/>
    <col min="4" max="4" width="9.33203125" style="1" bestFit="1" customWidth="1"/>
    <col min="5" max="5" width="41.33203125" style="1" customWidth="1"/>
    <col min="6" max="16384" width="8.6640625" style="1"/>
  </cols>
  <sheetData>
    <row r="3" spans="2:6" x14ac:dyDescent="0.2">
      <c r="B3" s="49"/>
      <c r="C3" s="49">
        <v>2020</v>
      </c>
      <c r="D3" s="49">
        <v>2021</v>
      </c>
    </row>
    <row r="4" spans="2:6" x14ac:dyDescent="0.2">
      <c r="B4" s="1" t="s">
        <v>106</v>
      </c>
      <c r="C4" s="50">
        <v>7.0000000000000007E-2</v>
      </c>
      <c r="D4" s="53">
        <f>'Opgave 3a'!I50/AVERAGE('Opgave 3a'!H16:I16)</f>
        <v>4.5812947436928146E-2</v>
      </c>
      <c r="E4" s="14"/>
    </row>
    <row r="5" spans="2:6" x14ac:dyDescent="0.2">
      <c r="B5" s="1" t="s">
        <v>104</v>
      </c>
      <c r="C5" s="50">
        <v>7.0000000000000007E-2</v>
      </c>
      <c r="D5" s="53">
        <f>'Opgave 3a'!I50/'Opgave 3a'!I32</f>
        <v>4.1353237957011547E-2</v>
      </c>
      <c r="E5" s="14"/>
    </row>
    <row r="6" spans="2:6" x14ac:dyDescent="0.2">
      <c r="B6" s="1" t="s">
        <v>105</v>
      </c>
      <c r="C6" s="51">
        <v>1</v>
      </c>
      <c r="D6" s="54">
        <f>'Opgave 3a'!I32/AVERAGE('Opgave 3a'!H16:I16)</f>
        <v>1.1078442632364764</v>
      </c>
      <c r="E6" s="14"/>
    </row>
    <row r="7" spans="2:6" x14ac:dyDescent="0.2">
      <c r="D7" s="53"/>
    </row>
    <row r="8" spans="2:6" ht="18" x14ac:dyDescent="0.25">
      <c r="B8" s="1" t="s">
        <v>107</v>
      </c>
      <c r="C8" s="50">
        <v>7.0000000000000007E-2</v>
      </c>
      <c r="D8" s="53">
        <f>'Opgave 3a'!I43/'Opgave 3a'!I32</f>
        <v>5.455387379915682E-2</v>
      </c>
      <c r="E8" s="14"/>
    </row>
    <row r="9" spans="2:6" ht="18" x14ac:dyDescent="0.25">
      <c r="B9" s="1" t="s">
        <v>108</v>
      </c>
      <c r="C9" s="50">
        <v>0</v>
      </c>
      <c r="D9" s="53">
        <f>'Opgave 3a'!I48/'Opgave 3a'!I32</f>
        <v>-1.3200635842145276E-2</v>
      </c>
      <c r="E9" s="14"/>
      <c r="F9" s="14"/>
    </row>
    <row r="10" spans="2:6" x14ac:dyDescent="0.2">
      <c r="D10" s="5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57"/>
  <sheetViews>
    <sheetView workbookViewId="0">
      <selection activeCell="C25" sqref="C25"/>
    </sheetView>
  </sheetViews>
  <sheetFormatPr baseColWidth="10" defaultColWidth="8.6640625" defaultRowHeight="16" x14ac:dyDescent="0.2"/>
  <cols>
    <col min="1" max="1" width="8.6640625" style="1"/>
    <col min="2" max="2" width="22" style="1" customWidth="1"/>
    <col min="3" max="3" width="12.5" style="1" bestFit="1" customWidth="1"/>
    <col min="4" max="4" width="11.1640625" style="1" bestFit="1" customWidth="1"/>
    <col min="5" max="6" width="10.6640625" style="1" bestFit="1" customWidth="1"/>
    <col min="7" max="7" width="11.83203125" style="1" bestFit="1" customWidth="1"/>
    <col min="8" max="8" width="13.6640625" style="1" bestFit="1" customWidth="1"/>
    <col min="9" max="9" width="9.33203125" style="1" customWidth="1"/>
    <col min="10" max="16384" width="8.6640625" style="1"/>
  </cols>
  <sheetData>
    <row r="1" spans="2:9" x14ac:dyDescent="0.2">
      <c r="B1" s="8"/>
      <c r="C1" s="8"/>
      <c r="D1" s="8"/>
      <c r="E1" s="8"/>
      <c r="F1" s="8"/>
      <c r="G1" s="8"/>
      <c r="H1" s="8"/>
      <c r="I1" s="8"/>
    </row>
    <row r="2" spans="2:9" x14ac:dyDescent="0.2">
      <c r="B2" s="58"/>
      <c r="C2" s="56"/>
      <c r="D2" s="64"/>
      <c r="E2" s="64"/>
      <c r="F2" s="64"/>
      <c r="G2" s="64"/>
      <c r="H2" s="65"/>
      <c r="I2" s="58" t="s">
        <v>117</v>
      </c>
    </row>
    <row r="3" spans="2:9" x14ac:dyDescent="0.2">
      <c r="B3" s="59"/>
      <c r="C3" s="85" t="s">
        <v>116</v>
      </c>
      <c r="D3" s="86"/>
      <c r="E3" s="86"/>
      <c r="F3" s="86"/>
      <c r="G3" s="86"/>
      <c r="H3" s="87"/>
      <c r="I3" s="59" t="s">
        <v>118</v>
      </c>
    </row>
    <row r="4" spans="2:9" x14ac:dyDescent="0.2">
      <c r="B4" s="72" t="s">
        <v>119</v>
      </c>
      <c r="C4" s="66" t="s">
        <v>109</v>
      </c>
      <c r="D4" s="62" t="s">
        <v>110</v>
      </c>
      <c r="E4" s="62" t="s">
        <v>111</v>
      </c>
      <c r="F4" s="62" t="s">
        <v>112</v>
      </c>
      <c r="G4" s="62" t="s">
        <v>113</v>
      </c>
      <c r="H4" s="67" t="s">
        <v>114</v>
      </c>
      <c r="I4" s="63" t="s">
        <v>115</v>
      </c>
    </row>
    <row r="5" spans="2:9" x14ac:dyDescent="0.2">
      <c r="B5" s="59" t="s">
        <v>120</v>
      </c>
      <c r="C5" s="57">
        <v>-0.08</v>
      </c>
      <c r="D5" s="68">
        <v>0</v>
      </c>
      <c r="E5" s="68">
        <v>0.05</v>
      </c>
      <c r="F5" s="68">
        <v>0.05</v>
      </c>
      <c r="G5" s="68">
        <v>0.04</v>
      </c>
      <c r="H5" s="69">
        <v>0.03</v>
      </c>
      <c r="I5" s="60">
        <v>0.03</v>
      </c>
    </row>
    <row r="6" spans="2:9" ht="18" x14ac:dyDescent="0.25">
      <c r="B6" s="59" t="s">
        <v>121</v>
      </c>
      <c r="C6" s="57">
        <v>0.06</v>
      </c>
      <c r="D6" s="68">
        <v>0.06</v>
      </c>
      <c r="E6" s="68">
        <v>7.0000000000000007E-2</v>
      </c>
      <c r="F6" s="68">
        <v>0.08</v>
      </c>
      <c r="G6" s="68">
        <v>0.09</v>
      </c>
      <c r="H6" s="69">
        <v>0.1</v>
      </c>
      <c r="I6" s="60">
        <v>0.1</v>
      </c>
    </row>
    <row r="7" spans="2:9" x14ac:dyDescent="0.2">
      <c r="B7" s="59" t="s">
        <v>122</v>
      </c>
      <c r="C7" s="57">
        <v>0.25</v>
      </c>
      <c r="D7" s="68">
        <v>0.24</v>
      </c>
      <c r="E7" s="68">
        <v>0.23</v>
      </c>
      <c r="F7" s="68">
        <v>0.22</v>
      </c>
      <c r="G7" s="68">
        <v>0.21</v>
      </c>
      <c r="H7" s="69">
        <v>0.2</v>
      </c>
      <c r="I7" s="60">
        <v>0.2</v>
      </c>
    </row>
    <row r="8" spans="2:9" ht="18" x14ac:dyDescent="0.25">
      <c r="B8" s="59" t="s">
        <v>123</v>
      </c>
      <c r="C8" s="57">
        <v>5.0000000000000001E-3</v>
      </c>
      <c r="D8" s="68">
        <v>5.0000000000000001E-3</v>
      </c>
      <c r="E8" s="68">
        <v>5.0000000000000001E-3</v>
      </c>
      <c r="F8" s="68">
        <v>5.0000000000000001E-3</v>
      </c>
      <c r="G8" s="68">
        <v>5.0000000000000001E-3</v>
      </c>
      <c r="H8" s="69">
        <v>5.0000000000000001E-3</v>
      </c>
      <c r="I8" s="60">
        <v>5.0000000000000001E-3</v>
      </c>
    </row>
    <row r="9" spans="2:9" x14ac:dyDescent="0.2">
      <c r="B9" s="73" t="s">
        <v>124</v>
      </c>
      <c r="C9" s="70" t="s">
        <v>125</v>
      </c>
      <c r="D9" s="55">
        <v>1</v>
      </c>
      <c r="E9" s="55">
        <v>1</v>
      </c>
      <c r="F9" s="55">
        <v>1</v>
      </c>
      <c r="G9" s="55">
        <v>1</v>
      </c>
      <c r="H9" s="71">
        <v>1</v>
      </c>
      <c r="I9" s="61">
        <v>1</v>
      </c>
    </row>
    <row r="10" spans="2:9" x14ac:dyDescent="0.2">
      <c r="B10" s="45" t="s">
        <v>126</v>
      </c>
    </row>
    <row r="11" spans="2:9" x14ac:dyDescent="0.2">
      <c r="C11" s="1">
        <f>C12-2021</f>
        <v>1</v>
      </c>
      <c r="D11" s="1">
        <f t="shared" ref="D11:H11" si="0">D12-2021</f>
        <v>2</v>
      </c>
      <c r="E11" s="1">
        <f t="shared" si="0"/>
        <v>3</v>
      </c>
      <c r="F11" s="1">
        <f t="shared" si="0"/>
        <v>4</v>
      </c>
      <c r="G11" s="1">
        <f t="shared" si="0"/>
        <v>5</v>
      </c>
      <c r="H11" s="1">
        <f t="shared" si="0"/>
        <v>6</v>
      </c>
    </row>
    <row r="12" spans="2:9" x14ac:dyDescent="0.2">
      <c r="C12" s="1">
        <v>2022</v>
      </c>
      <c r="D12" s="1">
        <f>C12+1</f>
        <v>2023</v>
      </c>
      <c r="E12" s="1">
        <f t="shared" ref="E12:H12" si="1">D12+1</f>
        <v>2024</v>
      </c>
      <c r="F12" s="1">
        <f t="shared" si="1"/>
        <v>2025</v>
      </c>
      <c r="G12" s="1">
        <f t="shared" si="1"/>
        <v>2026</v>
      </c>
      <c r="H12" s="1">
        <f t="shared" si="1"/>
        <v>2027</v>
      </c>
    </row>
    <row r="13" spans="2:9" x14ac:dyDescent="0.2">
      <c r="B13" s="1" t="s">
        <v>0</v>
      </c>
      <c r="C13" s="81">
        <f>'Opgave 3a'!I32*(1+C5)</f>
        <v>13311.480000000001</v>
      </c>
      <c r="D13" s="81">
        <f>C13*(1+D5)</f>
        <v>13311.480000000001</v>
      </c>
      <c r="E13" s="81">
        <f t="shared" ref="E13:H13" si="2">D13*(1+E5)</f>
        <v>13977.054000000002</v>
      </c>
      <c r="F13" s="81">
        <f t="shared" si="2"/>
        <v>14675.906700000003</v>
      </c>
      <c r="G13" s="81">
        <f t="shared" si="2"/>
        <v>15262.942968000003</v>
      </c>
      <c r="H13" s="81">
        <f t="shared" si="2"/>
        <v>15720.831257040003</v>
      </c>
      <c r="I13" s="81"/>
    </row>
    <row r="14" spans="2:9" x14ac:dyDescent="0.2">
      <c r="B14" s="1" t="s">
        <v>193</v>
      </c>
      <c r="C14" s="81">
        <f>C6*C13</f>
        <v>798.68880000000001</v>
      </c>
      <c r="D14" s="81">
        <f t="shared" ref="D14:H14" si="3">D6*D13</f>
        <v>798.68880000000001</v>
      </c>
      <c r="E14" s="81">
        <f t="shared" si="3"/>
        <v>978.39378000000022</v>
      </c>
      <c r="F14" s="81">
        <f t="shared" si="3"/>
        <v>1174.0725360000004</v>
      </c>
      <c r="G14" s="81">
        <f t="shared" si="3"/>
        <v>1373.6648671200003</v>
      </c>
      <c r="H14" s="81">
        <f t="shared" si="3"/>
        <v>1572.0831257040004</v>
      </c>
      <c r="I14" s="81"/>
    </row>
    <row r="15" spans="2:9" x14ac:dyDescent="0.2">
      <c r="B15" s="1" t="s">
        <v>194</v>
      </c>
      <c r="C15" s="81">
        <f>C14*C7</f>
        <v>199.6722</v>
      </c>
      <c r="D15" s="81">
        <f t="shared" ref="D15:H15" si="4">D14*D7</f>
        <v>191.68531200000001</v>
      </c>
      <c r="E15" s="81">
        <f t="shared" si="4"/>
        <v>225.03056940000005</v>
      </c>
      <c r="F15" s="81">
        <f t="shared" si="4"/>
        <v>258.29595792000009</v>
      </c>
      <c r="G15" s="81">
        <f t="shared" si="4"/>
        <v>288.46962209520007</v>
      </c>
      <c r="H15" s="81">
        <f t="shared" si="4"/>
        <v>314.41662514080008</v>
      </c>
      <c r="I15" s="81"/>
    </row>
    <row r="16" spans="2:9" x14ac:dyDescent="0.2">
      <c r="B16" s="1" t="s">
        <v>195</v>
      </c>
      <c r="C16" s="81">
        <f>C14-C15</f>
        <v>599.01660000000004</v>
      </c>
      <c r="D16" s="81">
        <f t="shared" ref="D16:H16" si="5">D14-D15</f>
        <v>607.00348800000006</v>
      </c>
      <c r="E16" s="81">
        <f t="shared" si="5"/>
        <v>753.36321060000023</v>
      </c>
      <c r="F16" s="81">
        <f t="shared" si="5"/>
        <v>915.77657808000026</v>
      </c>
      <c r="G16" s="81">
        <f t="shared" si="5"/>
        <v>1085.1952450248002</v>
      </c>
      <c r="H16" s="81">
        <f t="shared" si="5"/>
        <v>1257.6665005632003</v>
      </c>
      <c r="I16" s="81"/>
    </row>
    <row r="17" spans="2:11" x14ac:dyDescent="0.2">
      <c r="B17" s="75" t="s">
        <v>196</v>
      </c>
      <c r="C17" s="82">
        <f>C13*C8</f>
        <v>66.557400000000001</v>
      </c>
      <c r="D17" s="82">
        <f t="shared" ref="D17:H17" si="6">D13*D8</f>
        <v>66.557400000000001</v>
      </c>
      <c r="E17" s="82">
        <f t="shared" si="6"/>
        <v>69.885270000000006</v>
      </c>
      <c r="F17" s="82">
        <f t="shared" si="6"/>
        <v>73.379533500000022</v>
      </c>
      <c r="G17" s="82">
        <f t="shared" si="6"/>
        <v>76.314714840000022</v>
      </c>
      <c r="H17" s="82">
        <f t="shared" si="6"/>
        <v>78.60415628520002</v>
      </c>
      <c r="I17" s="82"/>
    </row>
    <row r="18" spans="2:11" x14ac:dyDescent="0.2">
      <c r="B18" s="1" t="s">
        <v>197</v>
      </c>
      <c r="C18" s="75">
        <f>SUM(C16:C17)</f>
        <v>665.57400000000007</v>
      </c>
      <c r="D18" s="75">
        <f t="shared" ref="D18:H18" si="7">SUM(D16:D17)</f>
        <v>673.56088800000009</v>
      </c>
      <c r="E18" s="75">
        <f t="shared" si="7"/>
        <v>823.24848060000022</v>
      </c>
      <c r="F18" s="75">
        <f t="shared" si="7"/>
        <v>989.15611158000024</v>
      </c>
      <c r="G18" s="75">
        <f t="shared" si="7"/>
        <v>1161.5099598648003</v>
      </c>
      <c r="H18" s="75">
        <f t="shared" si="7"/>
        <v>1336.2706568484004</v>
      </c>
      <c r="I18" s="75"/>
    </row>
    <row r="19" spans="2:11" x14ac:dyDescent="0.2">
      <c r="C19" s="75"/>
      <c r="D19" s="75"/>
      <c r="E19" s="75"/>
      <c r="F19" s="75"/>
      <c r="G19" s="75"/>
      <c r="H19" s="75"/>
      <c r="J19" s="1" t="s">
        <v>210</v>
      </c>
      <c r="K19" s="1">
        <v>0.06</v>
      </c>
    </row>
    <row r="20" spans="2:11" x14ac:dyDescent="0.2">
      <c r="B20" s="1" t="s">
        <v>198</v>
      </c>
      <c r="C20" s="75">
        <f>'Opgave 3a'!I16</f>
        <v>12877</v>
      </c>
      <c r="D20" s="75">
        <f>D13</f>
        <v>13311.480000000001</v>
      </c>
      <c r="E20" s="75">
        <f t="shared" ref="E20:H20" si="8">E13</f>
        <v>13977.054000000002</v>
      </c>
      <c r="F20" s="75">
        <f t="shared" si="8"/>
        <v>14675.906700000003</v>
      </c>
      <c r="G20" s="75">
        <f t="shared" si="8"/>
        <v>15262.942968000003</v>
      </c>
      <c r="H20" s="75">
        <f t="shared" si="8"/>
        <v>15720.831257040003</v>
      </c>
    </row>
    <row r="21" spans="2:11" x14ac:dyDescent="0.2">
      <c r="C21" s="75"/>
      <c r="D21" s="75"/>
      <c r="E21" s="75"/>
      <c r="F21" s="75"/>
      <c r="G21" s="75"/>
      <c r="H21" s="75"/>
    </row>
    <row r="22" spans="2:11" x14ac:dyDescent="0.2">
      <c r="B22" s="30"/>
      <c r="C22" s="20"/>
      <c r="D22" s="20"/>
      <c r="E22" s="20"/>
      <c r="F22" s="20"/>
      <c r="G22" s="20"/>
      <c r="H22" s="20"/>
    </row>
    <row r="23" spans="2:11" x14ac:dyDescent="0.2">
      <c r="B23" s="1" t="s">
        <v>199</v>
      </c>
    </row>
    <row r="24" spans="2:11" x14ac:dyDescent="0.2">
      <c r="B24" s="1" t="s">
        <v>200</v>
      </c>
      <c r="C24" s="6">
        <f>C18-(C20*$K$19)</f>
        <v>-107.04599999999994</v>
      </c>
      <c r="D24" s="6">
        <f t="shared" ref="D24:H24" si="9">D18-(D20*$K$19)</f>
        <v>-125.12791199999992</v>
      </c>
      <c r="E24" s="6">
        <f t="shared" si="9"/>
        <v>-15.374759399999903</v>
      </c>
      <c r="F24" s="6">
        <f t="shared" si="9"/>
        <v>108.60170958000003</v>
      </c>
      <c r="G24" s="6">
        <f t="shared" si="9"/>
        <v>245.73338178480014</v>
      </c>
      <c r="H24" s="6">
        <f t="shared" si="9"/>
        <v>393.02078142600033</v>
      </c>
    </row>
    <row r="25" spans="2:11" x14ac:dyDescent="0.2">
      <c r="B25" s="1" t="s">
        <v>201</v>
      </c>
      <c r="C25" s="84">
        <f>(1+$K$19)^C11</f>
        <v>1.06</v>
      </c>
      <c r="D25" s="84">
        <f t="shared" ref="D25:H25" si="10">(1+$K$19)^D11</f>
        <v>1.1236000000000002</v>
      </c>
      <c r="E25" s="84">
        <f t="shared" si="10"/>
        <v>1.1910160000000003</v>
      </c>
      <c r="F25" s="84">
        <f t="shared" si="10"/>
        <v>1.2624769600000003</v>
      </c>
      <c r="G25" s="84">
        <f t="shared" si="10"/>
        <v>1.3382255776000005</v>
      </c>
      <c r="H25" s="84">
        <f t="shared" si="10"/>
        <v>1.4185191122560006</v>
      </c>
      <c r="I25" s="83"/>
      <c r="J25" s="83"/>
      <c r="K25" s="83"/>
    </row>
    <row r="26" spans="2:11" x14ac:dyDescent="0.2">
      <c r="B26" s="1" t="s">
        <v>202</v>
      </c>
      <c r="C26" s="1">
        <f>C24/C25</f>
        <v>-100.98679245283012</v>
      </c>
      <c r="D26" s="1">
        <f t="shared" ref="D26:H26" si="11">D24/D25</f>
        <v>-111.36339622641501</v>
      </c>
      <c r="E26" s="1">
        <f t="shared" si="11"/>
        <v>-12.908944464222058</v>
      </c>
      <c r="F26" s="1">
        <f t="shared" si="11"/>
        <v>86.022725975133838</v>
      </c>
      <c r="G26" s="1">
        <f t="shared" si="11"/>
        <v>183.62627788470695</v>
      </c>
      <c r="H26" s="1">
        <f t="shared" si="11"/>
        <v>277.0641424780971</v>
      </c>
    </row>
    <row r="27" spans="2:11" x14ac:dyDescent="0.2">
      <c r="B27" s="1" t="s">
        <v>203</v>
      </c>
      <c r="C27" s="77">
        <f>SUM(C26:H26)</f>
        <v>321.45401319447069</v>
      </c>
      <c r="D27" s="77"/>
      <c r="E27" s="77"/>
      <c r="F27" s="77"/>
      <c r="G27" s="77"/>
      <c r="H27" s="77"/>
    </row>
    <row r="28" spans="2:11" x14ac:dyDescent="0.2">
      <c r="B28" s="1" t="s">
        <v>204</v>
      </c>
      <c r="C28" s="6"/>
      <c r="D28" s="6"/>
      <c r="E28" s="6"/>
      <c r="F28" s="6"/>
      <c r="G28" s="6"/>
      <c r="H28" s="6">
        <f>H24*1.03/0.03</f>
        <v>13493.713495626012</v>
      </c>
    </row>
    <row r="29" spans="2:11" x14ac:dyDescent="0.2">
      <c r="B29" s="1" t="s">
        <v>205</v>
      </c>
      <c r="C29" s="51">
        <f>H28/H25</f>
        <v>9512.5355584146673</v>
      </c>
      <c r="D29" s="51"/>
      <c r="E29" s="51"/>
      <c r="F29" s="51"/>
      <c r="G29" s="51"/>
      <c r="H29" s="51"/>
    </row>
    <row r="30" spans="2:11" x14ac:dyDescent="0.2">
      <c r="B30" s="1" t="s">
        <v>206</v>
      </c>
      <c r="C30" s="6">
        <f>C27+C29+C20</f>
        <v>22710.989571609138</v>
      </c>
      <c r="D30" s="6"/>
      <c r="E30" s="6"/>
      <c r="F30" s="6"/>
      <c r="G30" s="6"/>
      <c r="H30" s="6"/>
    </row>
    <row r="31" spans="2:11" x14ac:dyDescent="0.2">
      <c r="B31" s="78" t="s">
        <v>207</v>
      </c>
      <c r="C31" s="1">
        <f>'Opgave 3a'!I23</f>
        <v>4627</v>
      </c>
    </row>
    <row r="32" spans="2:11" x14ac:dyDescent="0.2">
      <c r="B32" s="1" t="s">
        <v>208</v>
      </c>
      <c r="C32" s="6">
        <f>C30-C31</f>
        <v>18083.989571609138</v>
      </c>
      <c r="H32" s="75"/>
    </row>
    <row r="33" spans="2:9" x14ac:dyDescent="0.2">
      <c r="B33" s="75" t="s">
        <v>209</v>
      </c>
      <c r="C33" s="6">
        <f>C32/44</f>
        <v>410.99976299111677</v>
      </c>
    </row>
    <row r="34" spans="2:9" x14ac:dyDescent="0.2">
      <c r="B34" s="6"/>
    </row>
    <row r="35" spans="2:9" x14ac:dyDescent="0.2">
      <c r="B35" s="6"/>
    </row>
    <row r="37" spans="2:9" x14ac:dyDescent="0.2">
      <c r="B37" s="12"/>
    </row>
    <row r="41" spans="2:9" x14ac:dyDescent="0.2">
      <c r="B41" s="13" t="s">
        <v>211</v>
      </c>
      <c r="C41" s="6"/>
      <c r="D41" s="6"/>
      <c r="E41" s="6"/>
      <c r="F41" s="6"/>
      <c r="G41" s="6"/>
      <c r="H41" s="6"/>
    </row>
    <row r="42" spans="2:9" x14ac:dyDescent="0.2">
      <c r="C42" s="6"/>
      <c r="D42" s="6"/>
      <c r="E42" s="6"/>
      <c r="F42" s="6"/>
      <c r="G42" s="6"/>
      <c r="H42" s="6"/>
      <c r="I42" s="6"/>
    </row>
    <row r="43" spans="2:9" x14ac:dyDescent="0.2">
      <c r="C43" s="6"/>
      <c r="D43" s="6"/>
      <c r="E43" s="6"/>
      <c r="F43" s="6"/>
      <c r="G43" s="6"/>
      <c r="H43" s="6"/>
    </row>
    <row r="44" spans="2:9" x14ac:dyDescent="0.2">
      <c r="C44" s="79"/>
      <c r="D44" s="79"/>
      <c r="E44" s="79"/>
      <c r="F44" s="79"/>
      <c r="G44" s="79"/>
      <c r="H44" s="79"/>
    </row>
    <row r="45" spans="2:9" x14ac:dyDescent="0.2">
      <c r="B45" s="79"/>
    </row>
    <row r="48" spans="2:9" x14ac:dyDescent="0.2">
      <c r="B48" s="79"/>
    </row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</sheetData>
  <mergeCells count="1">
    <mergeCell ref="C3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Opgave 1</vt:lpstr>
      <vt:lpstr>Opgave 2</vt:lpstr>
      <vt:lpstr>Opgave 3a</vt:lpstr>
      <vt:lpstr>Opgave 3b</vt:lpstr>
      <vt:lpstr>Opgave 4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Vagn Sørensen</dc:creator>
  <cp:lastModifiedBy>Jeppe Vanderhaegen</cp:lastModifiedBy>
  <cp:lastPrinted>2018-12-11T14:04:38Z</cp:lastPrinted>
  <dcterms:created xsi:type="dcterms:W3CDTF">2018-05-02T11:41:16Z</dcterms:created>
  <dcterms:modified xsi:type="dcterms:W3CDTF">2024-06-16T21:59:09Z</dcterms:modified>
</cp:coreProperties>
</file>