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vander/Library/Mobile Documents/com~apple~CloudDocs/Documents/#University/8. Sem/Regnskab/"/>
    </mc:Choice>
  </mc:AlternateContent>
  <xr:revisionPtr revIDLastSave="0" documentId="13_ncr:1_{C4BCCF46-8E15-FC49-B7DA-AA0FFCCC800E}" xr6:coauthVersionLast="47" xr6:coauthVersionMax="47" xr10:uidLastSave="{00000000-0000-0000-0000-000000000000}"/>
  <bookViews>
    <workbookView xWindow="120" yWindow="500" windowWidth="24920" windowHeight="12080" activeTab="3" xr2:uid="{00000000-000D-0000-FFFF-FFFF00000000}"/>
  </bookViews>
  <sheets>
    <sheet name="Opgave 1" sheetId="5" r:id="rId1"/>
    <sheet name="Opgave 2" sheetId="1" r:id="rId2"/>
    <sheet name="Opgave 3" sheetId="2" r:id="rId3"/>
    <sheet name="Opgave 4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 l="1"/>
  <c r="D18" i="6"/>
  <c r="D17" i="6"/>
  <c r="C17" i="6"/>
  <c r="C16" i="6"/>
  <c r="B7" i="6"/>
  <c r="B9" i="6" s="1"/>
  <c r="B5" i="6"/>
  <c r="B8" i="6"/>
  <c r="H33" i="2" l="1"/>
  <c r="D34" i="2" s="1"/>
  <c r="F25" i="2"/>
  <c r="G25" i="2"/>
  <c r="H25" i="2"/>
  <c r="E25" i="2"/>
  <c r="D29" i="2"/>
  <c r="E18" i="2"/>
  <c r="D18" i="2"/>
  <c r="F18" i="2"/>
  <c r="G18" i="2"/>
  <c r="H18" i="2"/>
  <c r="E19" i="2"/>
  <c r="F19" i="2"/>
  <c r="G19" i="2"/>
  <c r="H19" i="2"/>
  <c r="E20" i="2"/>
  <c r="F20" i="2"/>
  <c r="G20" i="2"/>
  <c r="H20" i="2"/>
  <c r="D20" i="2"/>
  <c r="D19" i="2"/>
  <c r="E21" i="2"/>
  <c r="E16" i="2"/>
  <c r="D16" i="2"/>
  <c r="D38" i="2"/>
  <c r="C119" i="1"/>
  <c r="D36" i="2"/>
  <c r="E30" i="2"/>
  <c r="F30" i="2"/>
  <c r="G30" i="2"/>
  <c r="D30" i="2"/>
  <c r="D27" i="2"/>
  <c r="D26" i="2"/>
  <c r="D25" i="2"/>
  <c r="D17" i="2"/>
  <c r="J6" i="2"/>
  <c r="H15" i="2"/>
  <c r="E15" i="2"/>
  <c r="F15" i="2"/>
  <c r="G15" i="2"/>
  <c r="D15" i="2"/>
  <c r="I63" i="1"/>
  <c r="I65" i="1"/>
  <c r="I64" i="1"/>
  <c r="I62" i="1"/>
  <c r="J31" i="1"/>
  <c r="J56" i="1"/>
  <c r="J55" i="1"/>
  <c r="I55" i="1"/>
  <c r="I54" i="1"/>
  <c r="I53" i="1"/>
  <c r="I52" i="1"/>
  <c r="I48" i="1"/>
  <c r="I46" i="1"/>
  <c r="I45" i="1"/>
  <c r="I40" i="1"/>
  <c r="I39" i="1"/>
  <c r="J36" i="1"/>
  <c r="J35" i="1"/>
  <c r="J34" i="1"/>
  <c r="J32" i="1"/>
  <c r="J37" i="1" s="1"/>
  <c r="J30" i="1"/>
  <c r="J28" i="1"/>
  <c r="J25" i="1"/>
  <c r="I25" i="1"/>
  <c r="J23" i="1"/>
  <c r="I23" i="1"/>
  <c r="J22" i="1"/>
  <c r="I22" i="1"/>
  <c r="J21" i="1"/>
  <c r="I21" i="1"/>
  <c r="J17" i="1"/>
  <c r="I17" i="1"/>
  <c r="J16" i="1"/>
  <c r="I16" i="1"/>
  <c r="I20" i="1"/>
  <c r="J20" i="1"/>
  <c r="J19" i="1"/>
  <c r="I19" i="1"/>
  <c r="J15" i="1"/>
  <c r="I15" i="1"/>
  <c r="J11" i="1"/>
  <c r="I11" i="1"/>
  <c r="J12" i="1"/>
  <c r="I12" i="1"/>
  <c r="J13" i="1"/>
  <c r="I13" i="1"/>
  <c r="J14" i="1"/>
  <c r="I14" i="1"/>
  <c r="J9" i="1"/>
  <c r="I9" i="1"/>
  <c r="J8" i="1"/>
  <c r="I8" i="1"/>
  <c r="J7" i="1"/>
  <c r="I7" i="1"/>
  <c r="E110" i="1"/>
  <c r="D110" i="1"/>
  <c r="E107" i="1"/>
  <c r="E112" i="1" s="1"/>
  <c r="D107" i="1"/>
  <c r="D112" i="1" s="1"/>
  <c r="E100" i="1"/>
  <c r="D100" i="1"/>
  <c r="J5" i="1"/>
  <c r="I5" i="1"/>
  <c r="J3" i="1"/>
  <c r="I3" i="1"/>
  <c r="F42" i="1"/>
  <c r="E42" i="1"/>
  <c r="F16" i="2" l="1"/>
  <c r="D21" i="2"/>
  <c r="D22" i="2" s="1"/>
  <c r="D23" i="2" s="1"/>
  <c r="D31" i="2" s="1"/>
  <c r="G16" i="2"/>
  <c r="H16" i="2" s="1"/>
  <c r="H17" i="2" s="1"/>
  <c r="H21" i="2" s="1"/>
  <c r="H22" i="2" s="1"/>
  <c r="H23" i="2" s="1"/>
  <c r="F17" i="2"/>
  <c r="F21" i="2" s="1"/>
  <c r="E17" i="2"/>
  <c r="I49" i="1"/>
  <c r="I41" i="1" s="1"/>
  <c r="J41" i="1" s="1"/>
  <c r="J42" i="1" s="1"/>
  <c r="G17" i="2" l="1"/>
  <c r="G21" i="2" s="1"/>
  <c r="G22" i="2" s="1"/>
  <c r="G23" i="2" s="1"/>
  <c r="G29" i="2" s="1"/>
  <c r="G31" i="2" s="1"/>
  <c r="H29" i="2"/>
  <c r="E22" i="2"/>
  <c r="E23" i="2" s="1"/>
  <c r="E29" i="2" s="1"/>
  <c r="E31" i="2" s="1"/>
  <c r="D32" i="2" s="1"/>
  <c r="F22" i="2"/>
  <c r="F23" i="2" s="1"/>
  <c r="F29" i="2" s="1"/>
  <c r="F31" i="2" s="1"/>
  <c r="J49" i="1"/>
  <c r="J50" i="1" s="1"/>
  <c r="J58" i="1" s="1"/>
  <c r="F81" i="1"/>
  <c r="E81" i="1"/>
  <c r="F73" i="1"/>
  <c r="E73" i="1"/>
  <c r="F68" i="1"/>
  <c r="E68" i="1"/>
  <c r="F51" i="1"/>
  <c r="F57" i="1" s="1"/>
  <c r="E51" i="1"/>
  <c r="E57" i="1" s="1"/>
  <c r="F39" i="1"/>
  <c r="E39" i="1"/>
  <c r="F34" i="1"/>
  <c r="E34" i="1"/>
  <c r="E9" i="1"/>
  <c r="E15" i="1" s="1"/>
  <c r="E17" i="1" s="1"/>
  <c r="E21" i="1" s="1"/>
  <c r="D35" i="2" l="1"/>
  <c r="D37" i="2" s="1"/>
  <c r="D39" i="2" s="1"/>
  <c r="E83" i="1"/>
  <c r="E85" i="1" s="1"/>
  <c r="E24" i="1"/>
  <c r="F44" i="1"/>
  <c r="F59" i="1" s="1"/>
  <c r="F83" i="1"/>
  <c r="F85" i="1" s="1"/>
  <c r="E44" i="1"/>
  <c r="E59" i="1" s="1"/>
</calcChain>
</file>

<file path=xl/sharedStrings.xml><?xml version="1.0" encoding="utf-8"?>
<sst xmlns="http://schemas.openxmlformats.org/spreadsheetml/2006/main" count="197" uniqueCount="181">
  <si>
    <t>Goodwill</t>
  </si>
  <si>
    <t>Note</t>
  </si>
  <si>
    <t>Total</t>
  </si>
  <si>
    <t>ATO</t>
  </si>
  <si>
    <t>2019E</t>
  </si>
  <si>
    <t>2020E</t>
  </si>
  <si>
    <t>2021E</t>
  </si>
  <si>
    <t>2022E</t>
  </si>
  <si>
    <t>2023E</t>
  </si>
  <si>
    <t xml:space="preserve">Terminal </t>
  </si>
  <si>
    <t>Value driver</t>
  </si>
  <si>
    <t>Resultatopgørelse</t>
  </si>
  <si>
    <t>1.000 DKK</t>
  </si>
  <si>
    <t>Nettoomsætning</t>
  </si>
  <si>
    <t>Produktionsomkostninger</t>
  </si>
  <si>
    <t>Bruttoresultat</t>
  </si>
  <si>
    <t>Salgs- og distributionsomkostninger</t>
  </si>
  <si>
    <t>Administrationsomkostnigner</t>
  </si>
  <si>
    <t>Forsknings- og udviklingsomkostninger</t>
  </si>
  <si>
    <t>Andre driftsindtægter</t>
  </si>
  <si>
    <t>Ordinært resultat før særlige poster</t>
  </si>
  <si>
    <t>Særlige poster</t>
  </si>
  <si>
    <t>Ordinært resultat</t>
  </si>
  <si>
    <t>Finansielle indtægter</t>
  </si>
  <si>
    <t>Finasielle omkostninger</t>
  </si>
  <si>
    <t>Resultat før skat</t>
  </si>
  <si>
    <t>Skat af årets resultat</t>
  </si>
  <si>
    <t>Årets resultat</t>
  </si>
  <si>
    <t>Balancer</t>
  </si>
  <si>
    <t>Produktrettigheder</t>
  </si>
  <si>
    <t>Udviklingsprojeker</t>
  </si>
  <si>
    <t>Grunde og bygninger</t>
  </si>
  <si>
    <t>Driftsmateriel og inventar</t>
  </si>
  <si>
    <t>Forudbetalinger og arbejde under udførelse</t>
  </si>
  <si>
    <t>Materielle aktiver</t>
  </si>
  <si>
    <t>Udskudte skatteaktiver</t>
  </si>
  <si>
    <t>Finansielle aktiver</t>
  </si>
  <si>
    <t xml:space="preserve">Immaterielle aktiver </t>
  </si>
  <si>
    <t>Langfristede aktiver i alt</t>
  </si>
  <si>
    <t>Varebeholdninger</t>
  </si>
  <si>
    <t>Tilgodehavender fra salg</t>
  </si>
  <si>
    <t>Andre tilgodehavender</t>
  </si>
  <si>
    <t>Forudbetalinger</t>
  </si>
  <si>
    <t>Tilgodehavender</t>
  </si>
  <si>
    <t>Omsætningsværdipapirer</t>
  </si>
  <si>
    <t>Livkider og lignende</t>
  </si>
  <si>
    <t>Kortfristede aktiver i alt</t>
  </si>
  <si>
    <t xml:space="preserve">Aktiver </t>
  </si>
  <si>
    <t>AKTIVER</t>
  </si>
  <si>
    <t>PASSIVER</t>
  </si>
  <si>
    <t>Aktiekapital</t>
  </si>
  <si>
    <t>Overført overskud</t>
  </si>
  <si>
    <t>Reserve for dagsværdireguleringer</t>
  </si>
  <si>
    <t>Reserve for valutaomregning</t>
  </si>
  <si>
    <t>Egenkapital</t>
  </si>
  <si>
    <t>Pensionsforpligtelser</t>
  </si>
  <si>
    <t>Udskudte skatteforpligtelser</t>
  </si>
  <si>
    <t>Realkreditlån</t>
  </si>
  <si>
    <t>Langfristede forpligtelser</t>
  </si>
  <si>
    <t>Bankgæld</t>
  </si>
  <si>
    <t>Leverandører af varer og tjenesteydelser</t>
  </si>
  <si>
    <t>Skyldig selskabsskat</t>
  </si>
  <si>
    <t>Anden gæld</t>
  </si>
  <si>
    <t>Andre hensatte forpligtelser</t>
  </si>
  <si>
    <t>Kortfristede forpligtelser</t>
  </si>
  <si>
    <t>Forpligtelser i alt</t>
  </si>
  <si>
    <t>Passiver</t>
  </si>
  <si>
    <r>
      <t xml:space="preserve">Udvalgte noter </t>
    </r>
    <r>
      <rPr>
        <i/>
        <sz val="10"/>
        <color theme="1"/>
        <rFont val="Times New Roman"/>
        <family val="1"/>
      </rPr>
      <t>(1.000 DKK)</t>
    </r>
  </si>
  <si>
    <t>Nedskrivning på produktrettigheder</t>
  </si>
  <si>
    <t>Varer i arbejde</t>
  </si>
  <si>
    <t>Færdigvarer</t>
  </si>
  <si>
    <t>Råvarer</t>
  </si>
  <si>
    <t xml:space="preserve">Inkluderet i resultatopgørelsern under Produktionsomkostninger </t>
  </si>
  <si>
    <t>Årets nedskrivninger er medtaget overfor</t>
  </si>
  <si>
    <t>Likvider og bankindestående</t>
  </si>
  <si>
    <t>Likvider og bankindestående 31. december</t>
  </si>
  <si>
    <t>Værdipapirer med en løbetid på mere end 3 måneder</t>
  </si>
  <si>
    <t>Værdipapirer 31 december</t>
  </si>
  <si>
    <t>Likvider og værdipapirer 31. december</t>
  </si>
  <si>
    <t>1. Andre driftsindtægter</t>
  </si>
  <si>
    <t>2. Særlige poster</t>
  </si>
  <si>
    <t>3. Varebeholdninger</t>
  </si>
  <si>
    <t>4. Likvider og lignende</t>
  </si>
  <si>
    <t>5. Aktiekapital</t>
  </si>
  <si>
    <t>Budget periode</t>
  </si>
  <si>
    <t>år</t>
  </si>
  <si>
    <t>Salgsvækst rate (%)</t>
  </si>
  <si>
    <t>Bruttoavanceprocent (%)</t>
  </si>
  <si>
    <t>Salgs- og distributionsomkostninger i % af salg</t>
  </si>
  <si>
    <t>Administrationsomkostnigner i % af salg</t>
  </si>
  <si>
    <t>Effektiv skatteprocent (%)</t>
  </si>
  <si>
    <t>Forsknings- og udviklingsomkostninger i % af salg</t>
  </si>
  <si>
    <t>i.r.</t>
  </si>
  <si>
    <t>i.r.: Ikke relevant</t>
  </si>
  <si>
    <t>Aktiekapitalen på 995 t.kr. består af 199.000 aktier med en nominel værdi på 5 kr. per aktie</t>
  </si>
  <si>
    <t>Den 31. december 218 bestod beholdningen af egne aktier af 5.970 stk.</t>
  </si>
  <si>
    <t>Andre driftsindtægter på 242 relaterer sig til en gevinst fra frasalg af forskningsfaciliteter i USA.</t>
  </si>
  <si>
    <t xml:space="preserve">Uenig </t>
  </si>
  <si>
    <t xml:space="preserve">Hvis PV af fremtidige residualoverskud overstiger den negative NA og NFO, </t>
  </si>
  <si>
    <t>så er egenkapitalsværdien positiv, eller såfremt nettofinansielle aktiver NFA</t>
  </si>
  <si>
    <t>overstiger NOA</t>
  </si>
  <si>
    <t xml:space="preserve">Uenig. </t>
  </si>
  <si>
    <t xml:space="preserve">Det er når RNOA er lavere end wacc, der nedbrydes værdi </t>
  </si>
  <si>
    <t xml:space="preserve">Uenig. Det kommer vel an på, hvad tilkabekøbsprisen var </t>
  </si>
  <si>
    <t>Uenig</t>
  </si>
  <si>
    <t xml:space="preserve">Vækst antages kun at afkaste kapitalomkostninger, </t>
  </si>
  <si>
    <t>hvorfor de ikke skaber residualoverskud</t>
  </si>
  <si>
    <t xml:space="preserve">Dette vil sænke ROCE, da </t>
  </si>
  <si>
    <t>ROCE = RNOA +FLEV x(RNOA-NBC)</t>
  </si>
  <si>
    <t>Dette vil give negativ ROCE</t>
  </si>
  <si>
    <t>Reformuerelet Balance</t>
  </si>
  <si>
    <t xml:space="preserve">Aktiver i alt </t>
  </si>
  <si>
    <t xml:space="preserve">Likvide midler </t>
  </si>
  <si>
    <t>Omsætningspapirer</t>
  </si>
  <si>
    <t>Driftsaktiver</t>
  </si>
  <si>
    <t>Leverandørgæld</t>
  </si>
  <si>
    <t>Pensionsforpligtigelser</t>
  </si>
  <si>
    <t>Andre hensatte forplitigelser</t>
  </si>
  <si>
    <t>Udskudte skatteforpligtigelser</t>
  </si>
  <si>
    <t>Netto driftsaktiver(NOA)</t>
  </si>
  <si>
    <t>Selskabskat</t>
  </si>
  <si>
    <t>Langfristet Gæld</t>
  </si>
  <si>
    <t>Kortfristet Gæld</t>
  </si>
  <si>
    <t>Nettofinansielle aktiver(NFA)</t>
  </si>
  <si>
    <t>Egenkapital(CSE)</t>
  </si>
  <si>
    <t>Reformuleret Totalindkomst</t>
  </si>
  <si>
    <t xml:space="preserve">Nettoomsætning </t>
  </si>
  <si>
    <t>Prudoktionsomkostninger</t>
  </si>
  <si>
    <t>Salg- og distributionsomkostninger</t>
  </si>
  <si>
    <t>Administrationsomkostninger</t>
  </si>
  <si>
    <t>R&amp;D</t>
  </si>
  <si>
    <t>Driftsoverskud af salg, før skat</t>
  </si>
  <si>
    <t>Rapporteret skat</t>
  </si>
  <si>
    <t>Skattefordel @ 22,5 %</t>
  </si>
  <si>
    <t xml:space="preserve">Skat allokeret til andet driftsoverskud </t>
  </si>
  <si>
    <t>Driftsoverskud af salg, efter skat</t>
  </si>
  <si>
    <t>Nedskrivning af produkterrettigheder</t>
  </si>
  <si>
    <t>Fortjeneste på kapitalandele</t>
  </si>
  <si>
    <t>Nedskrivning af vare</t>
  </si>
  <si>
    <t>Skattefordel @ 22,5%</t>
  </si>
  <si>
    <t>Andet driftsoverskud</t>
  </si>
  <si>
    <t>Driftsoverskud i alt, efter skat(OI)</t>
  </si>
  <si>
    <t xml:space="preserve">Finansielle indtægter </t>
  </si>
  <si>
    <t>Finansielle udgifter</t>
  </si>
  <si>
    <t>Skatttefordel @ 22,5%</t>
  </si>
  <si>
    <t>Totalindkomst</t>
  </si>
  <si>
    <t>Nettofinansielle omkostninger(NFE)</t>
  </si>
  <si>
    <t>Bruttoavanche procent= Bruttoresultat/Nettoomsætning</t>
  </si>
  <si>
    <t>PM=Samlet driftsoverskud / Nettoomsætning</t>
  </si>
  <si>
    <t xml:space="preserve">ATO= Nettoomsætning/ GNS NOA </t>
  </si>
  <si>
    <t xml:space="preserve">RNOA = Samlet driftsoverskud/GNS NOA </t>
  </si>
  <si>
    <t>RR</t>
  </si>
  <si>
    <t>Difference</t>
  </si>
  <si>
    <t>Bruttresultat</t>
  </si>
  <si>
    <t>Driftoverskud før skat</t>
  </si>
  <si>
    <t>NFO</t>
  </si>
  <si>
    <t>CSE</t>
  </si>
  <si>
    <t>Driftoverskud efter skat(OI)</t>
  </si>
  <si>
    <t>ReOI = OI - wacc * NOA</t>
  </si>
  <si>
    <t>df = (1 + wacc)^(t)</t>
  </si>
  <si>
    <t>PV ReOI = ReOI / df</t>
  </si>
  <si>
    <t>Sum PV ReOI</t>
  </si>
  <si>
    <t>TV = ReOI * (1 + g) / (wacc - g)</t>
  </si>
  <si>
    <t>PV TV = TV / df</t>
  </si>
  <si>
    <t>EV = NOA + Sum PV ReOI + PV TV</t>
  </si>
  <si>
    <t>V^(E) = EV - NFO</t>
  </si>
  <si>
    <t>Værdi per aktie</t>
  </si>
  <si>
    <t>Antal udestående aktier</t>
  </si>
  <si>
    <t>NOA = SALG * 1/ATO</t>
  </si>
  <si>
    <t>Markedsværdien af egenkapital + markedsværdi af NF0</t>
  </si>
  <si>
    <t>aktier</t>
  </si>
  <si>
    <t>stykket</t>
  </si>
  <si>
    <t>MVE</t>
  </si>
  <si>
    <t>Da der er tale om trailing OI skal core OI findes</t>
  </si>
  <si>
    <t xml:space="preserve">Fra OI har vi </t>
  </si>
  <si>
    <t>Minus andre driftsaktiv</t>
  </si>
  <si>
    <t>Varelager</t>
  </si>
  <si>
    <t>skat @22,5%</t>
  </si>
  <si>
    <t>Core OI</t>
  </si>
  <si>
    <t xml:space="preserve">Herefter sætter vi MVE over Core OI </t>
  </si>
  <si>
    <t xml:space="preserve">Dette er relativit tæt på peers ved 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</si>
</sst>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0.000"/>
    <numFmt numFmtId="167" formatCode="0.0%"/>
    <numFmt numFmtId="168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6" fillId="0" borderId="1" xfId="0" applyFont="1" applyBorder="1" applyAlignment="1">
      <alignment horizontal="right"/>
    </xf>
    <xf numFmtId="0" fontId="5" fillId="0" borderId="3" xfId="0" applyFont="1" applyBorder="1"/>
    <xf numFmtId="0" fontId="5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7" xfId="0" applyFont="1" applyBorder="1" applyAlignment="1">
      <alignment horizontal="right"/>
    </xf>
    <xf numFmtId="0" fontId="1" fillId="0" borderId="8" xfId="0" applyFont="1" applyBorder="1"/>
    <xf numFmtId="0" fontId="6" fillId="0" borderId="0" xfId="0" applyFont="1"/>
    <xf numFmtId="0" fontId="2" fillId="2" borderId="6" xfId="0" applyFont="1" applyFill="1" applyBorder="1"/>
    <xf numFmtId="0" fontId="4" fillId="2" borderId="0" xfId="0" applyFont="1" applyFill="1"/>
    <xf numFmtId="0" fontId="2" fillId="2" borderId="0" xfId="0" applyFont="1" applyFill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4" xfId="0" applyFont="1" applyBorder="1"/>
    <xf numFmtId="0" fontId="3" fillId="0" borderId="6" xfId="0" applyFont="1" applyBorder="1"/>
    <xf numFmtId="0" fontId="3" fillId="0" borderId="0" xfId="0" applyFont="1"/>
    <xf numFmtId="0" fontId="2" fillId="0" borderId="6" xfId="0" applyFont="1" applyBorder="1"/>
    <xf numFmtId="0" fontId="1" fillId="2" borderId="0" xfId="0" applyFont="1" applyFill="1"/>
    <xf numFmtId="0" fontId="2" fillId="2" borderId="10" xfId="0" applyFont="1" applyFill="1" applyBorder="1"/>
    <xf numFmtId="0" fontId="2" fillId="2" borderId="11" xfId="0" applyFont="1" applyFill="1" applyBorder="1"/>
    <xf numFmtId="0" fontId="3" fillId="0" borderId="1" xfId="0" applyFont="1" applyBorder="1"/>
    <xf numFmtId="1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1" fillId="0" borderId="16" xfId="0" applyFont="1" applyBorder="1"/>
    <xf numFmtId="0" fontId="1" fillId="0" borderId="17" xfId="0" applyFont="1" applyBorder="1"/>
    <xf numFmtId="0" fontId="1" fillId="0" borderId="19" xfId="0" applyFont="1" applyBorder="1"/>
    <xf numFmtId="0" fontId="1" fillId="0" borderId="20" xfId="0" applyFont="1" applyBorder="1"/>
    <xf numFmtId="0" fontId="2" fillId="0" borderId="18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0" borderId="18" xfId="0" applyFont="1" applyBorder="1"/>
    <xf numFmtId="9" fontId="1" fillId="0" borderId="0" xfId="1" applyFont="1" applyAlignment="1">
      <alignment horizontal="right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9" fontId="1" fillId="0" borderId="20" xfId="1" applyFont="1" applyBorder="1" applyAlignment="1">
      <alignment horizontal="right"/>
    </xf>
    <xf numFmtId="9" fontId="1" fillId="0" borderId="21" xfId="1" applyFont="1" applyBorder="1" applyAlignment="1">
      <alignment horizontal="right"/>
    </xf>
    <xf numFmtId="9" fontId="1" fillId="0" borderId="13" xfId="1" applyFont="1" applyBorder="1" applyAlignment="1">
      <alignment horizontal="right"/>
    </xf>
    <xf numFmtId="9" fontId="1" fillId="0" borderId="14" xfId="1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168" fontId="1" fillId="0" borderId="7" xfId="2" applyNumberFormat="1" applyFont="1" applyBorder="1"/>
    <xf numFmtId="168" fontId="1" fillId="2" borderId="7" xfId="2" applyNumberFormat="1" applyFont="1" applyFill="1" applyBorder="1"/>
    <xf numFmtId="0" fontId="9" fillId="0" borderId="8" xfId="0" applyFont="1" applyBorder="1"/>
    <xf numFmtId="168" fontId="1" fillId="0" borderId="0" xfId="2" applyNumberFormat="1" applyFont="1" applyBorder="1"/>
    <xf numFmtId="168" fontId="2" fillId="0" borderId="2" xfId="2" applyNumberFormat="1" applyFont="1" applyBorder="1"/>
    <xf numFmtId="168" fontId="2" fillId="2" borderId="0" xfId="2" applyNumberFormat="1" applyFont="1" applyFill="1" applyBorder="1"/>
    <xf numFmtId="168" fontId="2" fillId="0" borderId="0" xfId="2" applyNumberFormat="1" applyFont="1" applyBorder="1"/>
    <xf numFmtId="168" fontId="2" fillId="2" borderId="11" xfId="2" applyNumberFormat="1" applyFont="1" applyFill="1" applyBorder="1"/>
    <xf numFmtId="0" fontId="11" fillId="0" borderId="0" xfId="0" applyFont="1"/>
    <xf numFmtId="0" fontId="12" fillId="0" borderId="0" xfId="0" applyFont="1"/>
    <xf numFmtId="0" fontId="10" fillId="0" borderId="0" xfId="0" applyFont="1"/>
    <xf numFmtId="168" fontId="1" fillId="0" borderId="0" xfId="2" applyNumberFormat="1" applyFont="1"/>
    <xf numFmtId="168" fontId="2" fillId="0" borderId="0" xfId="2" applyNumberFormat="1" applyFont="1"/>
    <xf numFmtId="168" fontId="1" fillId="0" borderId="0" xfId="0" applyNumberFormat="1" applyFont="1"/>
    <xf numFmtId="168" fontId="2" fillId="0" borderId="0" xfId="2" applyNumberFormat="1" applyFont="1" applyFill="1" applyBorder="1"/>
    <xf numFmtId="2" fontId="1" fillId="0" borderId="1" xfId="1" applyNumberFormat="1" applyFont="1" applyBorder="1" applyAlignment="1">
      <alignment horizontal="right"/>
    </xf>
    <xf numFmtId="2" fontId="1" fillId="0" borderId="22" xfId="1" applyNumberFormat="1" applyFont="1" applyBorder="1" applyAlignment="1">
      <alignment horizontal="right"/>
    </xf>
    <xf numFmtId="2" fontId="1" fillId="0" borderId="15" xfId="1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168" fontId="6" fillId="0" borderId="0" xfId="2" applyNumberFormat="1" applyFont="1" applyBorder="1"/>
    <xf numFmtId="165" fontId="6" fillId="0" borderId="0" xfId="0" applyNumberFormat="1" applyFont="1"/>
    <xf numFmtId="168" fontId="2" fillId="0" borderId="0" xfId="0" applyNumberFormat="1" applyFont="1"/>
    <xf numFmtId="1" fontId="2" fillId="0" borderId="0" xfId="0" applyNumberFormat="1" applyFont="1"/>
    <xf numFmtId="167" fontId="1" fillId="0" borderId="0" xfId="1" applyNumberFormat="1" applyFont="1" applyBorder="1"/>
    <xf numFmtId="2" fontId="1" fillId="0" borderId="0" xfId="1" applyNumberFormat="1" applyFont="1" applyBorder="1"/>
    <xf numFmtId="166" fontId="1" fillId="0" borderId="0" xfId="0" applyNumberFormat="1" applyFont="1"/>
    <xf numFmtId="9" fontId="1" fillId="0" borderId="0" xfId="1" applyFont="1" applyBorder="1"/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67" fontId="1" fillId="0" borderId="0" xfId="1" applyNumberFormat="1" applyFont="1"/>
    <xf numFmtId="2" fontId="1" fillId="0" borderId="0" xfId="1" applyNumberFormat="1" applyFont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164" fontId="1" fillId="0" borderId="0" xfId="2" applyNumberFormat="1" applyFont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12700</xdr:rowOff>
    </xdr:from>
    <xdr:to>
      <xdr:col>6</xdr:col>
      <xdr:colOff>723900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FF6F-37A0-5D28-A882-998083D5D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203200"/>
          <a:ext cx="5181600" cy="3987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177800</xdr:colOff>
      <xdr:row>10</xdr:row>
      <xdr:rowOff>152400</xdr:rowOff>
    </xdr:from>
    <xdr:to>
      <xdr:col>19</xdr:col>
      <xdr:colOff>520700</xdr:colOff>
      <xdr:row>16</xdr:row>
      <xdr:rowOff>149872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0A8807-04E1-B76A-72F8-55D90175A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0" y="2057400"/>
          <a:ext cx="7772400" cy="1140472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20</xdr:row>
      <xdr:rowOff>0</xdr:rowOff>
    </xdr:from>
    <xdr:to>
      <xdr:col>21</xdr:col>
      <xdr:colOff>114300</xdr:colOff>
      <xdr:row>23</xdr:row>
      <xdr:rowOff>70416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519527-95DA-0AAC-CC49-F84584024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77400" y="3810000"/>
          <a:ext cx="7772400" cy="641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101600</xdr:colOff>
      <xdr:row>0</xdr:row>
      <xdr:rowOff>177800</xdr:rowOff>
    </xdr:from>
    <xdr:to>
      <xdr:col>17</xdr:col>
      <xdr:colOff>622300</xdr:colOff>
      <xdr:row>30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06B6F3-2A95-74CE-6156-9FAF1EDAE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52500" y="177800"/>
          <a:ext cx="5410200" cy="6286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0</xdr:row>
      <xdr:rowOff>177800</xdr:rowOff>
    </xdr:from>
    <xdr:to>
      <xdr:col>18</xdr:col>
      <xdr:colOff>177800</xdr:colOff>
      <xdr:row>14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E5084B-A9F9-C0C3-A677-5796776D9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04700" y="177800"/>
          <a:ext cx="5461000" cy="2679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482600</xdr:colOff>
      <xdr:row>1</xdr:row>
      <xdr:rowOff>63500</xdr:rowOff>
    </xdr:from>
    <xdr:to>
      <xdr:col>17</xdr:col>
      <xdr:colOff>0</xdr:colOff>
      <xdr:row>9</xdr:row>
      <xdr:rowOff>165642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1AB4C-E4F3-79C8-0137-CE64DD687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1100" y="254000"/>
          <a:ext cx="7772400" cy="1638842"/>
        </a:xfrm>
        <a:prstGeom prst="rect">
          <a:avLst/>
        </a:prstGeom>
      </xdr:spPr>
    </xdr:pic>
    <xdr:clientData/>
  </xdr:twoCellAnchor>
  <xdr:twoCellAnchor editAs="oneCell">
    <xdr:from>
      <xdr:col>8</xdr:col>
      <xdr:colOff>749300</xdr:colOff>
      <xdr:row>9</xdr:row>
      <xdr:rowOff>127000</xdr:rowOff>
    </xdr:from>
    <xdr:to>
      <xdr:col>18</xdr:col>
      <xdr:colOff>266700</xdr:colOff>
      <xdr:row>39</xdr:row>
      <xdr:rowOff>83751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A45D3-D22E-4902-B5EB-B677EFF4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3300" y="1854200"/>
          <a:ext cx="7772400" cy="5671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8E03-D94B-D945-A1A1-DC4FC00EDE6E}">
  <dimension ref="H2:H20"/>
  <sheetViews>
    <sheetView topLeftCell="A3" workbookViewId="0">
      <selection activeCell="H20" sqref="H20"/>
    </sheetView>
  </sheetViews>
  <sheetFormatPr baseColWidth="10" defaultRowHeight="15" x14ac:dyDescent="0.2"/>
  <sheetData>
    <row r="2" spans="8:8" x14ac:dyDescent="0.2">
      <c r="H2" s="83" t="s">
        <v>97</v>
      </c>
    </row>
    <row r="3" spans="8:8" x14ac:dyDescent="0.2">
      <c r="H3" s="83" t="s">
        <v>98</v>
      </c>
    </row>
    <row r="4" spans="8:8" x14ac:dyDescent="0.2">
      <c r="H4" s="83" t="s">
        <v>99</v>
      </c>
    </row>
    <row r="5" spans="8:8" x14ac:dyDescent="0.2">
      <c r="H5" s="83" t="s">
        <v>100</v>
      </c>
    </row>
    <row r="6" spans="8:8" x14ac:dyDescent="0.2">
      <c r="H6" s="83" t="s">
        <v>101</v>
      </c>
    </row>
    <row r="7" spans="8:8" x14ac:dyDescent="0.2">
      <c r="H7" s="83" t="s">
        <v>102</v>
      </c>
    </row>
    <row r="9" spans="8:8" x14ac:dyDescent="0.2">
      <c r="H9" s="83" t="s">
        <v>103</v>
      </c>
    </row>
    <row r="14" spans="8:8" x14ac:dyDescent="0.2">
      <c r="H14" s="83" t="s">
        <v>104</v>
      </c>
    </row>
    <row r="15" spans="8:8" x14ac:dyDescent="0.2">
      <c r="H15" s="83" t="s">
        <v>105</v>
      </c>
    </row>
    <row r="16" spans="8:8" x14ac:dyDescent="0.2">
      <c r="H16" s="83" t="s">
        <v>106</v>
      </c>
    </row>
    <row r="18" spans="8:8" x14ac:dyDescent="0.2">
      <c r="H18" s="83" t="s">
        <v>107</v>
      </c>
    </row>
    <row r="19" spans="8:8" x14ac:dyDescent="0.2">
      <c r="H19" s="83" t="s">
        <v>108</v>
      </c>
    </row>
    <row r="20" spans="8:8" x14ac:dyDescent="0.2">
      <c r="H20" s="83" t="s">
        <v>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144"/>
  <sheetViews>
    <sheetView topLeftCell="C39" workbookViewId="0">
      <selection activeCell="C119" sqref="C119"/>
    </sheetView>
  </sheetViews>
  <sheetFormatPr baseColWidth="10" defaultColWidth="9.1640625" defaultRowHeight="16" x14ac:dyDescent="0.2"/>
  <cols>
    <col min="1" max="2" width="9.1640625" style="1"/>
    <col min="3" max="3" width="53.6640625" style="1" customWidth="1"/>
    <col min="4" max="4" width="9" style="1" customWidth="1"/>
    <col min="5" max="6" width="16.6640625" style="1" bestFit="1" customWidth="1"/>
    <col min="7" max="7" width="5" style="1" customWidth="1"/>
    <col min="8" max="8" width="47.1640625" style="1" customWidth="1"/>
    <col min="9" max="9" width="10.1640625" style="1" bestFit="1" customWidth="1"/>
    <col min="10" max="10" width="12" style="1" customWidth="1"/>
    <col min="11" max="16384" width="9.1640625" style="1"/>
  </cols>
  <sheetData>
    <row r="2" spans="3:14" ht="17" thickBot="1" x14ac:dyDescent="0.25"/>
    <row r="3" spans="3:14" ht="20" x14ac:dyDescent="0.2">
      <c r="C3" s="8" t="s">
        <v>11</v>
      </c>
      <c r="D3" s="9"/>
      <c r="E3" s="10"/>
      <c r="H3" s="6" t="s">
        <v>110</v>
      </c>
      <c r="I3" s="5">
        <f>E29</f>
        <v>2018</v>
      </c>
      <c r="J3" s="5">
        <f>F29</f>
        <v>2017</v>
      </c>
    </row>
    <row r="4" spans="3:14" x14ac:dyDescent="0.2">
      <c r="C4" s="11"/>
      <c r="E4" s="12"/>
    </row>
    <row r="5" spans="3:14" ht="18" x14ac:dyDescent="0.2">
      <c r="C5" s="11"/>
      <c r="E5" s="13">
        <v>2018</v>
      </c>
      <c r="H5" s="24" t="s">
        <v>111</v>
      </c>
      <c r="I5" s="74">
        <f>E59</f>
        <v>19387</v>
      </c>
      <c r="J5" s="74">
        <f>F59</f>
        <v>19944</v>
      </c>
    </row>
    <row r="6" spans="3:14" x14ac:dyDescent="0.2">
      <c r="C6" s="14"/>
      <c r="D6" s="7" t="s">
        <v>1</v>
      </c>
      <c r="E6" s="52" t="s">
        <v>12</v>
      </c>
    </row>
    <row r="7" spans="3:14" x14ac:dyDescent="0.2">
      <c r="C7" s="11" t="s">
        <v>13</v>
      </c>
      <c r="E7" s="53">
        <v>17234</v>
      </c>
      <c r="H7" s="1" t="s">
        <v>112</v>
      </c>
      <c r="I7" s="66">
        <f>E55</f>
        <v>2155</v>
      </c>
      <c r="J7" s="66">
        <f>F55</f>
        <v>2200</v>
      </c>
    </row>
    <row r="8" spans="3:14" x14ac:dyDescent="0.2">
      <c r="C8" s="11" t="s">
        <v>14</v>
      </c>
      <c r="D8" s="62"/>
      <c r="E8" s="53">
        <v>-3881</v>
      </c>
      <c r="H8" s="1" t="s">
        <v>113</v>
      </c>
      <c r="I8" s="66">
        <f>E53</f>
        <v>1522</v>
      </c>
      <c r="J8" s="66">
        <f>F53</f>
        <v>17</v>
      </c>
    </row>
    <row r="9" spans="3:14" x14ac:dyDescent="0.2">
      <c r="C9" s="16" t="s">
        <v>15</v>
      </c>
      <c r="D9" s="17"/>
      <c r="E9" s="54">
        <f>E7+E8</f>
        <v>13353</v>
      </c>
      <c r="H9" s="2" t="s">
        <v>114</v>
      </c>
      <c r="I9" s="74">
        <f>I5-SUM(I7:I8)</f>
        <v>15710</v>
      </c>
      <c r="J9" s="74">
        <f>J5-SUM(J7:J8)</f>
        <v>17727</v>
      </c>
      <c r="N9" s="4"/>
    </row>
    <row r="10" spans="3:14" x14ac:dyDescent="0.2">
      <c r="C10" s="11"/>
      <c r="D10" s="15"/>
      <c r="E10" s="53"/>
    </row>
    <row r="11" spans="3:14" x14ac:dyDescent="0.2">
      <c r="C11" s="11" t="s">
        <v>16</v>
      </c>
      <c r="D11" s="62"/>
      <c r="E11" s="53">
        <v>-5649</v>
      </c>
      <c r="H11" s="1" t="s">
        <v>115</v>
      </c>
      <c r="I11" s="66">
        <f>E78</f>
        <v>3170</v>
      </c>
      <c r="J11" s="66">
        <f>F78</f>
        <v>3582</v>
      </c>
    </row>
    <row r="12" spans="3:14" x14ac:dyDescent="0.2">
      <c r="C12" s="11" t="s">
        <v>17</v>
      </c>
      <c r="D12" s="62"/>
      <c r="E12" s="53">
        <v>-833</v>
      </c>
      <c r="H12" s="1" t="s">
        <v>116</v>
      </c>
      <c r="I12" s="66">
        <f>E70</f>
        <v>246</v>
      </c>
      <c r="J12" s="66">
        <f>F70</f>
        <v>311</v>
      </c>
    </row>
    <row r="13" spans="3:14" x14ac:dyDescent="0.2">
      <c r="C13" s="11" t="s">
        <v>18</v>
      </c>
      <c r="D13" s="62"/>
      <c r="E13" s="53">
        <v>-2705</v>
      </c>
      <c r="H13" s="1" t="s">
        <v>117</v>
      </c>
      <c r="I13" s="66">
        <f>E75</f>
        <v>490</v>
      </c>
      <c r="J13" s="66">
        <f>F75</f>
        <v>743</v>
      </c>
    </row>
    <row r="14" spans="3:14" x14ac:dyDescent="0.2">
      <c r="C14" s="11" t="s">
        <v>19</v>
      </c>
      <c r="D14" s="15">
        <v>1</v>
      </c>
      <c r="E14" s="53">
        <v>242</v>
      </c>
      <c r="H14" s="1" t="s">
        <v>118</v>
      </c>
      <c r="I14" s="66">
        <f>E71</f>
        <v>515</v>
      </c>
      <c r="J14" s="66">
        <f>F71</f>
        <v>548</v>
      </c>
    </row>
    <row r="15" spans="3:14" x14ac:dyDescent="0.2">
      <c r="C15" s="16" t="s">
        <v>20</v>
      </c>
      <c r="D15" s="18"/>
      <c r="E15" s="54">
        <f>E9+E11+E12+E13+E14</f>
        <v>4408</v>
      </c>
      <c r="H15" s="1" t="s">
        <v>62</v>
      </c>
      <c r="I15" s="56">
        <f>E80</f>
        <v>2731</v>
      </c>
      <c r="J15" s="56">
        <f>F80</f>
        <v>3036</v>
      </c>
    </row>
    <row r="16" spans="3:14" x14ac:dyDescent="0.2">
      <c r="C16" s="11" t="s">
        <v>21</v>
      </c>
      <c r="D16" s="15">
        <v>2</v>
      </c>
      <c r="E16" s="53">
        <v>-200</v>
      </c>
      <c r="H16" s="1" t="s">
        <v>120</v>
      </c>
      <c r="I16" s="66">
        <f>E79</f>
        <v>54</v>
      </c>
      <c r="J16" s="66">
        <f>F79</f>
        <v>157</v>
      </c>
    </row>
    <row r="17" spans="3:10" x14ac:dyDescent="0.2">
      <c r="C17" s="16" t="s">
        <v>22</v>
      </c>
      <c r="D17" s="18"/>
      <c r="E17" s="54">
        <f>E15+E16</f>
        <v>4208</v>
      </c>
      <c r="H17" s="2" t="s">
        <v>119</v>
      </c>
      <c r="I17" s="74">
        <f>I9-SUM(I11:I16)</f>
        <v>8504</v>
      </c>
      <c r="J17" s="74">
        <f>J9-SUM(J11:J16)</f>
        <v>9350</v>
      </c>
    </row>
    <row r="18" spans="3:10" x14ac:dyDescent="0.2">
      <c r="C18" s="11"/>
      <c r="E18" s="53"/>
    </row>
    <row r="19" spans="3:10" x14ac:dyDescent="0.2">
      <c r="C19" s="11" t="s">
        <v>23</v>
      </c>
      <c r="E19" s="53">
        <v>183</v>
      </c>
      <c r="H19" s="1" t="s">
        <v>112</v>
      </c>
      <c r="I19" s="66">
        <f>-I7</f>
        <v>-2155</v>
      </c>
      <c r="J19" s="66">
        <f>-J7</f>
        <v>-2200</v>
      </c>
    </row>
    <row r="20" spans="3:10" x14ac:dyDescent="0.2">
      <c r="C20" s="11" t="s">
        <v>24</v>
      </c>
      <c r="E20" s="53">
        <v>-20</v>
      </c>
      <c r="H20" s="1" t="s">
        <v>113</v>
      </c>
      <c r="I20" s="66">
        <f>-I8</f>
        <v>-1522</v>
      </c>
      <c r="J20" s="66">
        <f>-J8</f>
        <v>-17</v>
      </c>
    </row>
    <row r="21" spans="3:10" x14ac:dyDescent="0.2">
      <c r="C21" s="16" t="s">
        <v>25</v>
      </c>
      <c r="D21" s="18"/>
      <c r="E21" s="54">
        <f>E17+E19+E20</f>
        <v>4371</v>
      </c>
      <c r="H21" s="1" t="s">
        <v>121</v>
      </c>
      <c r="I21" s="56">
        <f>E72</f>
        <v>0</v>
      </c>
      <c r="J21" s="56">
        <f>F72</f>
        <v>1685</v>
      </c>
    </row>
    <row r="22" spans="3:10" x14ac:dyDescent="0.2">
      <c r="C22" s="11"/>
      <c r="E22" s="53"/>
      <c r="H22" s="1" t="s">
        <v>122</v>
      </c>
      <c r="I22" s="59">
        <f>SUM(E76:E77)</f>
        <v>0</v>
      </c>
      <c r="J22" s="56">
        <f>SUM(F76:F77)</f>
        <v>188</v>
      </c>
    </row>
    <row r="23" spans="3:10" x14ac:dyDescent="0.2">
      <c r="C23" s="11" t="s">
        <v>26</v>
      </c>
      <c r="E23" s="53">
        <v>-1019</v>
      </c>
      <c r="H23" s="2" t="s">
        <v>123</v>
      </c>
      <c r="I23" s="59">
        <f>SUM(I19:I22)</f>
        <v>-3677</v>
      </c>
      <c r="J23" s="59">
        <f>SUM(J19:J22)</f>
        <v>-344</v>
      </c>
    </row>
    <row r="24" spans="3:10" x14ac:dyDescent="0.2">
      <c r="C24" s="16" t="s">
        <v>27</v>
      </c>
      <c r="D24" s="18"/>
      <c r="E24" s="54">
        <f>E21+E23</f>
        <v>3352</v>
      </c>
      <c r="I24" s="56"/>
      <c r="J24" s="56"/>
    </row>
    <row r="25" spans="3:10" ht="17" thickBot="1" x14ac:dyDescent="0.25">
      <c r="C25" s="19"/>
      <c r="D25" s="20"/>
      <c r="E25" s="21"/>
      <c r="H25" s="2" t="s">
        <v>124</v>
      </c>
      <c r="I25" s="59">
        <f>I17-I23</f>
        <v>12181</v>
      </c>
      <c r="J25" s="59">
        <f>J17-J23</f>
        <v>9694</v>
      </c>
    </row>
    <row r="26" spans="3:10" ht="17" thickBot="1" x14ac:dyDescent="0.25">
      <c r="I26" s="56"/>
      <c r="J26" s="56"/>
    </row>
    <row r="27" spans="3:10" ht="20" x14ac:dyDescent="0.2">
      <c r="C27" s="8" t="s">
        <v>28</v>
      </c>
      <c r="D27" s="9"/>
      <c r="E27" s="22"/>
      <c r="F27" s="22"/>
      <c r="H27" s="2"/>
      <c r="I27" s="59"/>
      <c r="J27" s="59"/>
    </row>
    <row r="28" spans="3:10" x14ac:dyDescent="0.2">
      <c r="C28" s="11"/>
      <c r="H28" s="2" t="s">
        <v>125</v>
      </c>
      <c r="I28" s="2"/>
      <c r="J28" s="2">
        <f>I3</f>
        <v>2018</v>
      </c>
    </row>
    <row r="29" spans="3:10" ht="18" x14ac:dyDescent="0.2">
      <c r="C29" s="23" t="s">
        <v>48</v>
      </c>
      <c r="D29" s="24"/>
      <c r="E29" s="5">
        <v>2018</v>
      </c>
      <c r="F29" s="5">
        <v>2017</v>
      </c>
      <c r="H29" s="24"/>
    </row>
    <row r="30" spans="3:10" x14ac:dyDescent="0.2">
      <c r="C30" s="55" t="s">
        <v>12</v>
      </c>
      <c r="D30" s="7" t="s">
        <v>1</v>
      </c>
      <c r="E30" s="4"/>
      <c r="F30" s="4"/>
      <c r="H30" s="1" t="s">
        <v>126</v>
      </c>
      <c r="J30" s="66">
        <f>E7</f>
        <v>17234</v>
      </c>
    </row>
    <row r="31" spans="3:10" x14ac:dyDescent="0.2">
      <c r="C31" s="11" t="s">
        <v>0</v>
      </c>
      <c r="E31" s="56">
        <v>4599</v>
      </c>
      <c r="F31" s="56">
        <v>4599</v>
      </c>
      <c r="H31" s="1" t="s">
        <v>127</v>
      </c>
      <c r="J31" s="66">
        <f>E8</f>
        <v>-3881</v>
      </c>
    </row>
    <row r="32" spans="3:10" x14ac:dyDescent="0.2">
      <c r="C32" s="11" t="s">
        <v>29</v>
      </c>
      <c r="E32" s="56">
        <v>2746</v>
      </c>
      <c r="F32" s="56">
        <v>4029</v>
      </c>
      <c r="H32" s="2" t="s">
        <v>15</v>
      </c>
      <c r="I32" s="2"/>
      <c r="J32" s="74">
        <f>SUM(J30:J31)</f>
        <v>13353</v>
      </c>
    </row>
    <row r="33" spans="3:10" x14ac:dyDescent="0.2">
      <c r="C33" s="11" t="s">
        <v>30</v>
      </c>
      <c r="E33" s="56">
        <v>95</v>
      </c>
      <c r="F33" s="56">
        <v>205</v>
      </c>
    </row>
    <row r="34" spans="3:10" x14ac:dyDescent="0.2">
      <c r="C34" s="25" t="s">
        <v>37</v>
      </c>
      <c r="D34" s="2"/>
      <c r="E34" s="57">
        <f>SUM(E31:E33)</f>
        <v>7440</v>
      </c>
      <c r="F34" s="57">
        <f>SUM(F31:F33)</f>
        <v>8833</v>
      </c>
      <c r="H34" s="1" t="s">
        <v>128</v>
      </c>
      <c r="J34" s="66">
        <f>E11</f>
        <v>-5649</v>
      </c>
    </row>
    <row r="35" spans="3:10" x14ac:dyDescent="0.2">
      <c r="C35" s="11"/>
      <c r="E35" s="56"/>
      <c r="F35" s="56"/>
      <c r="H35" s="1" t="s">
        <v>129</v>
      </c>
      <c r="J35" s="66">
        <f>E12</f>
        <v>-833</v>
      </c>
    </row>
    <row r="36" spans="3:10" x14ac:dyDescent="0.2">
      <c r="C36" s="11" t="s">
        <v>31</v>
      </c>
      <c r="E36" s="56">
        <v>1246</v>
      </c>
      <c r="F36" s="56">
        <v>1430</v>
      </c>
      <c r="H36" s="1" t="s">
        <v>130</v>
      </c>
      <c r="J36" s="66">
        <f>E13</f>
        <v>-2705</v>
      </c>
    </row>
    <row r="37" spans="3:10" x14ac:dyDescent="0.2">
      <c r="C37" s="11" t="s">
        <v>32</v>
      </c>
      <c r="E37" s="56">
        <v>505</v>
      </c>
      <c r="F37" s="56">
        <v>587</v>
      </c>
      <c r="H37" s="2" t="s">
        <v>131</v>
      </c>
      <c r="I37" s="2"/>
      <c r="J37" s="74">
        <f>J32+SUM(J34:J36)</f>
        <v>4166</v>
      </c>
    </row>
    <row r="38" spans="3:10" x14ac:dyDescent="0.2">
      <c r="C38" s="11" t="s">
        <v>33</v>
      </c>
      <c r="E38" s="56">
        <v>239</v>
      </c>
      <c r="F38" s="56">
        <v>145</v>
      </c>
    </row>
    <row r="39" spans="3:10" x14ac:dyDescent="0.2">
      <c r="C39" s="25" t="s">
        <v>34</v>
      </c>
      <c r="D39" s="2"/>
      <c r="E39" s="57">
        <f>SUM(E36:E38)</f>
        <v>1990</v>
      </c>
      <c r="F39" s="57">
        <f>SUM(F36:F38)</f>
        <v>2162</v>
      </c>
      <c r="H39" s="1" t="s">
        <v>132</v>
      </c>
      <c r="I39" s="66">
        <f>E23</f>
        <v>-1019</v>
      </c>
    </row>
    <row r="40" spans="3:10" x14ac:dyDescent="0.2">
      <c r="C40" s="11"/>
      <c r="E40" s="56"/>
      <c r="F40" s="56"/>
      <c r="H40" s="1" t="s">
        <v>133</v>
      </c>
      <c r="I40" s="66">
        <f>SUM(E19:E20)*22.5%</f>
        <v>36.675000000000004</v>
      </c>
    </row>
    <row r="41" spans="3:10" x14ac:dyDescent="0.2">
      <c r="C41" s="11" t="s">
        <v>35</v>
      </c>
      <c r="E41" s="56">
        <v>1290</v>
      </c>
      <c r="F41" s="56">
        <v>1635</v>
      </c>
      <c r="H41" s="1" t="s">
        <v>134</v>
      </c>
      <c r="I41" s="1">
        <f>-I49</f>
        <v>9.4500000000000011</v>
      </c>
      <c r="J41" s="66">
        <f>SUM(I39:I41)</f>
        <v>-972.875</v>
      </c>
    </row>
    <row r="42" spans="3:10" x14ac:dyDescent="0.2">
      <c r="C42" s="25" t="s">
        <v>36</v>
      </c>
      <c r="D42" s="2"/>
      <c r="E42" s="57">
        <f>E41</f>
        <v>1290</v>
      </c>
      <c r="F42" s="57">
        <f>F41</f>
        <v>1635</v>
      </c>
      <c r="H42" s="2" t="s">
        <v>135</v>
      </c>
      <c r="I42" s="2"/>
      <c r="J42" s="74">
        <f>J37+J41</f>
        <v>3193.125</v>
      </c>
    </row>
    <row r="43" spans="3:10" ht="18" x14ac:dyDescent="0.2">
      <c r="C43" s="11"/>
      <c r="E43" s="56"/>
      <c r="F43" s="56"/>
      <c r="H43" s="63"/>
    </row>
    <row r="44" spans="3:10" x14ac:dyDescent="0.2">
      <c r="C44" s="16" t="s">
        <v>38</v>
      </c>
      <c r="D44" s="26"/>
      <c r="E44" s="58">
        <f>E34+E39+E42</f>
        <v>10720</v>
      </c>
      <c r="F44" s="58">
        <f>F34+F39+F42</f>
        <v>12630</v>
      </c>
      <c r="H44" s="2" t="s">
        <v>140</v>
      </c>
    </row>
    <row r="45" spans="3:10" x14ac:dyDescent="0.2">
      <c r="C45" s="11"/>
      <c r="E45" s="56"/>
      <c r="F45" s="56"/>
      <c r="H45" s="1" t="s">
        <v>136</v>
      </c>
      <c r="I45" s="1">
        <f>D94</f>
        <v>-200</v>
      </c>
    </row>
    <row r="46" spans="3:10" x14ac:dyDescent="0.2">
      <c r="C46" s="25" t="s">
        <v>39</v>
      </c>
      <c r="D46" s="15">
        <v>3</v>
      </c>
      <c r="E46" s="59">
        <v>1376</v>
      </c>
      <c r="F46" s="59">
        <v>1528</v>
      </c>
      <c r="H46" s="1" t="s">
        <v>137</v>
      </c>
      <c r="I46" s="66">
        <f>E14</f>
        <v>242</v>
      </c>
    </row>
    <row r="47" spans="3:10" x14ac:dyDescent="0.2">
      <c r="C47" s="11"/>
      <c r="E47" s="56"/>
      <c r="F47" s="56"/>
      <c r="H47" s="1" t="s">
        <v>138</v>
      </c>
      <c r="I47" s="1">
        <v>0</v>
      </c>
    </row>
    <row r="48" spans="3:10" x14ac:dyDescent="0.2">
      <c r="C48" s="11" t="s">
        <v>40</v>
      </c>
      <c r="E48" s="56">
        <v>2918</v>
      </c>
      <c r="F48" s="56">
        <v>3102</v>
      </c>
      <c r="H48" s="61"/>
      <c r="I48" s="1">
        <f>SUM(I45:I47)</f>
        <v>42</v>
      </c>
    </row>
    <row r="49" spans="3:10" x14ac:dyDescent="0.2">
      <c r="C49" s="11" t="s">
        <v>41</v>
      </c>
      <c r="E49" s="56">
        <v>546</v>
      </c>
      <c r="F49" s="56">
        <v>288</v>
      </c>
      <c r="H49" s="84" t="s">
        <v>139</v>
      </c>
      <c r="I49" s="1">
        <f>-I48*22.5%</f>
        <v>-9.4500000000000011</v>
      </c>
      <c r="J49" s="1">
        <f>SUM(I47:I49)</f>
        <v>32.549999999999997</v>
      </c>
    </row>
    <row r="50" spans="3:10" x14ac:dyDescent="0.2">
      <c r="C50" s="11" t="s">
        <v>42</v>
      </c>
      <c r="E50" s="56">
        <v>150</v>
      </c>
      <c r="F50" s="56">
        <v>179</v>
      </c>
      <c r="H50" s="85" t="s">
        <v>141</v>
      </c>
      <c r="J50" s="74">
        <f>SUM(J42:J49)</f>
        <v>3225.6750000000002</v>
      </c>
    </row>
    <row r="51" spans="3:10" x14ac:dyDescent="0.2">
      <c r="C51" s="25" t="s">
        <v>43</v>
      </c>
      <c r="D51" s="2"/>
      <c r="E51" s="57">
        <f>SUM(E48:E50)</f>
        <v>3614</v>
      </c>
      <c r="F51" s="57">
        <f>SUM(F48:F50)</f>
        <v>3569</v>
      </c>
      <c r="H51" s="61"/>
    </row>
    <row r="52" spans="3:10" x14ac:dyDescent="0.2">
      <c r="C52" s="11"/>
      <c r="E52" s="56"/>
      <c r="F52" s="56"/>
      <c r="H52" s="84" t="s">
        <v>142</v>
      </c>
      <c r="I52" s="66">
        <f>E19</f>
        <v>183</v>
      </c>
    </row>
    <row r="53" spans="3:10" x14ac:dyDescent="0.2">
      <c r="C53" s="25" t="s">
        <v>44</v>
      </c>
      <c r="D53" s="15">
        <v>4</v>
      </c>
      <c r="E53" s="59">
        <v>1522</v>
      </c>
      <c r="F53" s="59">
        <v>17</v>
      </c>
      <c r="H53" s="84" t="s">
        <v>143</v>
      </c>
      <c r="I53" s="66">
        <f>E20</f>
        <v>-20</v>
      </c>
    </row>
    <row r="54" spans="3:10" x14ac:dyDescent="0.2">
      <c r="C54" s="11"/>
      <c r="D54" s="15"/>
      <c r="E54" s="56"/>
      <c r="F54" s="56"/>
      <c r="H54" s="84"/>
      <c r="I54" s="66">
        <f>SUM(I52:I53)</f>
        <v>163</v>
      </c>
    </row>
    <row r="55" spans="3:10" x14ac:dyDescent="0.2">
      <c r="C55" s="25" t="s">
        <v>45</v>
      </c>
      <c r="D55" s="15">
        <v>4</v>
      </c>
      <c r="E55" s="59">
        <v>2155</v>
      </c>
      <c r="F55" s="59">
        <v>2200</v>
      </c>
      <c r="H55" s="84" t="s">
        <v>144</v>
      </c>
      <c r="I55" s="66">
        <f>-I54*22.5%</f>
        <v>-36.675000000000004</v>
      </c>
      <c r="J55" s="66">
        <f>SUM(I54:I55)</f>
        <v>126.32499999999999</v>
      </c>
    </row>
    <row r="56" spans="3:10" x14ac:dyDescent="0.2">
      <c r="C56" s="11"/>
      <c r="E56" s="56"/>
      <c r="F56" s="56"/>
      <c r="H56" s="85" t="s">
        <v>146</v>
      </c>
      <c r="J56" s="74">
        <f>SUM(J55)</f>
        <v>126.32499999999999</v>
      </c>
    </row>
    <row r="57" spans="3:10" x14ac:dyDescent="0.2">
      <c r="C57" s="16" t="s">
        <v>46</v>
      </c>
      <c r="D57" s="18"/>
      <c r="E57" s="58">
        <f>E46+E51+E53+E55</f>
        <v>8667</v>
      </c>
      <c r="F57" s="58">
        <f>F46+F51+F53+F55</f>
        <v>7314</v>
      </c>
      <c r="H57" s="84"/>
    </row>
    <row r="58" spans="3:10" x14ac:dyDescent="0.2">
      <c r="C58" s="11"/>
      <c r="E58" s="56"/>
      <c r="F58" s="56"/>
      <c r="H58" s="85" t="s">
        <v>145</v>
      </c>
      <c r="I58" s="2"/>
      <c r="J58" s="74">
        <f>J50+J56</f>
        <v>3352</v>
      </c>
    </row>
    <row r="59" spans="3:10" ht="18" x14ac:dyDescent="0.2">
      <c r="C59" s="16" t="s">
        <v>47</v>
      </c>
      <c r="D59" s="18"/>
      <c r="E59" s="58">
        <f>E44+E57</f>
        <v>19387</v>
      </c>
      <c r="F59" s="58">
        <f>F44+F57</f>
        <v>19944</v>
      </c>
      <c r="H59" s="86"/>
    </row>
    <row r="60" spans="3:10" x14ac:dyDescent="0.2">
      <c r="C60" s="11"/>
      <c r="H60" s="84"/>
    </row>
    <row r="61" spans="3:10" x14ac:dyDescent="0.2">
      <c r="C61" s="11"/>
      <c r="H61" s="84"/>
    </row>
    <row r="62" spans="3:10" ht="18" x14ac:dyDescent="0.2">
      <c r="C62" s="23" t="s">
        <v>49</v>
      </c>
      <c r="D62" s="24"/>
      <c r="E62" s="5">
        <v>2018</v>
      </c>
      <c r="F62" s="5">
        <v>2017</v>
      </c>
      <c r="H62" s="84" t="s">
        <v>147</v>
      </c>
      <c r="I62" s="87">
        <f>J32/J30</f>
        <v>0.77480561680399207</v>
      </c>
    </row>
    <row r="63" spans="3:10" x14ac:dyDescent="0.2">
      <c r="C63" s="55" t="s">
        <v>12</v>
      </c>
      <c r="D63" s="3"/>
      <c r="E63" s="4"/>
      <c r="F63" s="4"/>
      <c r="H63" s="84" t="s">
        <v>148</v>
      </c>
      <c r="I63" s="87">
        <f>J50/J30</f>
        <v>0.18716925844261345</v>
      </c>
    </row>
    <row r="64" spans="3:10" x14ac:dyDescent="0.2">
      <c r="C64" s="11" t="s">
        <v>50</v>
      </c>
      <c r="D64" s="15">
        <v>5</v>
      </c>
      <c r="E64" s="56">
        <v>995</v>
      </c>
      <c r="F64" s="56">
        <v>988</v>
      </c>
      <c r="H64" s="1" t="s">
        <v>149</v>
      </c>
      <c r="I64" s="88">
        <f>J30/AVERAGE(I17:J17)</f>
        <v>1.9305477764086478</v>
      </c>
    </row>
    <row r="65" spans="3:9" x14ac:dyDescent="0.2">
      <c r="C65" s="11" t="s">
        <v>53</v>
      </c>
      <c r="D65" s="15"/>
      <c r="E65" s="56">
        <v>634</v>
      </c>
      <c r="F65" s="56">
        <v>1164</v>
      </c>
      <c r="H65" s="1" t="s">
        <v>150</v>
      </c>
      <c r="I65" s="87">
        <f>J50/AVERAGE(I17:J17)</f>
        <v>0.36133919569844297</v>
      </c>
    </row>
    <row r="66" spans="3:9" x14ac:dyDescent="0.2">
      <c r="C66" s="11" t="s">
        <v>52</v>
      </c>
      <c r="D66" s="15"/>
      <c r="E66" s="56">
        <v>382</v>
      </c>
      <c r="F66" s="56">
        <v>-230</v>
      </c>
    </row>
    <row r="67" spans="3:9" x14ac:dyDescent="0.2">
      <c r="C67" s="11" t="s">
        <v>51</v>
      </c>
      <c r="D67" s="15"/>
      <c r="E67" s="56">
        <v>10170</v>
      </c>
      <c r="F67" s="56">
        <v>7772</v>
      </c>
    </row>
    <row r="68" spans="3:9" x14ac:dyDescent="0.2">
      <c r="C68" s="16" t="s">
        <v>54</v>
      </c>
      <c r="D68" s="17"/>
      <c r="E68" s="58">
        <f>SUM(E64:E67)</f>
        <v>12181</v>
      </c>
      <c r="F68" s="58">
        <f>SUM(F64:F67)</f>
        <v>9694</v>
      </c>
    </row>
    <row r="69" spans="3:9" x14ac:dyDescent="0.2">
      <c r="C69" s="11"/>
      <c r="D69" s="15"/>
      <c r="E69" s="56"/>
      <c r="F69" s="56"/>
    </row>
    <row r="70" spans="3:9" x14ac:dyDescent="0.2">
      <c r="C70" s="11" t="s">
        <v>55</v>
      </c>
      <c r="D70" s="62"/>
      <c r="E70" s="56">
        <v>246</v>
      </c>
      <c r="F70" s="56">
        <v>311</v>
      </c>
    </row>
    <row r="71" spans="3:9" x14ac:dyDescent="0.2">
      <c r="C71" s="11" t="s">
        <v>56</v>
      </c>
      <c r="D71" s="15"/>
      <c r="E71" s="56">
        <v>515</v>
      </c>
      <c r="F71" s="56">
        <v>548</v>
      </c>
    </row>
    <row r="72" spans="3:9" x14ac:dyDescent="0.2">
      <c r="C72" s="11" t="s">
        <v>57</v>
      </c>
      <c r="D72" s="15"/>
      <c r="E72" s="56">
        <v>0</v>
      </c>
      <c r="F72" s="56">
        <v>1685</v>
      </c>
    </row>
    <row r="73" spans="3:9" x14ac:dyDescent="0.2">
      <c r="C73" s="16" t="s">
        <v>58</v>
      </c>
      <c r="D73" s="17"/>
      <c r="E73" s="58">
        <f>SUM(E70:E72)</f>
        <v>761</v>
      </c>
      <c r="F73" s="58">
        <f>SUM(F70:F72)</f>
        <v>2544</v>
      </c>
    </row>
    <row r="74" spans="3:9" x14ac:dyDescent="0.2">
      <c r="C74" s="11"/>
      <c r="D74" s="15"/>
      <c r="E74" s="56"/>
      <c r="F74" s="56"/>
    </row>
    <row r="75" spans="3:9" x14ac:dyDescent="0.2">
      <c r="C75" s="11" t="s">
        <v>63</v>
      </c>
      <c r="D75" s="62"/>
      <c r="E75" s="56">
        <v>490</v>
      </c>
      <c r="F75" s="56">
        <v>743</v>
      </c>
    </row>
    <row r="76" spans="3:9" x14ac:dyDescent="0.2">
      <c r="C76" s="11" t="s">
        <v>57</v>
      </c>
      <c r="D76" s="15"/>
      <c r="E76" s="56">
        <v>0</v>
      </c>
      <c r="F76" s="56">
        <v>85</v>
      </c>
    </row>
    <row r="77" spans="3:9" x14ac:dyDescent="0.2">
      <c r="C77" s="11" t="s">
        <v>59</v>
      </c>
      <c r="D77" s="15"/>
      <c r="E77" s="56">
        <v>0</v>
      </c>
      <c r="F77" s="56">
        <v>103</v>
      </c>
    </row>
    <row r="78" spans="3:9" x14ac:dyDescent="0.2">
      <c r="C78" s="11" t="s">
        <v>60</v>
      </c>
      <c r="D78" s="15"/>
      <c r="E78" s="56">
        <v>3170</v>
      </c>
      <c r="F78" s="56">
        <v>3582</v>
      </c>
    </row>
    <row r="79" spans="3:9" x14ac:dyDescent="0.2">
      <c r="C79" s="11" t="s">
        <v>61</v>
      </c>
      <c r="D79" s="15"/>
      <c r="E79" s="56">
        <v>54</v>
      </c>
      <c r="F79" s="56">
        <v>157</v>
      </c>
    </row>
    <row r="80" spans="3:9" x14ac:dyDescent="0.2">
      <c r="C80" s="11" t="s">
        <v>62</v>
      </c>
      <c r="D80" s="62"/>
      <c r="E80" s="56">
        <v>2731</v>
      </c>
      <c r="F80" s="56">
        <v>3036</v>
      </c>
    </row>
    <row r="81" spans="3:7" x14ac:dyDescent="0.2">
      <c r="C81" s="16" t="s">
        <v>64</v>
      </c>
      <c r="D81" s="18"/>
      <c r="E81" s="58">
        <f>SUM(E75:E80)</f>
        <v>6445</v>
      </c>
      <c r="F81" s="58">
        <f>SUM(F75:F80)</f>
        <v>7706</v>
      </c>
    </row>
    <row r="82" spans="3:7" x14ac:dyDescent="0.2">
      <c r="C82" s="11"/>
      <c r="E82" s="56"/>
      <c r="F82" s="56"/>
    </row>
    <row r="83" spans="3:7" x14ac:dyDescent="0.2">
      <c r="C83" s="16" t="s">
        <v>65</v>
      </c>
      <c r="D83" s="18"/>
      <c r="E83" s="58">
        <f>E73+E81</f>
        <v>7206</v>
      </c>
      <c r="F83" s="58">
        <f>F73+F81</f>
        <v>10250</v>
      </c>
    </row>
    <row r="84" spans="3:7" x14ac:dyDescent="0.2">
      <c r="C84" s="11"/>
      <c r="E84" s="56"/>
      <c r="F84" s="56"/>
    </row>
    <row r="85" spans="3:7" ht="17" thickBot="1" x14ac:dyDescent="0.25">
      <c r="C85" s="27" t="s">
        <v>66</v>
      </c>
      <c r="D85" s="28"/>
      <c r="E85" s="60">
        <f>E68+E83</f>
        <v>19387</v>
      </c>
      <c r="F85" s="60">
        <f>F68+F83</f>
        <v>19944</v>
      </c>
    </row>
    <row r="86" spans="3:7" x14ac:dyDescent="0.2">
      <c r="E86" s="66"/>
      <c r="F86" s="66"/>
    </row>
    <row r="87" spans="3:7" ht="18" x14ac:dyDescent="0.2">
      <c r="C87" s="24"/>
      <c r="E87" s="2"/>
      <c r="F87" s="2"/>
    </row>
    <row r="88" spans="3:7" ht="20" x14ac:dyDescent="0.2">
      <c r="C88" s="6" t="s">
        <v>67</v>
      </c>
      <c r="D88" s="5">
        <v>2018</v>
      </c>
      <c r="E88" s="5">
        <v>2017</v>
      </c>
      <c r="F88" s="56"/>
      <c r="G88" s="71"/>
    </row>
    <row r="89" spans="3:7" x14ac:dyDescent="0.2">
      <c r="F89" s="56"/>
      <c r="G89" s="15"/>
    </row>
    <row r="90" spans="3:7" ht="18" x14ac:dyDescent="0.2">
      <c r="C90" s="29" t="s">
        <v>79</v>
      </c>
      <c r="F90" s="56"/>
      <c r="G90" s="15"/>
    </row>
    <row r="91" spans="3:7" x14ac:dyDescent="0.2">
      <c r="C91" s="1" t="s">
        <v>96</v>
      </c>
      <c r="F91" s="56"/>
      <c r="G91" s="15"/>
    </row>
    <row r="92" spans="3:7" x14ac:dyDescent="0.2">
      <c r="F92" s="56"/>
      <c r="G92" s="15"/>
    </row>
    <row r="93" spans="3:7" ht="18" x14ac:dyDescent="0.2">
      <c r="C93" s="29" t="s">
        <v>80</v>
      </c>
      <c r="D93" s="3"/>
      <c r="F93" s="56"/>
      <c r="G93" s="15"/>
    </row>
    <row r="94" spans="3:7" x14ac:dyDescent="0.2">
      <c r="C94" s="1" t="s">
        <v>68</v>
      </c>
      <c r="D94" s="1">
        <v>-200</v>
      </c>
      <c r="F94" s="56"/>
      <c r="G94" s="15"/>
    </row>
    <row r="95" spans="3:7" x14ac:dyDescent="0.2">
      <c r="F95" s="56"/>
      <c r="G95" s="15"/>
    </row>
    <row r="96" spans="3:7" ht="18" x14ac:dyDescent="0.2">
      <c r="C96" s="29" t="s">
        <v>81</v>
      </c>
      <c r="D96" s="3"/>
      <c r="E96" s="3"/>
      <c r="F96" s="56"/>
      <c r="G96" s="15"/>
    </row>
    <row r="97" spans="3:7" x14ac:dyDescent="0.2">
      <c r="C97" s="1" t="s">
        <v>71</v>
      </c>
      <c r="D97" s="1">
        <v>212</v>
      </c>
      <c r="E97" s="1">
        <v>284</v>
      </c>
      <c r="F97" s="56"/>
      <c r="G97" s="15"/>
    </row>
    <row r="98" spans="3:7" x14ac:dyDescent="0.2">
      <c r="C98" s="1" t="s">
        <v>69</v>
      </c>
      <c r="D98" s="1">
        <v>406</v>
      </c>
      <c r="E98" s="1">
        <v>409</v>
      </c>
      <c r="F98" s="74"/>
      <c r="G98" s="72"/>
    </row>
    <row r="99" spans="3:7" x14ac:dyDescent="0.2">
      <c r="C99" s="1" t="s">
        <v>70</v>
      </c>
      <c r="D99" s="1">
        <v>758</v>
      </c>
      <c r="E99" s="1">
        <v>835</v>
      </c>
      <c r="G99" s="72"/>
    </row>
    <row r="100" spans="3:7" x14ac:dyDescent="0.2">
      <c r="C100" s="2" t="s">
        <v>2</v>
      </c>
      <c r="D100" s="57">
        <f>SUM(D97:D99)</f>
        <v>1376</v>
      </c>
      <c r="E100" s="57">
        <f>SUM(E97:E99)</f>
        <v>1528</v>
      </c>
      <c r="F100" s="67"/>
      <c r="G100" s="72"/>
    </row>
    <row r="101" spans="3:7" x14ac:dyDescent="0.2">
      <c r="F101" s="56"/>
      <c r="G101" s="73"/>
    </row>
    <row r="102" spans="3:7" x14ac:dyDescent="0.2">
      <c r="C102" s="1" t="s">
        <v>73</v>
      </c>
      <c r="D102" s="1">
        <v>-60</v>
      </c>
      <c r="E102" s="1">
        <v>-6</v>
      </c>
      <c r="F102" s="56"/>
      <c r="G102" s="73"/>
    </row>
    <row r="103" spans="3:7" x14ac:dyDescent="0.2">
      <c r="C103" s="1" t="s">
        <v>72</v>
      </c>
      <c r="D103" s="1">
        <v>-60</v>
      </c>
      <c r="E103" s="1">
        <v>-6</v>
      </c>
      <c r="F103" s="56"/>
      <c r="G103" s="73"/>
    </row>
    <row r="104" spans="3:7" x14ac:dyDescent="0.2">
      <c r="F104" s="56"/>
      <c r="G104" s="73"/>
    </row>
    <row r="105" spans="3:7" ht="18" x14ac:dyDescent="0.2">
      <c r="C105" s="29" t="s">
        <v>82</v>
      </c>
      <c r="D105" s="3"/>
      <c r="E105" s="3"/>
      <c r="F105" s="56"/>
      <c r="G105" s="73"/>
    </row>
    <row r="106" spans="3:7" x14ac:dyDescent="0.2">
      <c r="C106" s="1" t="s">
        <v>74</v>
      </c>
      <c r="D106" s="56">
        <v>2155</v>
      </c>
      <c r="E106" s="64">
        <v>2200</v>
      </c>
      <c r="F106" s="56"/>
      <c r="G106" s="73"/>
    </row>
    <row r="107" spans="3:7" x14ac:dyDescent="0.2">
      <c r="C107" s="2" t="s">
        <v>75</v>
      </c>
      <c r="D107" s="57">
        <f>D106</f>
        <v>2155</v>
      </c>
      <c r="E107" s="57">
        <f>E106</f>
        <v>2200</v>
      </c>
      <c r="F107" s="56"/>
      <c r="G107" s="73"/>
    </row>
    <row r="108" spans="3:7" x14ac:dyDescent="0.2">
      <c r="D108" s="64"/>
      <c r="E108" s="64"/>
      <c r="F108" s="59"/>
      <c r="G108" s="72"/>
    </row>
    <row r="109" spans="3:7" x14ac:dyDescent="0.2">
      <c r="C109" s="1" t="s">
        <v>76</v>
      </c>
      <c r="D109" s="64">
        <v>1522</v>
      </c>
      <c r="E109" s="64">
        <v>17</v>
      </c>
      <c r="F109" s="56"/>
    </row>
    <row r="110" spans="3:7" x14ac:dyDescent="0.2">
      <c r="C110" s="2" t="s">
        <v>77</v>
      </c>
      <c r="D110" s="57">
        <f>D109</f>
        <v>1522</v>
      </c>
      <c r="E110" s="57">
        <f>E109</f>
        <v>17</v>
      </c>
      <c r="F110" s="56"/>
    </row>
    <row r="111" spans="3:7" x14ac:dyDescent="0.2">
      <c r="D111" s="64"/>
      <c r="E111" s="64"/>
    </row>
    <row r="112" spans="3:7" x14ac:dyDescent="0.2">
      <c r="C112" s="2" t="s">
        <v>78</v>
      </c>
      <c r="D112" s="65">
        <f>D107+D110</f>
        <v>3677</v>
      </c>
      <c r="E112" s="65">
        <f>E107+E110</f>
        <v>2217</v>
      </c>
    </row>
    <row r="114" spans="3:5" ht="18" x14ac:dyDescent="0.2">
      <c r="C114" s="29" t="s">
        <v>83</v>
      </c>
    </row>
    <row r="115" spans="3:5" x14ac:dyDescent="0.2">
      <c r="C115" s="1" t="s">
        <v>94</v>
      </c>
    </row>
    <row r="117" spans="3:5" x14ac:dyDescent="0.2">
      <c r="C117" s="1" t="s">
        <v>95</v>
      </c>
    </row>
    <row r="118" spans="3:5" x14ac:dyDescent="0.2">
      <c r="C118" s="31"/>
      <c r="D118" s="62"/>
      <c r="E118" s="56"/>
    </row>
    <row r="119" spans="3:5" x14ac:dyDescent="0.2">
      <c r="C119" s="2">
        <f>199-5.97</f>
        <v>193.03</v>
      </c>
      <c r="E119" s="74"/>
    </row>
    <row r="124" spans="3:5" x14ac:dyDescent="0.2">
      <c r="C124" s="2"/>
      <c r="D124" s="2"/>
      <c r="E124" s="74"/>
    </row>
    <row r="126" spans="3:5" x14ac:dyDescent="0.2">
      <c r="C126" s="2"/>
    </row>
    <row r="130" spans="3:5" x14ac:dyDescent="0.2">
      <c r="D130" s="30"/>
      <c r="E130" s="75"/>
    </row>
    <row r="131" spans="3:5" x14ac:dyDescent="0.2">
      <c r="C131" s="2"/>
      <c r="E131" s="74"/>
    </row>
    <row r="133" spans="3:5" x14ac:dyDescent="0.2">
      <c r="C133" s="2"/>
    </row>
    <row r="137" spans="3:5" x14ac:dyDescent="0.2">
      <c r="D137" s="30"/>
      <c r="E137" s="75"/>
    </row>
    <row r="138" spans="3:5" x14ac:dyDescent="0.2">
      <c r="C138" s="2"/>
      <c r="D138" s="2"/>
      <c r="E138" s="74"/>
    </row>
    <row r="141" spans="3:5" x14ac:dyDescent="0.2">
      <c r="D141" s="76"/>
    </row>
    <row r="142" spans="3:5" x14ac:dyDescent="0.2">
      <c r="D142" s="76"/>
    </row>
    <row r="143" spans="3:5" x14ac:dyDescent="0.2">
      <c r="D143" s="77"/>
    </row>
    <row r="144" spans="3:5" x14ac:dyDescent="0.2">
      <c r="D144" s="7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J45"/>
  <sheetViews>
    <sheetView topLeftCell="B20" workbookViewId="0">
      <selection activeCell="D38" sqref="D38"/>
    </sheetView>
  </sheetViews>
  <sheetFormatPr baseColWidth="10" defaultColWidth="9.1640625" defaultRowHeight="16" x14ac:dyDescent="0.2"/>
  <cols>
    <col min="1" max="2" width="9.1640625" style="1"/>
    <col min="3" max="3" width="45.33203125" style="1" customWidth="1"/>
    <col min="4" max="8" width="14.83203125" style="1" bestFit="1" customWidth="1"/>
    <col min="9" max="16384" width="9.1640625" style="1"/>
  </cols>
  <sheetData>
    <row r="1" spans="3:10" x14ac:dyDescent="0.2">
      <c r="H1" s="32"/>
    </row>
    <row r="2" spans="3:10" x14ac:dyDescent="0.2">
      <c r="C2" s="3"/>
      <c r="D2" s="3"/>
      <c r="E2" s="3"/>
      <c r="F2" s="3"/>
      <c r="G2" s="3"/>
      <c r="H2" s="3"/>
    </row>
    <row r="3" spans="3:10" x14ac:dyDescent="0.2">
      <c r="C3" s="35"/>
      <c r="D3" s="35"/>
      <c r="E3" s="37"/>
      <c r="F3" s="37"/>
      <c r="G3" s="38"/>
      <c r="H3" s="41" t="s">
        <v>9</v>
      </c>
    </row>
    <row r="4" spans="3:10" x14ac:dyDescent="0.2">
      <c r="C4" s="36"/>
      <c r="D4" s="80" t="s">
        <v>84</v>
      </c>
      <c r="E4" s="81"/>
      <c r="F4" s="81"/>
      <c r="G4" s="82"/>
      <c r="H4" s="42" t="s">
        <v>85</v>
      </c>
    </row>
    <row r="5" spans="3:10" x14ac:dyDescent="0.2">
      <c r="C5" s="43" t="s">
        <v>10</v>
      </c>
      <c r="D5" s="39" t="s">
        <v>4</v>
      </c>
      <c r="E5" s="33" t="s">
        <v>5</v>
      </c>
      <c r="F5" s="33" t="s">
        <v>6</v>
      </c>
      <c r="G5" s="40" t="s">
        <v>7</v>
      </c>
      <c r="H5" s="34" t="s">
        <v>8</v>
      </c>
      <c r="I5" s="1" t="s">
        <v>151</v>
      </c>
      <c r="J5" s="1" t="s">
        <v>152</v>
      </c>
    </row>
    <row r="6" spans="3:10" x14ac:dyDescent="0.2">
      <c r="C6" s="45" t="s">
        <v>86</v>
      </c>
      <c r="D6" s="44">
        <v>7.0000000000000007E-2</v>
      </c>
      <c r="E6" s="44">
        <v>0.06</v>
      </c>
      <c r="F6" s="44">
        <v>0.03</v>
      </c>
      <c r="G6" s="48">
        <v>0.03</v>
      </c>
      <c r="H6" s="50">
        <v>0.03</v>
      </c>
      <c r="I6" s="1">
        <v>0.08</v>
      </c>
      <c r="J6" s="90">
        <f>I6-H6</f>
        <v>0.05</v>
      </c>
    </row>
    <row r="7" spans="3:10" x14ac:dyDescent="0.2">
      <c r="C7" s="46" t="s">
        <v>87</v>
      </c>
      <c r="D7" s="44">
        <v>0.77</v>
      </c>
      <c r="E7" s="44">
        <v>0.75</v>
      </c>
      <c r="F7" s="44">
        <v>0.75</v>
      </c>
      <c r="G7" s="49">
        <v>0.74</v>
      </c>
      <c r="H7" s="51">
        <v>0.74</v>
      </c>
    </row>
    <row r="8" spans="3:10" x14ac:dyDescent="0.2">
      <c r="C8" s="46" t="s">
        <v>88</v>
      </c>
      <c r="D8" s="44">
        <v>0.32</v>
      </c>
      <c r="E8" s="44">
        <v>0.33</v>
      </c>
      <c r="F8" s="44">
        <v>0.34</v>
      </c>
      <c r="G8" s="49">
        <v>0.34</v>
      </c>
      <c r="H8" s="51">
        <v>0.34</v>
      </c>
    </row>
    <row r="9" spans="3:10" x14ac:dyDescent="0.2">
      <c r="C9" s="46" t="s">
        <v>89</v>
      </c>
      <c r="D9" s="44">
        <v>0.04</v>
      </c>
      <c r="E9" s="44">
        <v>0.04</v>
      </c>
      <c r="F9" s="44">
        <v>0.05</v>
      </c>
      <c r="G9" s="49">
        <v>0.05</v>
      </c>
      <c r="H9" s="51">
        <v>0.05</v>
      </c>
    </row>
    <row r="10" spans="3:10" x14ac:dyDescent="0.2">
      <c r="C10" s="46" t="s">
        <v>91</v>
      </c>
      <c r="D10" s="44">
        <v>0.16</v>
      </c>
      <c r="E10" s="44">
        <v>0.17</v>
      </c>
      <c r="F10" s="44">
        <v>0.18</v>
      </c>
      <c r="G10" s="49">
        <v>0.19</v>
      </c>
      <c r="H10" s="51">
        <v>0.19</v>
      </c>
    </row>
    <row r="11" spans="3:10" x14ac:dyDescent="0.2">
      <c r="C11" s="46" t="s">
        <v>90</v>
      </c>
      <c r="D11" s="44">
        <v>0.22</v>
      </c>
      <c r="E11" s="44">
        <v>0.22</v>
      </c>
      <c r="F11" s="44">
        <v>0.22</v>
      </c>
      <c r="G11" s="49">
        <v>0.22</v>
      </c>
      <c r="H11" s="51">
        <v>0.22</v>
      </c>
    </row>
    <row r="12" spans="3:10" x14ac:dyDescent="0.2">
      <c r="C12" s="47" t="s">
        <v>3</v>
      </c>
      <c r="D12" s="68" t="s">
        <v>92</v>
      </c>
      <c r="E12" s="68">
        <v>2</v>
      </c>
      <c r="F12" s="68">
        <v>2.2000000000000002</v>
      </c>
      <c r="G12" s="69">
        <v>2.2000000000000002</v>
      </c>
      <c r="H12" s="70">
        <v>2.2000000000000002</v>
      </c>
    </row>
    <row r="13" spans="3:10" x14ac:dyDescent="0.2">
      <c r="C13" s="15" t="s">
        <v>93</v>
      </c>
    </row>
    <row r="14" spans="3:10" x14ac:dyDescent="0.2">
      <c r="D14" s="1">
        <v>1</v>
      </c>
      <c r="E14" s="1">
        <v>2</v>
      </c>
      <c r="F14" s="1">
        <v>3</v>
      </c>
      <c r="G14" s="1">
        <v>4</v>
      </c>
      <c r="H14" s="1">
        <v>5</v>
      </c>
    </row>
    <row r="15" spans="3:10" ht="18" x14ac:dyDescent="0.2">
      <c r="C15" s="24"/>
      <c r="D15" s="89" t="str">
        <f>D5</f>
        <v>2019E</v>
      </c>
      <c r="E15" s="89" t="str">
        <f t="shared" ref="E15:H15" si="0">E5</f>
        <v>2020E</v>
      </c>
      <c r="F15" s="89" t="str">
        <f t="shared" si="0"/>
        <v>2021E</v>
      </c>
      <c r="G15" s="89" t="str">
        <f t="shared" si="0"/>
        <v>2022E</v>
      </c>
      <c r="H15" s="89" t="str">
        <f t="shared" si="0"/>
        <v>2023E</v>
      </c>
    </row>
    <row r="16" spans="3:10" x14ac:dyDescent="0.2">
      <c r="C16" s="1" t="s">
        <v>13</v>
      </c>
      <c r="D16" s="56">
        <f>'Opgave 2'!J30*(1+'Opgave 3'!D6)</f>
        <v>18440.38</v>
      </c>
      <c r="E16" s="56">
        <f>D16*(1+E6)</f>
        <v>19546.802800000001</v>
      </c>
      <c r="F16" s="56">
        <f t="shared" ref="F16:H16" si="1">E16*(1+F6)</f>
        <v>20133.206884000003</v>
      </c>
      <c r="G16" s="56">
        <f t="shared" si="1"/>
        <v>20737.203090520004</v>
      </c>
      <c r="H16" s="56">
        <f t="shared" si="1"/>
        <v>21359.319183235606</v>
      </c>
    </row>
    <row r="17" spans="3:8" x14ac:dyDescent="0.2">
      <c r="C17" s="1" t="s">
        <v>153</v>
      </c>
      <c r="D17" s="56">
        <f>D16*D7</f>
        <v>14199.092600000002</v>
      </c>
      <c r="E17" s="56">
        <f t="shared" ref="E17:H17" si="2">E16*E7</f>
        <v>14660.1021</v>
      </c>
      <c r="F17" s="56">
        <f t="shared" si="2"/>
        <v>15099.905163000003</v>
      </c>
      <c r="G17" s="56">
        <f t="shared" si="2"/>
        <v>15345.530286984804</v>
      </c>
      <c r="H17" s="56">
        <f t="shared" si="2"/>
        <v>15805.896195594349</v>
      </c>
    </row>
    <row r="18" spans="3:8" x14ac:dyDescent="0.2">
      <c r="C18" s="1" t="s">
        <v>88</v>
      </c>
      <c r="D18" s="56">
        <f>D8*D$16</f>
        <v>5900.9216000000006</v>
      </c>
      <c r="E18" s="56">
        <f>E8*E$16</f>
        <v>6450.4449240000004</v>
      </c>
      <c r="F18" s="56">
        <f t="shared" ref="E18:H18" si="3">F8*F$16</f>
        <v>6845.2903405600018</v>
      </c>
      <c r="G18" s="56">
        <f t="shared" si="3"/>
        <v>7050.6490507768021</v>
      </c>
      <c r="H18" s="56">
        <f t="shared" si="3"/>
        <v>7262.1685223001068</v>
      </c>
    </row>
    <row r="19" spans="3:8" x14ac:dyDescent="0.2">
      <c r="C19" s="1" t="s">
        <v>89</v>
      </c>
      <c r="D19" s="56">
        <f>D9*D$16</f>
        <v>737.61520000000007</v>
      </c>
      <c r="E19" s="56">
        <f t="shared" ref="E19:H19" si="4">E9*E$16</f>
        <v>781.87211200000002</v>
      </c>
      <c r="F19" s="56">
        <f t="shared" si="4"/>
        <v>1006.6603442000002</v>
      </c>
      <c r="G19" s="56">
        <f t="shared" si="4"/>
        <v>1036.8601545260003</v>
      </c>
      <c r="H19" s="56">
        <f t="shared" si="4"/>
        <v>1067.9659591617803</v>
      </c>
    </row>
    <row r="20" spans="3:8" x14ac:dyDescent="0.2">
      <c r="C20" s="1" t="s">
        <v>91</v>
      </c>
      <c r="D20" s="56">
        <f>D10*D$16</f>
        <v>2950.4608000000003</v>
      </c>
      <c r="E20" s="56">
        <f t="shared" ref="E20:H20" si="5">E10*E$16</f>
        <v>3322.9564760000003</v>
      </c>
      <c r="F20" s="56">
        <f t="shared" si="5"/>
        <v>3623.9772391200004</v>
      </c>
      <c r="G20" s="56">
        <f t="shared" si="5"/>
        <v>3940.0685871988007</v>
      </c>
      <c r="H20" s="56">
        <f t="shared" si="5"/>
        <v>4058.2706448147651</v>
      </c>
    </row>
    <row r="21" spans="3:8" x14ac:dyDescent="0.2">
      <c r="C21" s="2" t="s">
        <v>154</v>
      </c>
      <c r="D21" s="59">
        <f>D17-SUM(D18:D20)</f>
        <v>4610.0950000000012</v>
      </c>
      <c r="E21" s="59">
        <f>E17-SUM(E18:E20)</f>
        <v>4104.8285880000003</v>
      </c>
      <c r="F21" s="59">
        <f t="shared" ref="E21:H21" si="6">F17-SUM(F18:F20)</f>
        <v>3623.9772391200004</v>
      </c>
      <c r="G21" s="59">
        <f t="shared" si="6"/>
        <v>3317.952494483201</v>
      </c>
      <c r="H21" s="59">
        <f t="shared" si="6"/>
        <v>3417.4910693176953</v>
      </c>
    </row>
    <row r="22" spans="3:8" x14ac:dyDescent="0.2">
      <c r="C22" s="1" t="s">
        <v>90</v>
      </c>
      <c r="D22" s="56">
        <f>D21*D11</f>
        <v>1014.2209000000003</v>
      </c>
      <c r="E22" s="56">
        <f t="shared" ref="E22:H22" si="7">E21*E11</f>
        <v>903.06228936000002</v>
      </c>
      <c r="F22" s="56">
        <f t="shared" si="7"/>
        <v>797.27499260640013</v>
      </c>
      <c r="G22" s="56">
        <f t="shared" si="7"/>
        <v>729.94954878630426</v>
      </c>
      <c r="H22" s="56">
        <f t="shared" si="7"/>
        <v>751.84803524989297</v>
      </c>
    </row>
    <row r="23" spans="3:8" x14ac:dyDescent="0.2">
      <c r="C23" s="2" t="s">
        <v>157</v>
      </c>
      <c r="D23" s="59">
        <f>D21-D22</f>
        <v>3595.8741000000009</v>
      </c>
      <c r="E23" s="59">
        <f t="shared" ref="E23:H23" si="8">E21-E22</f>
        <v>3201.7662986400001</v>
      </c>
      <c r="F23" s="59">
        <f t="shared" si="8"/>
        <v>2826.7022465136001</v>
      </c>
      <c r="G23" s="59">
        <f t="shared" si="8"/>
        <v>2588.0029456968969</v>
      </c>
      <c r="H23" s="59">
        <f t="shared" si="8"/>
        <v>2665.6430340678025</v>
      </c>
    </row>
    <row r="24" spans="3:8" x14ac:dyDescent="0.2">
      <c r="D24" s="56"/>
      <c r="E24" s="56"/>
      <c r="F24" s="56"/>
      <c r="G24" s="56"/>
      <c r="H24" s="56"/>
    </row>
    <row r="25" spans="3:8" x14ac:dyDescent="0.2">
      <c r="C25" s="1" t="s">
        <v>168</v>
      </c>
      <c r="D25" s="56">
        <f>'Opgave 2'!I17</f>
        <v>8504</v>
      </c>
      <c r="E25" s="56">
        <f>1/E12*E16</f>
        <v>9773.4014000000006</v>
      </c>
      <c r="F25" s="56">
        <f t="shared" ref="F25:H25" si="9">1/F12*F16</f>
        <v>9151.457674545456</v>
      </c>
      <c r="G25" s="56">
        <f t="shared" si="9"/>
        <v>9426.0014047818204</v>
      </c>
      <c r="H25" s="56">
        <f t="shared" si="9"/>
        <v>9708.7814469252753</v>
      </c>
    </row>
    <row r="26" spans="3:8" x14ac:dyDescent="0.2">
      <c r="C26" s="1" t="s">
        <v>155</v>
      </c>
      <c r="D26" s="1">
        <f>'Opgave 2'!I23</f>
        <v>-3677</v>
      </c>
    </row>
    <row r="27" spans="3:8" x14ac:dyDescent="0.2">
      <c r="C27" s="1" t="s">
        <v>156</v>
      </c>
      <c r="D27" s="1">
        <f>'Opgave 2'!I25</f>
        <v>12181</v>
      </c>
    </row>
    <row r="28" spans="3:8" x14ac:dyDescent="0.2">
      <c r="D28" s="56"/>
      <c r="E28" s="56"/>
      <c r="F28" s="56"/>
      <c r="G28" s="56"/>
      <c r="H28" s="56"/>
    </row>
    <row r="29" spans="3:8" x14ac:dyDescent="0.2">
      <c r="C29" s="1" t="s">
        <v>158</v>
      </c>
      <c r="D29" s="78">
        <f>D23-$I$6*D25</f>
        <v>2915.5541000000007</v>
      </c>
      <c r="E29" s="78">
        <f>E23-$I$6*E25</f>
        <v>2419.89418664</v>
      </c>
      <c r="F29" s="78">
        <f t="shared" ref="E29:H29" si="10">F23-$I$6*F25</f>
        <v>2094.5856325499635</v>
      </c>
      <c r="G29" s="78">
        <f t="shared" si="10"/>
        <v>1833.9228333143512</v>
      </c>
      <c r="H29" s="78">
        <f t="shared" si="10"/>
        <v>1888.9405183137806</v>
      </c>
    </row>
    <row r="30" spans="3:8" x14ac:dyDescent="0.2">
      <c r="C30" s="1" t="s">
        <v>159</v>
      </c>
      <c r="D30" s="91">
        <f>(1+$I$6)^D14</f>
        <v>1.08</v>
      </c>
      <c r="E30" s="91">
        <f t="shared" ref="E30:H30" si="11">(1+$I$6)^E14</f>
        <v>1.1664000000000001</v>
      </c>
      <c r="F30" s="91">
        <f t="shared" si="11"/>
        <v>1.2597120000000002</v>
      </c>
      <c r="G30" s="91">
        <f t="shared" si="11"/>
        <v>1.3604889600000003</v>
      </c>
      <c r="H30" s="91"/>
    </row>
    <row r="31" spans="3:8" x14ac:dyDescent="0.2">
      <c r="C31" s="1" t="s">
        <v>160</v>
      </c>
      <c r="D31" s="56">
        <f>D29/D30</f>
        <v>2699.58712962963</v>
      </c>
      <c r="E31" s="56">
        <f t="shared" ref="E31:H31" si="12">E29/E30</f>
        <v>2074.6692272290807</v>
      </c>
      <c r="F31" s="56">
        <f t="shared" si="12"/>
        <v>1662.749606695787</v>
      </c>
      <c r="G31" s="56">
        <f t="shared" si="12"/>
        <v>1347.9880302111021</v>
      </c>
      <c r="H31" s="56"/>
    </row>
    <row r="32" spans="3:8" x14ac:dyDescent="0.2">
      <c r="C32" s="1" t="s">
        <v>161</v>
      </c>
      <c r="D32" s="66">
        <f>SUM(D31:G31)</f>
        <v>7784.993993765599</v>
      </c>
      <c r="H32" s="56"/>
    </row>
    <row r="33" spans="3:9" x14ac:dyDescent="0.2">
      <c r="C33" s="1" t="s">
        <v>162</v>
      </c>
      <c r="D33" s="56"/>
      <c r="H33" s="1">
        <f>G29*(1+0.03)/(I6-H6)</f>
        <v>37778.810366275633</v>
      </c>
    </row>
    <row r="34" spans="3:9" x14ac:dyDescent="0.2">
      <c r="C34" s="1" t="s">
        <v>163</v>
      </c>
      <c r="D34" s="56">
        <f>H33/G30</f>
        <v>27768.553422348701</v>
      </c>
    </row>
    <row r="35" spans="3:9" x14ac:dyDescent="0.2">
      <c r="C35" s="1" t="s">
        <v>164</v>
      </c>
      <c r="D35" s="59">
        <f>D25+D32+D34</f>
        <v>44057.547416114299</v>
      </c>
    </row>
    <row r="36" spans="3:9" x14ac:dyDescent="0.2">
      <c r="C36" s="1" t="s">
        <v>155</v>
      </c>
      <c r="D36" s="56">
        <f>D26</f>
        <v>-3677</v>
      </c>
    </row>
    <row r="37" spans="3:9" x14ac:dyDescent="0.2">
      <c r="C37" s="1" t="s">
        <v>165</v>
      </c>
      <c r="D37" s="59">
        <f>D35-D36</f>
        <v>47734.547416114299</v>
      </c>
    </row>
    <row r="38" spans="3:9" x14ac:dyDescent="0.2">
      <c r="C38" s="1" t="s">
        <v>167</v>
      </c>
      <c r="D38" s="2">
        <f>199-5.97</f>
        <v>193.03</v>
      </c>
    </row>
    <row r="39" spans="3:9" x14ac:dyDescent="0.2">
      <c r="C39" s="2" t="s">
        <v>166</v>
      </c>
      <c r="D39" s="75">
        <f>D37/D38</f>
        <v>247.29082223547789</v>
      </c>
    </row>
    <row r="42" spans="3:9" x14ac:dyDescent="0.2">
      <c r="E42" s="79"/>
      <c r="F42" s="79"/>
      <c r="G42" s="79"/>
      <c r="H42" s="79"/>
      <c r="I42" s="79"/>
    </row>
    <row r="43" spans="3:9" x14ac:dyDescent="0.2">
      <c r="E43" s="79"/>
      <c r="F43" s="79"/>
      <c r="G43" s="79"/>
      <c r="H43" s="79"/>
      <c r="I43" s="79"/>
    </row>
    <row r="44" spans="3:9" x14ac:dyDescent="0.2">
      <c r="E44" s="79"/>
      <c r="F44" s="79"/>
      <c r="G44" s="79"/>
      <c r="H44" s="79"/>
      <c r="I44" s="79"/>
    </row>
    <row r="45" spans="3:9" x14ac:dyDescent="0.2">
      <c r="E45" s="79"/>
      <c r="F45" s="79"/>
      <c r="G45" s="79"/>
      <c r="H45" s="79"/>
      <c r="I45" s="79"/>
    </row>
  </sheetData>
  <mergeCells count="1">
    <mergeCell ref="D4:G4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F857-FB35-1D46-B4DC-0C9548B5E4F5}">
  <dimension ref="B4:D22"/>
  <sheetViews>
    <sheetView tabSelected="1" workbookViewId="0">
      <selection activeCell="B23" sqref="B23"/>
    </sheetView>
  </sheetViews>
  <sheetFormatPr baseColWidth="10" defaultRowHeight="15" x14ac:dyDescent="0.2"/>
  <sheetData>
    <row r="4" spans="2:4" x14ac:dyDescent="0.2">
      <c r="B4" t="s">
        <v>169</v>
      </c>
    </row>
    <row r="5" spans="2:4" ht="16" x14ac:dyDescent="0.2">
      <c r="B5" s="2">
        <f>(199-5.97)*1000</f>
        <v>193030</v>
      </c>
      <c r="C5" t="s">
        <v>170</v>
      </c>
    </row>
    <row r="6" spans="2:4" x14ac:dyDescent="0.2">
      <c r="B6">
        <v>200</v>
      </c>
      <c r="C6" t="s">
        <v>171</v>
      </c>
    </row>
    <row r="7" spans="2:4" x14ac:dyDescent="0.2">
      <c r="B7">
        <f>B5*B6/1000</f>
        <v>38606</v>
      </c>
      <c r="C7" t="s">
        <v>172</v>
      </c>
    </row>
    <row r="8" spans="2:4" x14ac:dyDescent="0.2">
      <c r="B8">
        <f>'Opgave 3'!D26</f>
        <v>-3677</v>
      </c>
      <c r="C8" t="s">
        <v>155</v>
      </c>
    </row>
    <row r="9" spans="2:4" x14ac:dyDescent="0.2">
      <c r="B9">
        <f>SUM(B7:B8)</f>
        <v>34929</v>
      </c>
    </row>
    <row r="11" spans="2:4" x14ac:dyDescent="0.2">
      <c r="B11" t="s">
        <v>173</v>
      </c>
    </row>
    <row r="12" spans="2:4" x14ac:dyDescent="0.2">
      <c r="B12" t="s">
        <v>174</v>
      </c>
      <c r="D12">
        <v>3226</v>
      </c>
    </row>
    <row r="13" spans="2:4" x14ac:dyDescent="0.2">
      <c r="B13" t="s">
        <v>175</v>
      </c>
      <c r="C13">
        <v>-242</v>
      </c>
    </row>
    <row r="14" spans="2:4" x14ac:dyDescent="0.2">
      <c r="B14" t="s">
        <v>21</v>
      </c>
      <c r="C14">
        <v>200</v>
      </c>
    </row>
    <row r="15" spans="2:4" x14ac:dyDescent="0.2">
      <c r="B15" t="s">
        <v>176</v>
      </c>
      <c r="C15">
        <v>54</v>
      </c>
    </row>
    <row r="16" spans="2:4" x14ac:dyDescent="0.2">
      <c r="C16">
        <f>SUM(C13:C15)</f>
        <v>12</v>
      </c>
    </row>
    <row r="17" spans="2:4" x14ac:dyDescent="0.2">
      <c r="B17" t="s">
        <v>177</v>
      </c>
      <c r="C17">
        <f>-C16*22.5%</f>
        <v>-2.7</v>
      </c>
      <c r="D17">
        <f>SUM(C16:C17)</f>
        <v>9.3000000000000007</v>
      </c>
    </row>
    <row r="18" spans="2:4" x14ac:dyDescent="0.2">
      <c r="B18" t="s">
        <v>178</v>
      </c>
      <c r="D18">
        <f>SUM(D12:D17)</f>
        <v>3235.3</v>
      </c>
    </row>
    <row r="20" spans="2:4" x14ac:dyDescent="0.2">
      <c r="B20" t="s">
        <v>179</v>
      </c>
    </row>
    <row r="21" spans="2:4" x14ac:dyDescent="0.2">
      <c r="B21">
        <f>B9/D18</f>
        <v>10.796216734151391</v>
      </c>
    </row>
    <row r="22" spans="2:4" x14ac:dyDescent="0.2">
      <c r="B22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Opgave 1</vt:lpstr>
      <vt:lpstr>Opgave 2</vt:lpstr>
      <vt:lpstr>Opgave 3</vt:lpstr>
      <vt:lpstr>Opgave 4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Vagn Sørensen</dc:creator>
  <cp:lastModifiedBy>Jeppe Vanderhaegen</cp:lastModifiedBy>
  <cp:lastPrinted>2019-02-06T08:49:14Z</cp:lastPrinted>
  <dcterms:created xsi:type="dcterms:W3CDTF">2019-01-16T12:55:02Z</dcterms:created>
  <dcterms:modified xsi:type="dcterms:W3CDTF">2024-06-17T13:17:58Z</dcterms:modified>
</cp:coreProperties>
</file>