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jvander/Library/Mobile Documents/com~apple~CloudDocs/Documents/#University/8. Sem/Regnskab/"/>
    </mc:Choice>
  </mc:AlternateContent>
  <xr:revisionPtr revIDLastSave="0" documentId="13_ncr:1_{94CD16AC-1FF0-DA44-AFDB-A59BFFAEDBA2}" xr6:coauthVersionLast="47" xr6:coauthVersionMax="47" xr10:uidLastSave="{00000000-0000-0000-0000-000000000000}"/>
  <bookViews>
    <workbookView xWindow="1460" yWindow="1500" windowWidth="28380" windowHeight="12580" activeTab="3" xr2:uid="{00000000-000D-0000-FFFF-FFFF00000000}"/>
  </bookViews>
  <sheets>
    <sheet name="Opgave 1" sheetId="3" r:id="rId1"/>
    <sheet name="Opgave 2" sheetId="1" r:id="rId2"/>
    <sheet name="Opgave 3" sheetId="2" r:id="rId3"/>
    <sheet name="Opgave 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" i="4" l="1"/>
  <c r="C33" i="2" l="1"/>
  <c r="C32" i="2"/>
  <c r="C31" i="2"/>
  <c r="C30" i="2"/>
  <c r="C29" i="2"/>
  <c r="C28" i="2"/>
  <c r="H27" i="2"/>
  <c r="C26" i="2"/>
  <c r="E25" i="2"/>
  <c r="F25" i="2"/>
  <c r="G25" i="2"/>
  <c r="H25" i="2"/>
  <c r="D25" i="2"/>
  <c r="E24" i="2"/>
  <c r="F24" i="2"/>
  <c r="G24" i="2"/>
  <c r="H24" i="2"/>
  <c r="D24" i="2"/>
  <c r="K15" i="2"/>
  <c r="I12" i="2"/>
  <c r="I13" i="2" s="1"/>
  <c r="E23" i="2"/>
  <c r="F23" i="2"/>
  <c r="G23" i="2"/>
  <c r="D23" i="2"/>
  <c r="D21" i="2"/>
  <c r="D20" i="2"/>
  <c r="E17" i="2"/>
  <c r="F17" i="2"/>
  <c r="G17" i="2"/>
  <c r="H17" i="2"/>
  <c r="D17" i="2"/>
  <c r="E16" i="2"/>
  <c r="F16" i="2"/>
  <c r="G16" i="2"/>
  <c r="H16" i="2"/>
  <c r="D16" i="2"/>
  <c r="F15" i="2"/>
  <c r="G15" i="2"/>
  <c r="H15" i="2"/>
  <c r="E15" i="2"/>
  <c r="D15" i="2"/>
  <c r="D14" i="2"/>
  <c r="F14" i="2"/>
  <c r="G14" i="2"/>
  <c r="H14" i="2"/>
  <c r="E14" i="2"/>
  <c r="E13" i="2"/>
  <c r="F13" i="2"/>
  <c r="G13" i="2"/>
  <c r="H13" i="2"/>
  <c r="D13" i="2"/>
  <c r="E12" i="2"/>
  <c r="F12" i="2" s="1"/>
  <c r="D12" i="2"/>
  <c r="D19" i="2"/>
  <c r="E19" i="2"/>
  <c r="E10" i="2"/>
  <c r="F10" i="2" s="1"/>
  <c r="G10" i="2" s="1"/>
  <c r="H10" i="2" s="1"/>
  <c r="E11" i="2"/>
  <c r="F11" i="2"/>
  <c r="G11" i="2"/>
  <c r="H11" i="2"/>
  <c r="D11" i="2"/>
  <c r="H79" i="1"/>
  <c r="H78" i="1"/>
  <c r="H77" i="1"/>
  <c r="H76" i="1" a="1"/>
  <c r="H76" i="1" s="1"/>
  <c r="H75" i="1"/>
  <c r="I73" i="1"/>
  <c r="I72" i="1"/>
  <c r="H72" i="1" a="1"/>
  <c r="H72" i="1" s="1"/>
  <c r="H71" i="1"/>
  <c r="H70" i="1"/>
  <c r="H58" i="1"/>
  <c r="I67" i="1"/>
  <c r="H67" i="1"/>
  <c r="H64" i="1"/>
  <c r="H63" i="1"/>
  <c r="H62" i="1"/>
  <c r="H66" i="1"/>
  <c r="G66" i="1"/>
  <c r="H65" i="1"/>
  <c r="I59" i="1"/>
  <c r="H57" i="1"/>
  <c r="I58" i="1" s="1"/>
  <c r="H56" i="1"/>
  <c r="I54" i="1"/>
  <c r="I53" i="1"/>
  <c r="I52" i="1"/>
  <c r="I51" i="1"/>
  <c r="I50" i="1"/>
  <c r="I49" i="1"/>
  <c r="I47" i="1"/>
  <c r="I38" i="1"/>
  <c r="H38" i="1"/>
  <c r="H40" i="1" s="1"/>
  <c r="I37" i="1"/>
  <c r="H37" i="1"/>
  <c r="I40" i="1"/>
  <c r="I36" i="1"/>
  <c r="H36" i="1"/>
  <c r="I35" i="1"/>
  <c r="H35" i="1"/>
  <c r="I34" i="1"/>
  <c r="H34" i="1"/>
  <c r="H32" i="1"/>
  <c r="I32" i="1"/>
  <c r="I31" i="1"/>
  <c r="H31" i="1"/>
  <c r="I30" i="1"/>
  <c r="H30" i="1"/>
  <c r="I29" i="1"/>
  <c r="H29" i="1"/>
  <c r="I28" i="1"/>
  <c r="H28" i="1"/>
  <c r="I26" i="1"/>
  <c r="H26" i="1"/>
  <c r="I25" i="1"/>
  <c r="H25" i="1"/>
  <c r="I23" i="1"/>
  <c r="H23" i="1"/>
  <c r="C28" i="1"/>
  <c r="D28" i="1"/>
  <c r="C31" i="1"/>
  <c r="D31" i="1"/>
  <c r="C34" i="1"/>
  <c r="D34" i="1"/>
  <c r="C40" i="1"/>
  <c r="D40" i="1"/>
  <c r="C47" i="1"/>
  <c r="D47" i="1"/>
  <c r="C53" i="1"/>
  <c r="D53" i="1"/>
  <c r="C59" i="1"/>
  <c r="D59" i="1"/>
  <c r="I14" i="2" l="1"/>
  <c r="I15" i="2"/>
  <c r="I17" i="2" s="1"/>
  <c r="I19" i="2"/>
  <c r="H23" i="2" s="1"/>
  <c r="I16" i="2"/>
  <c r="G12" i="2"/>
  <c r="F19" i="2"/>
  <c r="H12" i="2"/>
  <c r="H19" i="2" s="1"/>
  <c r="G19" i="2"/>
  <c r="I68" i="1"/>
  <c r="C60" i="1"/>
  <c r="C61" i="1" s="1"/>
  <c r="D35" i="1"/>
  <c r="D41" i="1" s="1"/>
  <c r="D60" i="1"/>
  <c r="D61" i="1" s="1"/>
  <c r="C35" i="1"/>
  <c r="C41" i="1" s="1"/>
  <c r="H7" i="1" l="1"/>
  <c r="C6" i="1" l="1"/>
  <c r="C9" i="1" s="1"/>
  <c r="C11" i="1" s="1"/>
  <c r="C15" i="1" s="1"/>
  <c r="C17" i="1" s="1"/>
  <c r="C19" i="1" s="1"/>
  <c r="C2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<sst xmlns="http://schemas.openxmlformats.org/spreadsheetml/2006/main" count="169" uniqueCount="149">
  <si>
    <t>Nettoomsætning</t>
  </si>
  <si>
    <t>Produktionsomkostninger</t>
  </si>
  <si>
    <t>Bruttofortjeneste</t>
  </si>
  <si>
    <t>Salgs- og distributionsomkostninger</t>
  </si>
  <si>
    <t>Administrationsomkostninger</t>
  </si>
  <si>
    <t>Driftsoverskud før usædvanlige poster</t>
  </si>
  <si>
    <t>Usædvanlige poster</t>
  </si>
  <si>
    <t>Driftsoverskud før finansielle poster</t>
  </si>
  <si>
    <t>Finansielle indtægter</t>
  </si>
  <si>
    <t>Finansielle omkostninger</t>
  </si>
  <si>
    <t>Årets resultat før skat</t>
  </si>
  <si>
    <t>Skat af årets resultat</t>
  </si>
  <si>
    <t>Årets resultat</t>
  </si>
  <si>
    <t>Totalindkomst</t>
  </si>
  <si>
    <t>1.000 Kr.</t>
  </si>
  <si>
    <t>Varemærker</t>
  </si>
  <si>
    <t>Grunde og bygninger</t>
  </si>
  <si>
    <t>Maskiner og produktionsudstyr</t>
  </si>
  <si>
    <t>Tilgodehavender fra salg</t>
  </si>
  <si>
    <t>Immaterielle anlægsaktiver i alt</t>
  </si>
  <si>
    <t>Materielle anlægsaktiver</t>
  </si>
  <si>
    <t>Langfristede aktiver i alt</t>
  </si>
  <si>
    <t>Varelagre</t>
  </si>
  <si>
    <t>Likvide beholdninger</t>
  </si>
  <si>
    <t>Aktiver i alt</t>
  </si>
  <si>
    <t>Kortfristede aktiver i alt</t>
  </si>
  <si>
    <t>Aktiekapital</t>
  </si>
  <si>
    <t>Overført overskud</t>
  </si>
  <si>
    <t>Andre reserver</t>
  </si>
  <si>
    <t>Egenkapital i alt</t>
  </si>
  <si>
    <t>Pensionsforpligtelser</t>
  </si>
  <si>
    <t>Udskudte skatteforpligtelser</t>
  </si>
  <si>
    <t>Realkreditlån</t>
  </si>
  <si>
    <t>Bankgæld</t>
  </si>
  <si>
    <t>Langfristede forpligtelser</t>
  </si>
  <si>
    <t>Leverandørgæld</t>
  </si>
  <si>
    <t>Anden gæld</t>
  </si>
  <si>
    <t>Kortfristede forpligtelser</t>
  </si>
  <si>
    <t>Forpligtelser i alt</t>
  </si>
  <si>
    <t>Passiver i alt</t>
  </si>
  <si>
    <t>Balancer</t>
  </si>
  <si>
    <t>Totalindkomstopgørelse</t>
  </si>
  <si>
    <t>Note</t>
  </si>
  <si>
    <t>Udvalgte noter:</t>
  </si>
  <si>
    <t>1 Usædvanlige poster</t>
  </si>
  <si>
    <t>Nedskrivning på varemærker</t>
  </si>
  <si>
    <t>Skyldig moms</t>
  </si>
  <si>
    <t>Feriepenge</t>
  </si>
  <si>
    <t>Skyldige renter</t>
  </si>
  <si>
    <t>Koncerngoodwill</t>
  </si>
  <si>
    <t>Udskudte skatteaktiver</t>
  </si>
  <si>
    <t>Kapitalinteresser i associerede selskaber</t>
  </si>
  <si>
    <t>Indtægter fra associerede selskaber, efter skat</t>
  </si>
  <si>
    <t>Valutakursregulering vedr. udenlandske enheder, efter skat</t>
  </si>
  <si>
    <t>Nedskrivning på koncerngoodwill</t>
  </si>
  <si>
    <t>Usædvanlige poster i alt</t>
  </si>
  <si>
    <t>2 Aktiekapital</t>
  </si>
  <si>
    <t>3 Anden gæld</t>
  </si>
  <si>
    <t>Value driver</t>
  </si>
  <si>
    <t>2020E</t>
  </si>
  <si>
    <t>2021E</t>
  </si>
  <si>
    <t>2022E</t>
  </si>
  <si>
    <t>2023E</t>
  </si>
  <si>
    <t>2024E</t>
  </si>
  <si>
    <t>Budgetperiode</t>
  </si>
  <si>
    <t>Salgsvækstrate</t>
  </si>
  <si>
    <r>
      <t>PM</t>
    </r>
    <r>
      <rPr>
        <sz val="10"/>
        <color theme="1"/>
        <rFont val="Times New Roman"/>
        <family val="1"/>
      </rPr>
      <t>salg</t>
    </r>
    <r>
      <rPr>
        <sz val="11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(før skat)</t>
    </r>
  </si>
  <si>
    <t>Andet driftsoverskud i procent af salg, efter skat</t>
  </si>
  <si>
    <t>Effektiv skatteprocent</t>
  </si>
  <si>
    <t>1/ATO</t>
  </si>
  <si>
    <t>2025E</t>
  </si>
  <si>
    <t>Terminal-</t>
  </si>
  <si>
    <t>periode</t>
  </si>
  <si>
    <t>Nedskrivning på varelagre</t>
  </si>
  <si>
    <t>Finansielle anlægsaktiver i alt</t>
  </si>
  <si>
    <t>Anden gæld i alt</t>
  </si>
  <si>
    <t>Aktiekapitalen på 5.000 tkr. Består af 50.000 aktier af nom. 100 per aktie</t>
  </si>
  <si>
    <t>Den 31. dec. 2019 bestod beholdningen af egne aktier af 4.000 stk.</t>
  </si>
  <si>
    <t>i.r.</t>
  </si>
  <si>
    <t>Uenig</t>
  </si>
  <si>
    <t>Enig</t>
  </si>
  <si>
    <t xml:space="preserve">Det er kun, når cum-dividend earnings er højere end rr, </t>
  </si>
  <si>
    <t>at der skabes AEG og dermed vækst i RE</t>
  </si>
  <si>
    <t>Pga høj konkurrence, homogeniteten i varer og de lave indgangsbarrierer</t>
  </si>
  <si>
    <t>så er ATO'en oftest meget høj for detailvirksomheder</t>
  </si>
  <si>
    <t>hvis de implementeres og forvaltes korrekt</t>
  </si>
  <si>
    <t xml:space="preserve">fordi investeringer ofte foretages med det formål at skabe vækst og øget profit, som bør kunne generere residualoverskud, </t>
  </si>
  <si>
    <t xml:space="preserve">Ingen vækst i RE betyder ingen vækst i AEG. Derfor kan vi regne </t>
  </si>
  <si>
    <t>EPS</t>
  </si>
  <si>
    <t>V=1/r x [EPS + AEG]=1/r x [200 + 0]=200</t>
  </si>
  <si>
    <t>Isolerer man for r får man 5%</t>
  </si>
  <si>
    <t>Formlen er ROCE=RNOA+FLEV(RNOA-NBC)</t>
  </si>
  <si>
    <t>ROCE er = 14%</t>
  </si>
  <si>
    <t>Reformuleret Balance</t>
  </si>
  <si>
    <t xml:space="preserve">Aktiver i alt </t>
  </si>
  <si>
    <t>Likvide midler</t>
  </si>
  <si>
    <t>Driftsaktiver</t>
  </si>
  <si>
    <t>Udskudte skatteforplitigelser</t>
  </si>
  <si>
    <t>Pensionsforpligtigelser</t>
  </si>
  <si>
    <t>Nettodriftsaktiviter(NOA)</t>
  </si>
  <si>
    <t>Likvidbeholdning</t>
  </si>
  <si>
    <t>Langfristet Lån</t>
  </si>
  <si>
    <t>Kortfristet Lån</t>
  </si>
  <si>
    <t>Netto Finansielle Obligationer(NFO)</t>
  </si>
  <si>
    <t>Egenkapital(CSE)</t>
  </si>
  <si>
    <t>Likvide beholdninger er eneste finansielle beholdninger</t>
  </si>
  <si>
    <t>Skyldige renter under anden gæld er en del af nettofinansielle forpligtigelser</t>
  </si>
  <si>
    <t>Reformuleret totalindkomst</t>
  </si>
  <si>
    <t>Bruttoresultat</t>
  </si>
  <si>
    <t>Salgs - og distributionsomkostninger</t>
  </si>
  <si>
    <t xml:space="preserve">Driftoverskud, før skat </t>
  </si>
  <si>
    <t>Rapporteret skat</t>
  </si>
  <si>
    <t>Skatte fra andet driftsoverskud</t>
  </si>
  <si>
    <t>Skattefordel @ 22,5%</t>
  </si>
  <si>
    <t xml:space="preserve">Andet driftoverskud </t>
  </si>
  <si>
    <t>Samlet driftsoverskud(OI)</t>
  </si>
  <si>
    <t>Indtægter fra associerede selskaber</t>
  </si>
  <si>
    <t>Nedskrivning på varelager</t>
  </si>
  <si>
    <t>Skattefordel @22,5%</t>
  </si>
  <si>
    <t>Finansielle udgifter</t>
  </si>
  <si>
    <t>ROCE=Driftsoverskud/CSE</t>
  </si>
  <si>
    <t>FLEV=NFO/CSE</t>
  </si>
  <si>
    <t>RNOA=Drifstoverskud/NOA</t>
  </si>
  <si>
    <t>PM=OI/Nettoomsætning</t>
  </si>
  <si>
    <t>ATO=Nettoomæstning/NOA</t>
  </si>
  <si>
    <t>Driftsoverskud, før skat</t>
  </si>
  <si>
    <t>Skat</t>
  </si>
  <si>
    <t>Driftsoverskud, efter skat</t>
  </si>
  <si>
    <t>Andet driftsoverskud</t>
  </si>
  <si>
    <t>NOA</t>
  </si>
  <si>
    <t>NFO</t>
  </si>
  <si>
    <t>CSE</t>
  </si>
  <si>
    <t>FCF=OI-Delta NOA</t>
  </si>
  <si>
    <t>RR</t>
  </si>
  <si>
    <t>Growth</t>
  </si>
  <si>
    <t>Diff</t>
  </si>
  <si>
    <t>Discount</t>
  </si>
  <si>
    <t>PV af FCF</t>
  </si>
  <si>
    <t>PV SUM</t>
  </si>
  <si>
    <t>TV</t>
  </si>
  <si>
    <t>PV af TV</t>
  </si>
  <si>
    <t>EV</t>
  </si>
  <si>
    <t>V^E</t>
  </si>
  <si>
    <t>Antal aktier</t>
  </si>
  <si>
    <t>Værdi per aktie</t>
  </si>
  <si>
    <t>Beregning af EV</t>
  </si>
  <si>
    <t>Markedsværdi af egenkapital + markedsværdi af netto finansielle forplitigelser(NFO)</t>
  </si>
  <si>
    <t>(50-4) x 400 +5530 = 18400 + 5530 = 23930</t>
  </si>
  <si>
    <t xml:space="preserve">Herefter kan EV/OI findes ved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</si>
</sst>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#,##0\ &quot;kr.&quot;;[Red]\-#,##0\ &quot;kr.&quot;"/>
    <numFmt numFmtId="43" formatCode="_-* #,##0.00_-;\-* #,##0.00_-;_-* &quot;-&quot;??_-;_-@_-"/>
    <numFmt numFmtId="164" formatCode="_-* #,##0_-;\-* #,##0_-;_-* &quot;-&quot;??_-;_-@_-"/>
    <numFmt numFmtId="165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0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sz val="16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 indent="1"/>
    </xf>
    <xf numFmtId="0" fontId="3" fillId="0" borderId="0" xfId="0" applyFont="1"/>
    <xf numFmtId="0" fontId="2" fillId="0" borderId="1" xfId="0" applyFont="1" applyBorder="1"/>
    <xf numFmtId="0" fontId="4" fillId="0" borderId="2" xfId="0" applyFont="1" applyBorder="1"/>
    <xf numFmtId="0" fontId="5" fillId="0" borderId="2" xfId="0" applyFont="1" applyBorder="1"/>
    <xf numFmtId="0" fontId="2" fillId="0" borderId="1" xfId="0" applyFont="1" applyBorder="1" applyAlignment="1">
      <alignment horizontal="left" indent="1"/>
    </xf>
    <xf numFmtId="0" fontId="3" fillId="0" borderId="1" xfId="0" applyFont="1" applyBorder="1"/>
    <xf numFmtId="6" fontId="4" fillId="0" borderId="2" xfId="0" applyNumberFormat="1" applyFont="1" applyBorder="1" applyAlignment="1">
      <alignment horizontal="left"/>
    </xf>
    <xf numFmtId="0" fontId="3" fillId="0" borderId="2" xfId="0" applyFont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2" fillId="0" borderId="0" xfId="1" applyNumberFormat="1" applyFont="1"/>
    <xf numFmtId="164" fontId="2" fillId="0" borderId="1" xfId="1" applyNumberFormat="1" applyFont="1" applyBorder="1"/>
    <xf numFmtId="164" fontId="2" fillId="0" borderId="0" xfId="1" applyNumberFormat="1" applyFont="1" applyBorder="1"/>
    <xf numFmtId="164" fontId="3" fillId="0" borderId="0" xfId="1" applyNumberFormat="1" applyFont="1"/>
    <xf numFmtId="164" fontId="3" fillId="0" borderId="1" xfId="1" applyNumberFormat="1" applyFont="1" applyBorder="1"/>
    <xf numFmtId="164" fontId="2" fillId="0" borderId="0" xfId="0" applyNumberFormat="1" applyFont="1"/>
    <xf numFmtId="164" fontId="2" fillId="0" borderId="2" xfId="0" applyNumberFormat="1" applyFont="1" applyBorder="1"/>
    <xf numFmtId="9" fontId="2" fillId="0" borderId="0" xfId="0" applyNumberFormat="1" applyFont="1"/>
    <xf numFmtId="0" fontId="3" fillId="0" borderId="1" xfId="0" applyFont="1" applyBorder="1" applyAlignment="1">
      <alignment horizontal="right"/>
    </xf>
    <xf numFmtId="0" fontId="3" fillId="0" borderId="0" xfId="0" applyFont="1" applyAlignment="1">
      <alignment horizontal="center"/>
    </xf>
    <xf numFmtId="0" fontId="4" fillId="0" borderId="1" xfId="0" applyFont="1" applyBorder="1"/>
    <xf numFmtId="0" fontId="3" fillId="0" borderId="1" xfId="0" applyFont="1" applyBorder="1" applyAlignment="1">
      <alignment horizontal="center"/>
    </xf>
    <xf numFmtId="0" fontId="5" fillId="0" borderId="1" xfId="0" applyFont="1" applyBorder="1"/>
    <xf numFmtId="165" fontId="2" fillId="0" borderId="0" xfId="0" applyNumberFormat="1" applyFont="1"/>
    <xf numFmtId="0" fontId="2" fillId="0" borderId="1" xfId="0" applyFont="1" applyBorder="1" applyAlignment="1">
      <alignment horizontal="right"/>
    </xf>
    <xf numFmtId="0" fontId="6" fillId="0" borderId="1" xfId="0" applyFont="1" applyBorder="1"/>
    <xf numFmtId="164" fontId="3" fillId="0" borderId="2" xfId="1" applyNumberFormat="1" applyFont="1" applyBorder="1"/>
    <xf numFmtId="0" fontId="2" fillId="0" borderId="2" xfId="0" applyFont="1" applyBorder="1"/>
    <xf numFmtId="0" fontId="3" fillId="0" borderId="0" xfId="0" applyFont="1" applyAlignment="1">
      <alignment horizontal="right"/>
    </xf>
    <xf numFmtId="1" fontId="2" fillId="0" borderId="0" xfId="0" applyNumberFormat="1" applyFont="1"/>
    <xf numFmtId="1" fontId="3" fillId="0" borderId="0" xfId="0" applyNumberFormat="1" applyFont="1"/>
    <xf numFmtId="2" fontId="2" fillId="0" borderId="1" xfId="0" applyNumberFormat="1" applyFont="1" applyBorder="1"/>
    <xf numFmtId="0" fontId="9" fillId="0" borderId="0" xfId="0" applyFont="1"/>
    <xf numFmtId="164" fontId="3" fillId="0" borderId="0" xfId="0" applyNumberFormat="1" applyFont="1"/>
    <xf numFmtId="165" fontId="2" fillId="0" borderId="0" xfId="2" applyNumberFormat="1" applyFont="1"/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center"/>
    </xf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0</xdr:row>
      <xdr:rowOff>177800</xdr:rowOff>
    </xdr:from>
    <xdr:to>
      <xdr:col>6</xdr:col>
      <xdr:colOff>787400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630D5E-EA6B-21D1-96DA-70CCB5B16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600" y="177800"/>
          <a:ext cx="5384800" cy="381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787400</xdr:colOff>
      <xdr:row>16</xdr:row>
      <xdr:rowOff>177800</xdr:rowOff>
    </xdr:from>
    <xdr:to>
      <xdr:col>22</xdr:col>
      <xdr:colOff>304800</xdr:colOff>
      <xdr:row>20</xdr:row>
      <xdr:rowOff>142947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4B3765-9657-82B2-A249-64ED99D30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3400" y="3225800"/>
          <a:ext cx="7772400" cy="7271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495300</xdr:colOff>
      <xdr:row>1</xdr:row>
      <xdr:rowOff>25400</xdr:rowOff>
    </xdr:from>
    <xdr:to>
      <xdr:col>20</xdr:col>
      <xdr:colOff>88900</xdr:colOff>
      <xdr:row>28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32FC2D-1AE1-D3C5-458D-9BF93B144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3700" y="279400"/>
          <a:ext cx="5537200" cy="5613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45</xdr:row>
      <xdr:rowOff>38100</xdr:rowOff>
    </xdr:from>
    <xdr:to>
      <xdr:col>19</xdr:col>
      <xdr:colOff>431800</xdr:colOff>
      <xdr:row>49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FFAEC6-BEB2-80DD-6094-1D2775DC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3000" y="9283700"/>
          <a:ext cx="4838700" cy="96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152400</xdr:colOff>
      <xdr:row>2</xdr:row>
      <xdr:rowOff>101600</xdr:rowOff>
    </xdr:from>
    <xdr:to>
      <xdr:col>19</xdr:col>
      <xdr:colOff>266700</xdr:colOff>
      <xdr:row>17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ED1699-1D18-DB0B-5349-4211C5F3C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64900" y="508000"/>
          <a:ext cx="5397500" cy="3086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381000</xdr:colOff>
      <xdr:row>0</xdr:row>
      <xdr:rowOff>0</xdr:rowOff>
    </xdr:from>
    <xdr:to>
      <xdr:col>18</xdr:col>
      <xdr:colOff>723900</xdr:colOff>
      <xdr:row>12</xdr:row>
      <xdr:rowOff>148478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CEB1DF-0842-F923-FA96-1F15F204D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0" y="0"/>
          <a:ext cx="7772400" cy="2434478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7</xdr:row>
      <xdr:rowOff>165100</xdr:rowOff>
    </xdr:from>
    <xdr:to>
      <xdr:col>9</xdr:col>
      <xdr:colOff>698500</xdr:colOff>
      <xdr:row>26</xdr:row>
      <xdr:rowOff>82519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346CC9-FAA7-CFDC-DE42-B3059415E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600" y="1498600"/>
          <a:ext cx="7772400" cy="35369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139C2-00D8-C049-9733-678BF92E3612}">
  <dimension ref="G2:H20"/>
  <sheetViews>
    <sheetView workbookViewId="0">
      <selection activeCell="H22" sqref="H22"/>
    </sheetView>
  </sheetViews>
  <sheetFormatPr baseColWidth="10" defaultRowHeight="15" x14ac:dyDescent="0.2"/>
  <sheetData>
    <row r="2" spans="7:8" x14ac:dyDescent="0.2">
      <c r="H2" s="35" t="s">
        <v>79</v>
      </c>
    </row>
    <row r="3" spans="7:8" x14ac:dyDescent="0.2">
      <c r="H3" s="35" t="s">
        <v>81</v>
      </c>
    </row>
    <row r="4" spans="7:8" x14ac:dyDescent="0.2">
      <c r="H4" s="35" t="s">
        <v>82</v>
      </c>
    </row>
    <row r="6" spans="7:8" x14ac:dyDescent="0.2">
      <c r="H6" t="s">
        <v>80</v>
      </c>
    </row>
    <row r="7" spans="7:8" x14ac:dyDescent="0.2">
      <c r="H7" s="35" t="s">
        <v>83</v>
      </c>
    </row>
    <row r="8" spans="7:8" x14ac:dyDescent="0.2">
      <c r="H8" s="35" t="s">
        <v>84</v>
      </c>
    </row>
    <row r="9" spans="7:8" x14ac:dyDescent="0.2">
      <c r="H9" t="s">
        <v>79</v>
      </c>
    </row>
    <row r="10" spans="7:8" x14ac:dyDescent="0.2">
      <c r="H10" s="35" t="s">
        <v>86</v>
      </c>
    </row>
    <row r="11" spans="7:8" x14ac:dyDescent="0.2">
      <c r="H11" s="35" t="s">
        <v>85</v>
      </c>
    </row>
    <row r="13" spans="7:8" x14ac:dyDescent="0.2">
      <c r="H13" s="35" t="s">
        <v>80</v>
      </c>
    </row>
    <row r="14" spans="7:8" x14ac:dyDescent="0.2">
      <c r="H14" s="35" t="s">
        <v>87</v>
      </c>
    </row>
    <row r="15" spans="7:8" x14ac:dyDescent="0.2">
      <c r="G15" t="s">
        <v>88</v>
      </c>
      <c r="H15" s="35" t="s">
        <v>89</v>
      </c>
    </row>
    <row r="16" spans="7:8" x14ac:dyDescent="0.2">
      <c r="H16" s="35" t="s">
        <v>90</v>
      </c>
    </row>
    <row r="18" spans="8:8" x14ac:dyDescent="0.2">
      <c r="H18" t="s">
        <v>80</v>
      </c>
    </row>
    <row r="19" spans="8:8" x14ac:dyDescent="0.2">
      <c r="H19" s="35" t="s">
        <v>91</v>
      </c>
    </row>
    <row r="20" spans="8:8" x14ac:dyDescent="0.2">
      <c r="H20" s="35" t="s">
        <v>92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79"/>
  <sheetViews>
    <sheetView topLeftCell="B7" workbookViewId="0">
      <selection activeCell="G81" sqref="G81"/>
    </sheetView>
  </sheetViews>
  <sheetFormatPr baseColWidth="10" defaultColWidth="8.6640625" defaultRowHeight="16" x14ac:dyDescent="0.2"/>
  <cols>
    <col min="1" max="1" width="8.6640625" style="1"/>
    <col min="2" max="2" width="53.5" style="1" customWidth="1"/>
    <col min="3" max="3" width="11.1640625" style="1" bestFit="1" customWidth="1"/>
    <col min="4" max="4" width="11" style="1" bestFit="1" customWidth="1"/>
    <col min="5" max="5" width="9.5" style="12" bestFit="1" customWidth="1"/>
    <col min="6" max="6" width="3.5" style="1" customWidth="1"/>
    <col min="7" max="7" width="37" style="1" customWidth="1"/>
    <col min="8" max="8" width="9.83203125" style="1" bestFit="1" customWidth="1"/>
    <col min="9" max="16384" width="8.6640625" style="1"/>
  </cols>
  <sheetData>
    <row r="1" spans="2:9" ht="20" x14ac:dyDescent="0.2">
      <c r="B1" s="11" t="s">
        <v>41</v>
      </c>
      <c r="G1" s="28" t="s">
        <v>43</v>
      </c>
      <c r="H1" s="4"/>
    </row>
    <row r="2" spans="2:9" x14ac:dyDescent="0.2">
      <c r="B2" s="4"/>
      <c r="C2" s="4"/>
      <c r="G2" s="4"/>
      <c r="H2" s="25">
        <v>2019</v>
      </c>
    </row>
    <row r="3" spans="2:9" x14ac:dyDescent="0.2">
      <c r="B3" s="5" t="s">
        <v>14</v>
      </c>
      <c r="C3" s="6">
        <v>2019</v>
      </c>
      <c r="E3" s="12" t="s">
        <v>42</v>
      </c>
      <c r="G3" s="3" t="s">
        <v>44</v>
      </c>
    </row>
    <row r="4" spans="2:9" x14ac:dyDescent="0.2">
      <c r="B4" s="1" t="s">
        <v>0</v>
      </c>
      <c r="C4" s="13">
        <v>25000</v>
      </c>
      <c r="G4" s="1" t="s">
        <v>73</v>
      </c>
      <c r="H4" s="13">
        <v>-1200</v>
      </c>
    </row>
    <row r="5" spans="2:9" x14ac:dyDescent="0.2">
      <c r="B5" s="7" t="s">
        <v>1</v>
      </c>
      <c r="C5" s="14">
        <v>-22500</v>
      </c>
      <c r="G5" s="1" t="s">
        <v>45</v>
      </c>
      <c r="H5" s="13">
        <v>-800</v>
      </c>
    </row>
    <row r="6" spans="2:9" x14ac:dyDescent="0.2">
      <c r="B6" s="3" t="s">
        <v>2</v>
      </c>
      <c r="C6" s="16">
        <f>C4+C5</f>
        <v>2500</v>
      </c>
      <c r="G6" s="4" t="s">
        <v>54</v>
      </c>
      <c r="H6" s="14">
        <v>-6000</v>
      </c>
    </row>
    <row r="7" spans="2:9" x14ac:dyDescent="0.2">
      <c r="B7" s="2" t="s">
        <v>3</v>
      </c>
      <c r="C7" s="13">
        <v>-800</v>
      </c>
      <c r="G7" s="10" t="s">
        <v>55</v>
      </c>
      <c r="H7" s="29">
        <f>H4+H5+H6</f>
        <v>-8000</v>
      </c>
    </row>
    <row r="8" spans="2:9" x14ac:dyDescent="0.2">
      <c r="B8" s="7" t="s">
        <v>4</v>
      </c>
      <c r="C8" s="14">
        <v>-200</v>
      </c>
      <c r="G8" s="3"/>
      <c r="H8" s="30"/>
    </row>
    <row r="9" spans="2:9" x14ac:dyDescent="0.2">
      <c r="B9" s="3" t="s">
        <v>5</v>
      </c>
      <c r="C9" s="16">
        <f>C6+C7+C8</f>
        <v>1500</v>
      </c>
      <c r="G9" s="3" t="s">
        <v>56</v>
      </c>
      <c r="H9" s="25">
        <v>2019</v>
      </c>
    </row>
    <row r="10" spans="2:9" x14ac:dyDescent="0.2">
      <c r="B10" s="7" t="s">
        <v>6</v>
      </c>
      <c r="C10" s="14">
        <v>-8000</v>
      </c>
      <c r="E10" s="12">
        <v>1</v>
      </c>
      <c r="G10" s="1" t="s">
        <v>76</v>
      </c>
    </row>
    <row r="11" spans="2:9" x14ac:dyDescent="0.2">
      <c r="B11" s="8" t="s">
        <v>7</v>
      </c>
      <c r="C11" s="17">
        <f>C9+C10</f>
        <v>-6500</v>
      </c>
      <c r="G11" s="1" t="s">
        <v>77</v>
      </c>
    </row>
    <row r="12" spans="2:9" x14ac:dyDescent="0.2">
      <c r="B12" s="2" t="s">
        <v>52</v>
      </c>
      <c r="C12" s="15">
        <v>1100</v>
      </c>
      <c r="G12" s="4"/>
      <c r="H12" s="4"/>
      <c r="I12" s="4"/>
    </row>
    <row r="13" spans="2:9" x14ac:dyDescent="0.2">
      <c r="B13" s="2" t="s">
        <v>8</v>
      </c>
      <c r="C13" s="13">
        <v>50</v>
      </c>
      <c r="G13" s="4"/>
      <c r="H13" s="25">
        <v>2019</v>
      </c>
      <c r="I13" s="25">
        <v>2018</v>
      </c>
    </row>
    <row r="14" spans="2:9" x14ac:dyDescent="0.2">
      <c r="B14" s="7" t="s">
        <v>9</v>
      </c>
      <c r="C14" s="14">
        <v>-1700</v>
      </c>
      <c r="G14" s="3" t="s">
        <v>57</v>
      </c>
    </row>
    <row r="15" spans="2:9" x14ac:dyDescent="0.2">
      <c r="B15" s="8" t="s">
        <v>10</v>
      </c>
      <c r="C15" s="17">
        <f>C11+C12+C13+C14</f>
        <v>-7050</v>
      </c>
      <c r="G15" s="1" t="s">
        <v>46</v>
      </c>
      <c r="H15" s="1">
        <v>100</v>
      </c>
      <c r="I15" s="1">
        <v>80</v>
      </c>
    </row>
    <row r="16" spans="2:9" x14ac:dyDescent="0.2">
      <c r="B16" s="2" t="s">
        <v>11</v>
      </c>
      <c r="C16" s="13">
        <v>1500</v>
      </c>
      <c r="G16" s="1" t="s">
        <v>47</v>
      </c>
      <c r="H16" s="1">
        <v>140</v>
      </c>
      <c r="I16" s="1">
        <v>220</v>
      </c>
    </row>
    <row r="17" spans="2:9" x14ac:dyDescent="0.2">
      <c r="B17" s="8" t="s">
        <v>12</v>
      </c>
      <c r="C17" s="17">
        <f>C15+C16</f>
        <v>-5550</v>
      </c>
      <c r="G17" s="4" t="s">
        <v>48</v>
      </c>
      <c r="H17" s="4">
        <v>100</v>
      </c>
      <c r="I17" s="4">
        <v>120</v>
      </c>
    </row>
    <row r="18" spans="2:9" x14ac:dyDescent="0.2">
      <c r="G18" s="8" t="s">
        <v>75</v>
      </c>
      <c r="H18" s="8">
        <v>340</v>
      </c>
      <c r="I18" s="8">
        <v>420</v>
      </c>
    </row>
    <row r="19" spans="2:9" x14ac:dyDescent="0.2">
      <c r="B19" s="1" t="s">
        <v>12</v>
      </c>
      <c r="C19" s="18">
        <f>C17</f>
        <v>-5550</v>
      </c>
    </row>
    <row r="20" spans="2:9" x14ac:dyDescent="0.2">
      <c r="B20" s="4" t="s">
        <v>53</v>
      </c>
      <c r="C20" s="4">
        <v>50</v>
      </c>
    </row>
    <row r="21" spans="2:9" x14ac:dyDescent="0.2">
      <c r="B21" s="10" t="s">
        <v>13</v>
      </c>
      <c r="C21" s="19">
        <f>C19+C20</f>
        <v>-5500</v>
      </c>
      <c r="G21" s="1" t="s">
        <v>93</v>
      </c>
      <c r="H21" s="1">
        <v>2019</v>
      </c>
      <c r="I21" s="1">
        <v>2018</v>
      </c>
    </row>
    <row r="23" spans="2:9" ht="20" x14ac:dyDescent="0.2">
      <c r="B23" s="11" t="s">
        <v>40</v>
      </c>
      <c r="G23" s="1" t="s">
        <v>94</v>
      </c>
      <c r="H23" s="18">
        <f>C41</f>
        <v>32650</v>
      </c>
      <c r="I23" s="18">
        <f>D41</f>
        <v>37280</v>
      </c>
    </row>
    <row r="24" spans="2:9" x14ac:dyDescent="0.2">
      <c r="C24" s="4"/>
      <c r="D24" s="4"/>
    </row>
    <row r="25" spans="2:9" x14ac:dyDescent="0.2">
      <c r="B25" s="9">
        <v>1000</v>
      </c>
      <c r="C25" s="6">
        <v>2019</v>
      </c>
      <c r="D25" s="6">
        <v>2018</v>
      </c>
      <c r="G25" s="1" t="s">
        <v>95</v>
      </c>
      <c r="H25" s="18">
        <f>C39</f>
        <v>1200</v>
      </c>
      <c r="I25" s="18">
        <f>D39</f>
        <v>1000</v>
      </c>
    </row>
    <row r="26" spans="2:9" x14ac:dyDescent="0.2">
      <c r="B26" s="1" t="s">
        <v>49</v>
      </c>
      <c r="C26" s="15">
        <v>2000</v>
      </c>
      <c r="D26" s="15">
        <v>8000</v>
      </c>
      <c r="G26" s="3" t="s">
        <v>96</v>
      </c>
      <c r="H26" s="36">
        <f>H23-H25</f>
        <v>31450</v>
      </c>
      <c r="I26" s="36">
        <f>I23-I25</f>
        <v>36280</v>
      </c>
    </row>
    <row r="27" spans="2:9" x14ac:dyDescent="0.2">
      <c r="B27" s="4" t="s">
        <v>15</v>
      </c>
      <c r="C27" s="14">
        <v>1000</v>
      </c>
      <c r="D27" s="14">
        <v>1000</v>
      </c>
    </row>
    <row r="28" spans="2:9" x14ac:dyDescent="0.2">
      <c r="B28" s="8" t="s">
        <v>19</v>
      </c>
      <c r="C28" s="17">
        <f>C26+C27</f>
        <v>3000</v>
      </c>
      <c r="D28" s="17">
        <f>D26+D27</f>
        <v>9000</v>
      </c>
      <c r="G28" s="1" t="s">
        <v>35</v>
      </c>
      <c r="H28" s="18">
        <f>C57</f>
        <v>4450</v>
      </c>
      <c r="I28" s="18">
        <f>D57</f>
        <v>3800</v>
      </c>
    </row>
    <row r="29" spans="2:9" x14ac:dyDescent="0.2">
      <c r="B29" s="1" t="s">
        <v>16</v>
      </c>
      <c r="C29" s="13">
        <v>9500</v>
      </c>
      <c r="D29" s="13">
        <v>9200</v>
      </c>
      <c r="G29" s="1" t="s">
        <v>97</v>
      </c>
      <c r="H29" s="18">
        <f>C50</f>
        <v>380</v>
      </c>
      <c r="I29" s="18">
        <f>D50</f>
        <v>420</v>
      </c>
    </row>
    <row r="30" spans="2:9" x14ac:dyDescent="0.2">
      <c r="B30" s="4" t="s">
        <v>17</v>
      </c>
      <c r="C30" s="14">
        <v>7500</v>
      </c>
      <c r="D30" s="14">
        <v>7300</v>
      </c>
      <c r="G30" s="1" t="s">
        <v>36</v>
      </c>
      <c r="H30" s="1">
        <f>SUM(H15:H16)</f>
        <v>240</v>
      </c>
      <c r="I30" s="1">
        <f>SUM(I15:I16)</f>
        <v>300</v>
      </c>
    </row>
    <row r="31" spans="2:9" x14ac:dyDescent="0.2">
      <c r="B31" s="8" t="s">
        <v>20</v>
      </c>
      <c r="C31" s="17">
        <f>C29+C30</f>
        <v>17000</v>
      </c>
      <c r="D31" s="17">
        <f>D29+D30</f>
        <v>16500</v>
      </c>
      <c r="G31" s="1" t="s">
        <v>98</v>
      </c>
      <c r="H31" s="18">
        <f>C49</f>
        <v>850</v>
      </c>
      <c r="I31" s="18">
        <f>D49</f>
        <v>910</v>
      </c>
    </row>
    <row r="32" spans="2:9" x14ac:dyDescent="0.2">
      <c r="B32" s="1" t="s">
        <v>50</v>
      </c>
      <c r="C32" s="13">
        <v>230</v>
      </c>
      <c r="D32" s="13">
        <v>280</v>
      </c>
      <c r="G32" s="3" t="s">
        <v>99</v>
      </c>
      <c r="H32" s="36">
        <f>H26-SUM(H28:H31)</f>
        <v>25530</v>
      </c>
      <c r="I32" s="36">
        <f>I26-SUM(I28:I31)</f>
        <v>30850</v>
      </c>
    </row>
    <row r="33" spans="2:9" x14ac:dyDescent="0.2">
      <c r="B33" s="4" t="s">
        <v>51</v>
      </c>
      <c r="C33" s="14">
        <v>120</v>
      </c>
      <c r="D33" s="14">
        <v>100</v>
      </c>
    </row>
    <row r="34" spans="2:9" x14ac:dyDescent="0.2">
      <c r="B34" s="8" t="s">
        <v>74</v>
      </c>
      <c r="C34" s="17">
        <f>C32+C33</f>
        <v>350</v>
      </c>
      <c r="D34" s="17">
        <f>D32+D33</f>
        <v>380</v>
      </c>
      <c r="G34" s="1" t="s">
        <v>100</v>
      </c>
      <c r="H34" s="18">
        <f>-H25</f>
        <v>-1200</v>
      </c>
      <c r="I34" s="18">
        <f>-I25</f>
        <v>-1000</v>
      </c>
    </row>
    <row r="35" spans="2:9" x14ac:dyDescent="0.2">
      <c r="B35" s="10" t="s">
        <v>21</v>
      </c>
      <c r="C35" s="29">
        <f>C28+C31+C34</f>
        <v>20350</v>
      </c>
      <c r="D35" s="29">
        <f>D28+D31+D34</f>
        <v>25880</v>
      </c>
      <c r="G35" s="1" t="s">
        <v>101</v>
      </c>
      <c r="H35" s="18">
        <f>SUM(C51:C52)</f>
        <v>5500</v>
      </c>
      <c r="I35" s="18">
        <f>SUM(D51:D52)</f>
        <v>5750</v>
      </c>
    </row>
    <row r="36" spans="2:9" x14ac:dyDescent="0.2">
      <c r="G36" s="1" t="s">
        <v>102</v>
      </c>
      <c r="H36" s="18">
        <f>SUM(C55:C56)</f>
        <v>1130</v>
      </c>
      <c r="I36" s="18">
        <f>SUM(D55:D56)</f>
        <v>980</v>
      </c>
    </row>
    <row r="37" spans="2:9" x14ac:dyDescent="0.2">
      <c r="B37" s="1" t="s">
        <v>22</v>
      </c>
      <c r="C37" s="13">
        <v>6500</v>
      </c>
      <c r="D37" s="13">
        <v>6000</v>
      </c>
      <c r="G37" s="1" t="s">
        <v>48</v>
      </c>
      <c r="H37" s="1">
        <f>H17</f>
        <v>100</v>
      </c>
      <c r="I37" s="1">
        <f>I17</f>
        <v>120</v>
      </c>
    </row>
    <row r="38" spans="2:9" x14ac:dyDescent="0.2">
      <c r="B38" s="1" t="s">
        <v>18</v>
      </c>
      <c r="C38" s="13">
        <v>4600</v>
      </c>
      <c r="D38" s="13">
        <v>4400</v>
      </c>
      <c r="G38" s="3" t="s">
        <v>103</v>
      </c>
      <c r="H38" s="36">
        <f>SUM(H34:H37)</f>
        <v>5530</v>
      </c>
      <c r="I38" s="36">
        <f>SUM(I34:I37)</f>
        <v>5850</v>
      </c>
    </row>
    <row r="39" spans="2:9" x14ac:dyDescent="0.2">
      <c r="B39" s="1" t="s">
        <v>23</v>
      </c>
      <c r="C39" s="14">
        <v>1200</v>
      </c>
      <c r="D39" s="14">
        <v>1000</v>
      </c>
    </row>
    <row r="40" spans="2:9" x14ac:dyDescent="0.2">
      <c r="B40" s="3" t="s">
        <v>25</v>
      </c>
      <c r="C40" s="29">
        <f>SUM(C37:C39)</f>
        <v>12300</v>
      </c>
      <c r="D40" s="29">
        <f>SUM(D37:D39)</f>
        <v>11400</v>
      </c>
      <c r="G40" s="3" t="s">
        <v>104</v>
      </c>
      <c r="H40" s="36">
        <f>H32-H38</f>
        <v>20000</v>
      </c>
      <c r="I40" s="36">
        <f>I32-I38</f>
        <v>25000</v>
      </c>
    </row>
    <row r="41" spans="2:9" x14ac:dyDescent="0.2">
      <c r="B41" s="3" t="s">
        <v>24</v>
      </c>
      <c r="C41" s="29">
        <f>C35+C40</f>
        <v>32650</v>
      </c>
      <c r="D41" s="29">
        <f>D35+D40</f>
        <v>37280</v>
      </c>
    </row>
    <row r="42" spans="2:9" x14ac:dyDescent="0.2">
      <c r="B42" s="3"/>
      <c r="C42" s="3"/>
      <c r="D42" s="3"/>
      <c r="G42" s="1" t="s">
        <v>105</v>
      </c>
    </row>
    <row r="43" spans="2:9" x14ac:dyDescent="0.2">
      <c r="B43" s="9">
        <v>1000</v>
      </c>
      <c r="C43" s="6">
        <v>2019</v>
      </c>
      <c r="D43" s="6">
        <v>2018</v>
      </c>
    </row>
    <row r="44" spans="2:9" x14ac:dyDescent="0.2">
      <c r="B44" s="1" t="s">
        <v>26</v>
      </c>
      <c r="C44" s="13">
        <v>5000</v>
      </c>
      <c r="D44" s="13">
        <v>5000</v>
      </c>
      <c r="E44" s="12">
        <v>2</v>
      </c>
      <c r="G44" s="1" t="s">
        <v>106</v>
      </c>
    </row>
    <row r="45" spans="2:9" x14ac:dyDescent="0.2">
      <c r="B45" s="1" t="s">
        <v>27</v>
      </c>
      <c r="C45" s="13">
        <v>13600</v>
      </c>
      <c r="D45" s="13">
        <v>18800</v>
      </c>
    </row>
    <row r="46" spans="2:9" x14ac:dyDescent="0.2">
      <c r="B46" s="4" t="s">
        <v>28</v>
      </c>
      <c r="C46" s="14">
        <v>1400</v>
      </c>
      <c r="D46" s="14">
        <v>1200</v>
      </c>
    </row>
    <row r="47" spans="2:9" x14ac:dyDescent="0.2">
      <c r="B47" s="8" t="s">
        <v>29</v>
      </c>
      <c r="C47" s="17">
        <f>SUM(C44:C46)</f>
        <v>20000</v>
      </c>
      <c r="D47" s="17">
        <f>SUM(D44:D46)</f>
        <v>25000</v>
      </c>
      <c r="G47" s="1" t="s">
        <v>107</v>
      </c>
      <c r="I47" s="1">
        <f>C3</f>
        <v>2019</v>
      </c>
    </row>
    <row r="49" spans="2:9" x14ac:dyDescent="0.2">
      <c r="B49" s="1" t="s">
        <v>30</v>
      </c>
      <c r="C49" s="13">
        <v>850</v>
      </c>
      <c r="D49" s="13">
        <v>910</v>
      </c>
      <c r="G49" s="1" t="s">
        <v>0</v>
      </c>
      <c r="I49" s="18">
        <f>C4</f>
        <v>25000</v>
      </c>
    </row>
    <row r="50" spans="2:9" x14ac:dyDescent="0.2">
      <c r="B50" s="1" t="s">
        <v>31</v>
      </c>
      <c r="C50" s="13">
        <v>380</v>
      </c>
      <c r="D50" s="13">
        <v>420</v>
      </c>
      <c r="G50" s="1" t="s">
        <v>1</v>
      </c>
      <c r="I50" s="18">
        <f>C5</f>
        <v>-22500</v>
      </c>
    </row>
    <row r="51" spans="2:9" x14ac:dyDescent="0.2">
      <c r="B51" s="1" t="s">
        <v>32</v>
      </c>
      <c r="C51" s="13">
        <v>4300</v>
      </c>
      <c r="D51" s="13">
        <v>4400</v>
      </c>
      <c r="G51" s="3" t="s">
        <v>108</v>
      </c>
      <c r="H51" s="3"/>
      <c r="I51" s="36">
        <f>SUM(I49:I50)</f>
        <v>2500</v>
      </c>
    </row>
    <row r="52" spans="2:9" x14ac:dyDescent="0.2">
      <c r="B52" s="4" t="s">
        <v>33</v>
      </c>
      <c r="C52" s="14">
        <v>1200</v>
      </c>
      <c r="D52" s="14">
        <v>1350</v>
      </c>
      <c r="G52" s="1" t="s">
        <v>109</v>
      </c>
      <c r="I52" s="18">
        <f>C7</f>
        <v>-800</v>
      </c>
    </row>
    <row r="53" spans="2:9" x14ac:dyDescent="0.2">
      <c r="B53" s="8" t="s">
        <v>34</v>
      </c>
      <c r="C53" s="17">
        <f>SUM(C49:C52)</f>
        <v>6730</v>
      </c>
      <c r="D53" s="17">
        <f>SUM(D49:D52)</f>
        <v>7080</v>
      </c>
      <c r="G53" s="1" t="s">
        <v>4</v>
      </c>
      <c r="I53" s="18">
        <f>C8</f>
        <v>-200</v>
      </c>
    </row>
    <row r="54" spans="2:9" x14ac:dyDescent="0.2">
      <c r="G54" s="3" t="s">
        <v>110</v>
      </c>
      <c r="H54" s="3"/>
      <c r="I54" s="36">
        <f>SUM(I51:I53)</f>
        <v>1500</v>
      </c>
    </row>
    <row r="55" spans="2:9" x14ac:dyDescent="0.2">
      <c r="B55" s="1" t="s">
        <v>32</v>
      </c>
      <c r="C55" s="13">
        <v>850</v>
      </c>
      <c r="D55" s="13">
        <v>780</v>
      </c>
    </row>
    <row r="56" spans="2:9" x14ac:dyDescent="0.2">
      <c r="B56" s="1" t="s">
        <v>33</v>
      </c>
      <c r="C56" s="13">
        <v>280</v>
      </c>
      <c r="D56" s="13">
        <v>200</v>
      </c>
      <c r="G56" s="1" t="s">
        <v>111</v>
      </c>
      <c r="H56" s="18">
        <f>C16</f>
        <v>1500</v>
      </c>
    </row>
    <row r="57" spans="2:9" x14ac:dyDescent="0.2">
      <c r="B57" s="1" t="s">
        <v>35</v>
      </c>
      <c r="C57" s="13">
        <v>4450</v>
      </c>
      <c r="D57" s="13">
        <v>3800</v>
      </c>
      <c r="G57" s="1" t="s">
        <v>113</v>
      </c>
      <c r="H57" s="18">
        <f>SUM(C13:C14)*22.5%</f>
        <v>-371.25</v>
      </c>
    </row>
    <row r="58" spans="2:9" x14ac:dyDescent="0.2">
      <c r="B58" s="4" t="s">
        <v>36</v>
      </c>
      <c r="C58" s="14">
        <v>340</v>
      </c>
      <c r="D58" s="14">
        <v>420</v>
      </c>
      <c r="E58" s="12">
        <v>3</v>
      </c>
      <c r="G58" s="1" t="s">
        <v>112</v>
      </c>
      <c r="H58" s="18">
        <f>-H64</f>
        <v>-450</v>
      </c>
      <c r="I58" s="18">
        <f>SUM(H56:H58)</f>
        <v>678.75</v>
      </c>
    </row>
    <row r="59" spans="2:9" x14ac:dyDescent="0.2">
      <c r="B59" s="10" t="s">
        <v>37</v>
      </c>
      <c r="C59" s="29">
        <f>SUM(C55:C58)</f>
        <v>5920</v>
      </c>
      <c r="D59" s="29">
        <f>SUM(D55:D58)</f>
        <v>5200</v>
      </c>
      <c r="I59" s="18">
        <f>SUM(I54:I58)</f>
        <v>2178.75</v>
      </c>
    </row>
    <row r="60" spans="2:9" x14ac:dyDescent="0.2">
      <c r="B60" s="10" t="s">
        <v>38</v>
      </c>
      <c r="C60" s="29">
        <f>C53+C59</f>
        <v>12650</v>
      </c>
      <c r="D60" s="29">
        <f>D53+D59</f>
        <v>12280</v>
      </c>
    </row>
    <row r="61" spans="2:9" x14ac:dyDescent="0.2">
      <c r="B61" s="10" t="s">
        <v>39</v>
      </c>
      <c r="C61" s="29">
        <f>C47+C60</f>
        <v>32650</v>
      </c>
      <c r="D61" s="29">
        <f>D47+D60</f>
        <v>37280</v>
      </c>
      <c r="G61" s="3" t="s">
        <v>114</v>
      </c>
    </row>
    <row r="62" spans="2:9" x14ac:dyDescent="0.2">
      <c r="G62" s="1" t="s">
        <v>117</v>
      </c>
      <c r="H62" s="18">
        <f>H4</f>
        <v>-1200</v>
      </c>
    </row>
    <row r="63" spans="2:9" x14ac:dyDescent="0.2">
      <c r="G63" s="1" t="s">
        <v>45</v>
      </c>
      <c r="H63" s="18">
        <f>H5</f>
        <v>-800</v>
      </c>
      <c r="I63" s="18"/>
    </row>
    <row r="64" spans="2:9" x14ac:dyDescent="0.2">
      <c r="G64" s="1" t="s">
        <v>118</v>
      </c>
      <c r="H64" s="18">
        <f>SUM(H62:H63)*22.5%*(-1)</f>
        <v>450</v>
      </c>
    </row>
    <row r="65" spans="7:9" x14ac:dyDescent="0.2">
      <c r="G65" s="1" t="s">
        <v>116</v>
      </c>
      <c r="H65" s="18">
        <f>C12</f>
        <v>1100</v>
      </c>
    </row>
    <row r="66" spans="7:9" x14ac:dyDescent="0.2">
      <c r="G66" s="1" t="str">
        <f>B20</f>
        <v>Valutakursregulering vedr. udenlandske enheder, efter skat</v>
      </c>
      <c r="H66" s="1">
        <f>C20</f>
        <v>50</v>
      </c>
    </row>
    <row r="67" spans="7:9" x14ac:dyDescent="0.2">
      <c r="G67" s="1" t="s">
        <v>54</v>
      </c>
      <c r="H67" s="18">
        <f>H6</f>
        <v>-6000</v>
      </c>
      <c r="I67" s="18">
        <f>SUM(H62:H67)</f>
        <v>-6400</v>
      </c>
    </row>
    <row r="68" spans="7:9" x14ac:dyDescent="0.2">
      <c r="G68" s="3" t="s">
        <v>115</v>
      </c>
      <c r="I68" s="18">
        <f>SUM(I59:I67)</f>
        <v>-4221.25</v>
      </c>
    </row>
    <row r="70" spans="7:9" x14ac:dyDescent="0.2">
      <c r="G70" s="1" t="s">
        <v>8</v>
      </c>
      <c r="H70" s="18">
        <f>C13</f>
        <v>50</v>
      </c>
    </row>
    <row r="71" spans="7:9" x14ac:dyDescent="0.2">
      <c r="G71" s="1" t="s">
        <v>119</v>
      </c>
      <c r="H71" s="18">
        <f>C14</f>
        <v>-1700</v>
      </c>
    </row>
    <row r="72" spans="7:9" x14ac:dyDescent="0.2">
      <c r="G72" s="1" t="s">
        <v>113</v>
      </c>
      <c r="H72" s="1" cm="1">
        <f t="array" ref="H72">-SUM(H70:H71*22.5%)</f>
        <v>371.25</v>
      </c>
      <c r="I72" s="18">
        <f>SUM(H70:H72)</f>
        <v>-1278.75</v>
      </c>
    </row>
    <row r="73" spans="7:9" x14ac:dyDescent="0.2">
      <c r="G73" s="3" t="s">
        <v>13</v>
      </c>
      <c r="H73" s="3"/>
      <c r="I73" s="36">
        <f>SUM(I68:I72)</f>
        <v>-5500</v>
      </c>
    </row>
    <row r="75" spans="7:9" x14ac:dyDescent="0.2">
      <c r="G75" s="1" t="s">
        <v>120</v>
      </c>
      <c r="H75" s="37">
        <f>I73/AVERAGE(H40:I40)</f>
        <v>-0.24444444444444444</v>
      </c>
    </row>
    <row r="76" spans="7:9" x14ac:dyDescent="0.2">
      <c r="G76" s="1" t="s">
        <v>121</v>
      </c>
      <c r="H76" s="37" cm="1">
        <f t="array" ref="H76">AVERAGE(H38:I38/AVERAGE(H40:I40))</f>
        <v>0.25288888888888889</v>
      </c>
    </row>
    <row r="77" spans="7:9" x14ac:dyDescent="0.2">
      <c r="G77" s="1" t="s">
        <v>122</v>
      </c>
      <c r="H77" s="37">
        <f>I68/AVERAGE(H32:I32)</f>
        <v>-0.14974281660163177</v>
      </c>
    </row>
    <row r="78" spans="7:9" x14ac:dyDescent="0.2">
      <c r="G78" s="1" t="s">
        <v>123</v>
      </c>
      <c r="H78" s="37">
        <f>I68/I49</f>
        <v>-0.16885</v>
      </c>
    </row>
    <row r="79" spans="7:9" x14ac:dyDescent="0.2">
      <c r="G79" s="1" t="s">
        <v>124</v>
      </c>
      <c r="H79" s="37">
        <f>I49/AVERAGE(H32:I32)</f>
        <v>0.88683930471798511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K54"/>
  <sheetViews>
    <sheetView topLeftCell="A19" workbookViewId="0">
      <selection activeCell="C33" sqref="C33"/>
    </sheetView>
  </sheetViews>
  <sheetFormatPr baseColWidth="10" defaultColWidth="8.6640625" defaultRowHeight="16" x14ac:dyDescent="0.2"/>
  <cols>
    <col min="1" max="1" width="8.6640625" style="1"/>
    <col min="2" max="2" width="43.6640625" style="1" bestFit="1" customWidth="1"/>
    <col min="3" max="3" width="8.6640625" style="1" customWidth="1"/>
    <col min="4" max="4" width="12" style="1" bestFit="1" customWidth="1"/>
    <col min="5" max="6" width="11.1640625" style="1" bestFit="1" customWidth="1"/>
    <col min="7" max="8" width="11.33203125" style="1" bestFit="1" customWidth="1"/>
    <col min="9" max="9" width="10.5" style="1" customWidth="1"/>
    <col min="10" max="16384" width="8.6640625" style="1"/>
  </cols>
  <sheetData>
    <row r="1" spans="2:11" x14ac:dyDescent="0.2">
      <c r="B1" s="4"/>
      <c r="C1" s="4"/>
      <c r="D1" s="4"/>
      <c r="E1" s="4"/>
      <c r="F1" s="4"/>
      <c r="G1" s="4"/>
      <c r="H1" s="4"/>
      <c r="I1" s="4"/>
    </row>
    <row r="2" spans="2:11" x14ac:dyDescent="0.2">
      <c r="I2" s="22" t="s">
        <v>71</v>
      </c>
    </row>
    <row r="3" spans="2:11" x14ac:dyDescent="0.2">
      <c r="B3" s="4"/>
      <c r="C3" s="4"/>
      <c r="D3" s="39" t="s">
        <v>64</v>
      </c>
      <c r="E3" s="39"/>
      <c r="F3" s="39"/>
      <c r="G3" s="39"/>
      <c r="H3" s="39"/>
      <c r="I3" s="24" t="s">
        <v>72</v>
      </c>
    </row>
    <row r="4" spans="2:11" x14ac:dyDescent="0.2">
      <c r="B4" s="23" t="s">
        <v>58</v>
      </c>
      <c r="C4" s="23"/>
      <c r="D4" s="21" t="s">
        <v>59</v>
      </c>
      <c r="E4" s="21" t="s">
        <v>60</v>
      </c>
      <c r="F4" s="21" t="s">
        <v>61</v>
      </c>
      <c r="G4" s="21" t="s">
        <v>62</v>
      </c>
      <c r="H4" s="21" t="s">
        <v>63</v>
      </c>
      <c r="I4" s="21" t="s">
        <v>70</v>
      </c>
    </row>
    <row r="5" spans="2:11" x14ac:dyDescent="0.2">
      <c r="B5" s="1" t="s">
        <v>65</v>
      </c>
      <c r="D5" s="20">
        <v>-0.06</v>
      </c>
      <c r="E5" s="20">
        <v>-0.04</v>
      </c>
      <c r="F5" s="20">
        <v>0</v>
      </c>
      <c r="G5" s="20">
        <v>0.01</v>
      </c>
      <c r="H5" s="20">
        <v>0.02</v>
      </c>
      <c r="I5" s="20">
        <v>0.02</v>
      </c>
    </row>
    <row r="6" spans="2:11" x14ac:dyDescent="0.2">
      <c r="B6" s="1" t="s">
        <v>66</v>
      </c>
      <c r="D6" s="20">
        <v>-0.05</v>
      </c>
      <c r="E6" s="20">
        <v>0</v>
      </c>
      <c r="F6" s="20">
        <v>0.04</v>
      </c>
      <c r="G6" s="20">
        <v>0.05</v>
      </c>
      <c r="H6" s="20">
        <v>0.05</v>
      </c>
      <c r="I6" s="20">
        <v>0.05</v>
      </c>
    </row>
    <row r="7" spans="2:11" x14ac:dyDescent="0.2">
      <c r="B7" s="1" t="s">
        <v>68</v>
      </c>
      <c r="D7" s="26">
        <v>0.22500000000000001</v>
      </c>
      <c r="E7" s="26">
        <v>0.22500000000000001</v>
      </c>
      <c r="F7" s="20">
        <v>0.24</v>
      </c>
      <c r="G7" s="20">
        <v>0.24</v>
      </c>
      <c r="H7" s="20">
        <v>0.24</v>
      </c>
      <c r="I7" s="20">
        <v>0.24</v>
      </c>
    </row>
    <row r="8" spans="2:11" x14ac:dyDescent="0.2">
      <c r="B8" s="1" t="s">
        <v>67</v>
      </c>
      <c r="D8" s="20">
        <v>0.04</v>
      </c>
      <c r="E8" s="20">
        <v>0.04</v>
      </c>
      <c r="F8" s="20">
        <v>0.04</v>
      </c>
      <c r="G8" s="20">
        <v>0.04</v>
      </c>
      <c r="H8" s="20">
        <v>0.04</v>
      </c>
      <c r="I8" s="20">
        <v>0.04</v>
      </c>
    </row>
    <row r="9" spans="2:11" x14ac:dyDescent="0.2">
      <c r="B9" s="4" t="s">
        <v>69</v>
      </c>
      <c r="C9" s="4"/>
      <c r="D9" s="27" t="s">
        <v>78</v>
      </c>
      <c r="E9" s="4">
        <v>0.88</v>
      </c>
      <c r="F9" s="34">
        <v>0.9</v>
      </c>
      <c r="G9" s="4">
        <v>0.95</v>
      </c>
      <c r="H9" s="4">
        <v>0.95</v>
      </c>
      <c r="I9" s="4">
        <v>0.95</v>
      </c>
    </row>
    <row r="10" spans="2:11" x14ac:dyDescent="0.2">
      <c r="D10" s="38">
        <v>1</v>
      </c>
      <c r="E10" s="38">
        <f>D10+1</f>
        <v>2</v>
      </c>
      <c r="F10" s="38">
        <f t="shared" ref="F10:H10" si="0">E10+1</f>
        <v>3</v>
      </c>
      <c r="G10" s="38">
        <f t="shared" si="0"/>
        <v>4</v>
      </c>
      <c r="H10" s="38">
        <f t="shared" si="0"/>
        <v>5</v>
      </c>
    </row>
    <row r="11" spans="2:11" x14ac:dyDescent="0.2">
      <c r="D11" s="1" t="str">
        <f>D4</f>
        <v>2020E</v>
      </c>
      <c r="E11" s="1" t="str">
        <f>E4</f>
        <v>2021E</v>
      </c>
      <c r="F11" s="1" t="str">
        <f>F4</f>
        <v>2022E</v>
      </c>
      <c r="G11" s="1" t="str">
        <f>G4</f>
        <v>2023E</v>
      </c>
      <c r="H11" s="1" t="str">
        <f>H4</f>
        <v>2024E</v>
      </c>
      <c r="I11" s="31"/>
    </row>
    <row r="12" spans="2:11" x14ac:dyDescent="0.2">
      <c r="B12" s="1" t="s">
        <v>0</v>
      </c>
      <c r="D12" s="32">
        <f>'Opgave 2'!I49</f>
        <v>25000</v>
      </c>
      <c r="E12" s="32">
        <f>D12*(1+E5)</f>
        <v>24000</v>
      </c>
      <c r="F12" s="32">
        <f>E12*(1+F5)</f>
        <v>24000</v>
      </c>
      <c r="G12" s="32">
        <f>F12*(1+G5)</f>
        <v>24240</v>
      </c>
      <c r="H12" s="32">
        <f>G12*(1+H5)</f>
        <v>24724.799999999999</v>
      </c>
      <c r="I12" s="32">
        <f>H12*(1+I5)</f>
        <v>25219.295999999998</v>
      </c>
    </row>
    <row r="13" spans="2:11" x14ac:dyDescent="0.2">
      <c r="B13" s="1" t="s">
        <v>125</v>
      </c>
      <c r="D13" s="1">
        <f>D12*D6</f>
        <v>-1250</v>
      </c>
      <c r="E13" s="1">
        <f t="shared" ref="E13:I13" si="1">E12*E6</f>
        <v>0</v>
      </c>
      <c r="F13" s="1">
        <f t="shared" si="1"/>
        <v>960</v>
      </c>
      <c r="G13" s="1">
        <f t="shared" si="1"/>
        <v>1212</v>
      </c>
      <c r="H13" s="1">
        <f t="shared" si="1"/>
        <v>1236.24</v>
      </c>
      <c r="I13" s="1">
        <f t="shared" si="1"/>
        <v>1260.9648</v>
      </c>
      <c r="J13" s="1" t="s">
        <v>133</v>
      </c>
      <c r="K13" s="1">
        <v>7.0000000000000007E-2</v>
      </c>
    </row>
    <row r="14" spans="2:11" x14ac:dyDescent="0.2">
      <c r="B14" s="1" t="s">
        <v>126</v>
      </c>
      <c r="D14" s="32">
        <f>D13*D7</f>
        <v>-281.25</v>
      </c>
      <c r="E14" s="32">
        <f>E7*E13</f>
        <v>0</v>
      </c>
      <c r="F14" s="32">
        <f t="shared" ref="F14:I14" si="2">F7*F13</f>
        <v>230.39999999999998</v>
      </c>
      <c r="G14" s="32">
        <f t="shared" si="2"/>
        <v>290.88</v>
      </c>
      <c r="H14" s="32">
        <f t="shared" si="2"/>
        <v>296.69759999999997</v>
      </c>
      <c r="I14" s="32">
        <f t="shared" si="2"/>
        <v>302.631552</v>
      </c>
      <c r="J14" s="1" t="s">
        <v>134</v>
      </c>
      <c r="K14" s="1">
        <v>0.02</v>
      </c>
    </row>
    <row r="15" spans="2:11" x14ac:dyDescent="0.2">
      <c r="B15" s="1" t="s">
        <v>127</v>
      </c>
      <c r="D15" s="32">
        <f>D13-D14</f>
        <v>-968.75</v>
      </c>
      <c r="E15" s="32">
        <f>E13-E14</f>
        <v>0</v>
      </c>
      <c r="F15" s="32">
        <f t="shared" ref="F15:I15" si="3">F13-F14</f>
        <v>729.6</v>
      </c>
      <c r="G15" s="32">
        <f t="shared" si="3"/>
        <v>921.12</v>
      </c>
      <c r="H15" s="32">
        <f t="shared" si="3"/>
        <v>939.54240000000004</v>
      </c>
      <c r="I15" s="32">
        <f t="shared" si="3"/>
        <v>958.33324799999991</v>
      </c>
      <c r="J15" s="1" t="s">
        <v>135</v>
      </c>
      <c r="K15" s="1">
        <f>K13-K14</f>
        <v>0.05</v>
      </c>
    </row>
    <row r="16" spans="2:11" x14ac:dyDescent="0.2">
      <c r="B16" s="1" t="s">
        <v>128</v>
      </c>
      <c r="D16" s="32">
        <f>D12*D8</f>
        <v>1000</v>
      </c>
      <c r="E16" s="32">
        <f t="shared" ref="E16:H16" si="4">E12*E8</f>
        <v>960</v>
      </c>
      <c r="F16" s="32">
        <f t="shared" si="4"/>
        <v>960</v>
      </c>
      <c r="G16" s="32">
        <f t="shared" si="4"/>
        <v>969.6</v>
      </c>
      <c r="H16" s="32">
        <f t="shared" si="4"/>
        <v>988.99199999999996</v>
      </c>
      <c r="I16" s="32">
        <f t="shared" ref="I16" si="5">I12*I8</f>
        <v>1008.77184</v>
      </c>
    </row>
    <row r="17" spans="2:9" x14ac:dyDescent="0.2">
      <c r="B17" s="3" t="s">
        <v>115</v>
      </c>
      <c r="D17" s="32">
        <f>SUM(D15:D16)</f>
        <v>31.25</v>
      </c>
      <c r="E17" s="32">
        <f t="shared" ref="E17:I17" si="6">SUM(E15:E16)</f>
        <v>960</v>
      </c>
      <c r="F17" s="32">
        <f t="shared" si="6"/>
        <v>1689.6</v>
      </c>
      <c r="G17" s="32">
        <f t="shared" si="6"/>
        <v>1890.72</v>
      </c>
      <c r="H17" s="32">
        <f t="shared" si="6"/>
        <v>1928.5344</v>
      </c>
      <c r="I17" s="32">
        <f t="shared" si="6"/>
        <v>1967.1050879999998</v>
      </c>
    </row>
    <row r="19" spans="2:9" x14ac:dyDescent="0.2">
      <c r="B19" s="1" t="s">
        <v>129</v>
      </c>
      <c r="C19" s="3"/>
      <c r="D19" s="33">
        <f>'Opgave 2'!H32</f>
        <v>25530</v>
      </c>
      <c r="E19" s="33">
        <f>E12*E9</f>
        <v>21120</v>
      </c>
      <c r="F19" s="33">
        <f>F12*F9</f>
        <v>21600</v>
      </c>
      <c r="G19" s="33">
        <f>G12*G9</f>
        <v>23028</v>
      </c>
      <c r="H19" s="33">
        <f>H12*H9</f>
        <v>23488.559999999998</v>
      </c>
      <c r="I19" s="33">
        <f>I12*I9</f>
        <v>23958.331199999997</v>
      </c>
    </row>
    <row r="20" spans="2:9" x14ac:dyDescent="0.2">
      <c r="B20" s="1" t="s">
        <v>130</v>
      </c>
      <c r="D20" s="1">
        <f>'Opgave 2'!H38</f>
        <v>5530</v>
      </c>
      <c r="I20" s="32"/>
    </row>
    <row r="21" spans="2:9" x14ac:dyDescent="0.2">
      <c r="B21" s="1" t="s">
        <v>131</v>
      </c>
      <c r="D21" s="1">
        <f>'Opgave 2'!H40</f>
        <v>20000</v>
      </c>
      <c r="E21" s="32"/>
      <c r="F21" s="32"/>
      <c r="G21" s="32"/>
      <c r="H21" s="32"/>
    </row>
    <row r="23" spans="2:9" x14ac:dyDescent="0.2">
      <c r="B23" s="1" t="s">
        <v>132</v>
      </c>
      <c r="D23" s="32">
        <f>D17-(E19-D19)</f>
        <v>4441.25</v>
      </c>
      <c r="E23" s="32">
        <f t="shared" ref="E23:G23" si="7">E17-(F19-E19)</f>
        <v>480</v>
      </c>
      <c r="F23" s="32">
        <f t="shared" si="7"/>
        <v>261.59999999999991</v>
      </c>
      <c r="G23" s="32">
        <f t="shared" si="7"/>
        <v>1430.1600000000024</v>
      </c>
      <c r="H23" s="32">
        <f>H17-(I19-H19)</f>
        <v>1458.7632000000008</v>
      </c>
    </row>
    <row r="24" spans="2:9" x14ac:dyDescent="0.2">
      <c r="B24" s="1" t="s">
        <v>136</v>
      </c>
      <c r="D24" s="32">
        <f>(1+$K$13)^D10</f>
        <v>1.07</v>
      </c>
      <c r="E24" s="32">
        <f t="shared" ref="E24:H24" si="8">(1+$K$13)^E10</f>
        <v>1.1449</v>
      </c>
      <c r="F24" s="32">
        <f t="shared" si="8"/>
        <v>1.2250430000000001</v>
      </c>
      <c r="G24" s="32">
        <f t="shared" si="8"/>
        <v>1.31079601</v>
      </c>
      <c r="H24" s="32">
        <f t="shared" si="8"/>
        <v>1.4025517307000002</v>
      </c>
      <c r="I24" s="32"/>
    </row>
    <row r="25" spans="2:9" x14ac:dyDescent="0.2">
      <c r="B25" s="1" t="s">
        <v>137</v>
      </c>
      <c r="D25" s="32">
        <f>D23/D24</f>
        <v>4150.7009345794386</v>
      </c>
      <c r="E25" s="32">
        <f t="shared" ref="E25:H25" si="9">E23/E24</f>
        <v>419.25058957114157</v>
      </c>
      <c r="F25" s="32">
        <f t="shared" si="9"/>
        <v>213.54352459464678</v>
      </c>
      <c r="G25" s="32">
        <f t="shared" si="9"/>
        <v>1091.0622164618906</v>
      </c>
      <c r="H25" s="32">
        <f t="shared" si="9"/>
        <v>1040.078000739371</v>
      </c>
      <c r="I25" s="32"/>
    </row>
    <row r="26" spans="2:9" x14ac:dyDescent="0.2">
      <c r="B26" s="1" t="s">
        <v>138</v>
      </c>
      <c r="C26" s="32">
        <f>SUM(D25:H25)</f>
        <v>6914.6352659464883</v>
      </c>
      <c r="D26" s="32"/>
      <c r="E26" s="32"/>
      <c r="F26" s="32"/>
      <c r="G26" s="32"/>
      <c r="H26" s="32"/>
      <c r="I26" s="32"/>
    </row>
    <row r="27" spans="2:9" x14ac:dyDescent="0.2">
      <c r="B27" s="1" t="s">
        <v>139</v>
      </c>
      <c r="H27" s="1">
        <f>H23*(1+K14)/K15</f>
        <v>29758.769280000015</v>
      </c>
    </row>
    <row r="28" spans="2:9" x14ac:dyDescent="0.2">
      <c r="B28" s="1" t="s">
        <v>140</v>
      </c>
      <c r="C28" s="1">
        <f>H27/H24</f>
        <v>21217.591215083168</v>
      </c>
      <c r="D28" s="32"/>
      <c r="E28" s="32"/>
      <c r="F28" s="32"/>
      <c r="G28" s="32"/>
      <c r="H28" s="32"/>
    </row>
    <row r="29" spans="2:9" x14ac:dyDescent="0.2">
      <c r="B29" s="1" t="s">
        <v>141</v>
      </c>
      <c r="C29" s="32">
        <f>SUM(C26:C28)</f>
        <v>28132.226481029655</v>
      </c>
    </row>
    <row r="30" spans="2:9" x14ac:dyDescent="0.2">
      <c r="B30" s="1" t="s">
        <v>130</v>
      </c>
      <c r="C30" s="1">
        <f>D20</f>
        <v>5530</v>
      </c>
      <c r="H30" s="32"/>
    </row>
    <row r="31" spans="2:9" x14ac:dyDescent="0.2">
      <c r="B31" s="1" t="s">
        <v>142</v>
      </c>
      <c r="C31" s="32">
        <f>C29-C30</f>
        <v>22602.226481029655</v>
      </c>
    </row>
    <row r="32" spans="2:9" x14ac:dyDescent="0.2">
      <c r="B32" s="1" t="s">
        <v>143</v>
      </c>
      <c r="C32" s="32">
        <f>(50000-4000)/1000</f>
        <v>46</v>
      </c>
    </row>
    <row r="33" spans="2:3" x14ac:dyDescent="0.2">
      <c r="B33" s="1" t="s">
        <v>144</v>
      </c>
      <c r="C33" s="1">
        <f>C31/C32</f>
        <v>491.35274958760118</v>
      </c>
    </row>
    <row r="34" spans="2:3" x14ac:dyDescent="0.2">
      <c r="C34" s="32"/>
    </row>
    <row r="36" spans="2:3" x14ac:dyDescent="0.2">
      <c r="C36" s="32"/>
    </row>
    <row r="42" spans="2:3" x14ac:dyDescent="0.2">
      <c r="C42" s="32"/>
    </row>
    <row r="49" s="1" customFormat="1" x14ac:dyDescent="0.2"/>
    <row r="50" s="1" customFormat="1" x14ac:dyDescent="0.2"/>
    <row r="51" s="1" customFormat="1" x14ac:dyDescent="0.2"/>
    <row r="52" s="1" customFormat="1" x14ac:dyDescent="0.2"/>
    <row r="53" s="1" customFormat="1" x14ac:dyDescent="0.2"/>
    <row r="54" s="1" customFormat="1" x14ac:dyDescent="0.2"/>
  </sheetData>
  <mergeCells count="1">
    <mergeCell ref="D3:H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C8CD2-0B3D-AB43-9EE9-E0F7DBE2F0A3}">
  <dimension ref="B4:B30"/>
  <sheetViews>
    <sheetView tabSelected="1" topLeftCell="A5" workbookViewId="0">
      <selection activeCell="M20" sqref="M20"/>
    </sheetView>
  </sheetViews>
  <sheetFormatPr baseColWidth="10" defaultRowHeight="15" x14ac:dyDescent="0.2"/>
  <sheetData>
    <row r="4" spans="2:2" x14ac:dyDescent="0.2">
      <c r="B4" t="s">
        <v>145</v>
      </c>
    </row>
    <row r="6" spans="2:2" x14ac:dyDescent="0.2">
      <c r="B6" t="s">
        <v>146</v>
      </c>
    </row>
    <row r="7" spans="2:2" x14ac:dyDescent="0.2">
      <c r="B7" t="s">
        <v>147</v>
      </c>
    </row>
    <row r="29" spans="2:2" x14ac:dyDescent="0.2">
      <c r="B29" t="s">
        <v>148</v>
      </c>
    </row>
    <row r="30" spans="2:2" x14ac:dyDescent="0.2">
      <c r="B30">
        <f>23930/3279</f>
        <v>7.2979566941140588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Opgave 1</vt:lpstr>
      <vt:lpstr>Opgave 2</vt:lpstr>
      <vt:lpstr>Opgave 3</vt:lpstr>
      <vt:lpstr>Opgave 4</vt:lpstr>
    </vt:vector>
  </TitlesOfParts>
  <Company>CBS - Copenhagen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Vagn Sørensen</dc:creator>
  <cp:lastModifiedBy>Jeppe Vanderhaegen</cp:lastModifiedBy>
  <dcterms:created xsi:type="dcterms:W3CDTF">2020-04-21T11:13:54Z</dcterms:created>
  <dcterms:modified xsi:type="dcterms:W3CDTF">2024-06-17T13:18:01Z</dcterms:modified>
</cp:coreProperties>
</file>