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2.xml" ContentType="application/vnd.openxmlformats-officedocument.spreadsheetml.comments+xml"/>
  <Override PartName="/xl/drawings/drawing7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vander/Library/Mobile Documents/com~apple~CloudDocs/Documents/#University/8. Sem/Regnskab/"/>
    </mc:Choice>
  </mc:AlternateContent>
  <xr:revisionPtr revIDLastSave="0" documentId="8_{FB11D443-4CEA-034E-89A4-18E3A70C8128}" xr6:coauthVersionLast="47" xr6:coauthVersionMax="47" xr10:uidLastSave="{00000000-0000-0000-0000-000000000000}"/>
  <bookViews>
    <workbookView xWindow="-120" yWindow="500" windowWidth="29040" windowHeight="15720" tabRatio="937" activeTab="1" xr2:uid="{00000000-000D-0000-FFFF-FFFF00000000}"/>
  </bookViews>
  <sheets>
    <sheet name="WD 1 - Reform. Egenkapital" sheetId="5" r:id="rId1"/>
    <sheet name="WD 2 - Reform. Balance" sheetId="7" r:id="rId2"/>
    <sheet name="WD3 - Reform. Totalindkomst" sheetId="14" r:id="rId3"/>
    <sheet name="WD4 - Reform. Pengestrøm" sheetId="9" r:id="rId4"/>
    <sheet name="WD5 - Rentabilitetsanalyse" sheetId="19" r:id="rId5"/>
    <sheet name="WD6 - Reform. Resultatopgørelse" sheetId="20" r:id="rId6"/>
    <sheet name="WD7 - Forecast" sheetId="21" r:id="rId7"/>
    <sheet name="WD8 - ReOI Værdiansættelse" sheetId="22" r:id="rId8"/>
  </sheets>
  <externalReferences>
    <externalReference r:id="rId9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5" i="5" l="1"/>
  <c r="D41" i="22"/>
  <c r="E41" i="22" s="1"/>
  <c r="F48" i="22"/>
  <c r="G48" i="22"/>
  <c r="H48" i="22"/>
  <c r="H65" i="22" s="1"/>
  <c r="I48" i="22"/>
  <c r="I65" i="22" s="1"/>
  <c r="J48" i="22"/>
  <c r="K48" i="22"/>
  <c r="K65" i="22" s="1"/>
  <c r="L48" i="22"/>
  <c r="L65" i="22" s="1"/>
  <c r="M48" i="22"/>
  <c r="M65" i="22" s="1"/>
  <c r="N48" i="22"/>
  <c r="O48" i="22"/>
  <c r="D53" i="22"/>
  <c r="E53" i="22"/>
  <c r="E73" i="22" s="1"/>
  <c r="D55" i="22"/>
  <c r="E55" i="22"/>
  <c r="D56" i="22"/>
  <c r="E56" i="22"/>
  <c r="E48" i="22" s="1"/>
  <c r="E65" i="22" s="1"/>
  <c r="F65" i="22"/>
  <c r="G65" i="22"/>
  <c r="J65" i="22"/>
  <c r="N65" i="22"/>
  <c r="O65" i="22"/>
  <c r="E75" i="22"/>
  <c r="F75" i="22"/>
  <c r="G75" i="22"/>
  <c r="H75" i="22"/>
  <c r="I75" i="22"/>
  <c r="J75" i="22"/>
  <c r="K75" i="22"/>
  <c r="L75" i="22"/>
  <c r="M75" i="22"/>
  <c r="N75" i="22"/>
  <c r="E92" i="22"/>
  <c r="D6" i="21"/>
  <c r="D9" i="21" s="1"/>
  <c r="D7" i="21"/>
  <c r="D8" i="21"/>
  <c r="E8" i="21"/>
  <c r="D10" i="21"/>
  <c r="D31" i="21" s="1"/>
  <c r="D11" i="21"/>
  <c r="D26" i="21" s="1"/>
  <c r="D41" i="21"/>
  <c r="D45" i="21" s="1"/>
  <c r="D50" i="21" s="1"/>
  <c r="D43" i="21"/>
  <c r="D62" i="21" s="1"/>
  <c r="D44" i="21"/>
  <c r="D71" i="21"/>
  <c r="D79" i="21"/>
  <c r="C19" i="20"/>
  <c r="C23" i="20" s="1"/>
  <c r="C29" i="20" s="1"/>
  <c r="D19" i="20"/>
  <c r="E19" i="20"/>
  <c r="F19" i="20"/>
  <c r="G19" i="20"/>
  <c r="G23" i="20" s="1"/>
  <c r="G29" i="20" s="1"/>
  <c r="G37" i="20" s="1"/>
  <c r="H19" i="20"/>
  <c r="I19" i="20"/>
  <c r="I23" i="20" s="1"/>
  <c r="I29" i="20" s="1"/>
  <c r="I37" i="20" s="1"/>
  <c r="J19" i="20"/>
  <c r="J23" i="20" s="1"/>
  <c r="J29" i="20" s="1"/>
  <c r="J37" i="20" s="1"/>
  <c r="J49" i="20" s="1"/>
  <c r="K19" i="20"/>
  <c r="L19" i="20"/>
  <c r="M19" i="20"/>
  <c r="N19" i="20"/>
  <c r="O19" i="20"/>
  <c r="P19" i="20"/>
  <c r="W20" i="20"/>
  <c r="D23" i="20"/>
  <c r="E23" i="20"/>
  <c r="F23" i="20"/>
  <c r="F29" i="20" s="1"/>
  <c r="H23" i="20"/>
  <c r="K23" i="20"/>
  <c r="K29" i="20" s="1"/>
  <c r="K37" i="20" s="1"/>
  <c r="L23" i="20"/>
  <c r="M23" i="20"/>
  <c r="N23" i="20"/>
  <c r="N29" i="20" s="1"/>
  <c r="O23" i="20"/>
  <c r="P23" i="20"/>
  <c r="S25" i="20"/>
  <c r="S29" i="20" s="1"/>
  <c r="T25" i="20"/>
  <c r="U25" i="20"/>
  <c r="V25" i="20"/>
  <c r="W25" i="20"/>
  <c r="X25" i="20"/>
  <c r="Y25" i="20"/>
  <c r="Z25" i="20"/>
  <c r="AA25" i="20"/>
  <c r="AB25" i="20"/>
  <c r="AC25" i="20"/>
  <c r="AD25" i="20"/>
  <c r="AE25" i="20"/>
  <c r="AF25" i="20"/>
  <c r="D29" i="20"/>
  <c r="E29" i="20"/>
  <c r="E37" i="20" s="1"/>
  <c r="H29" i="20"/>
  <c r="L29" i="20"/>
  <c r="M29" i="20"/>
  <c r="O29" i="20"/>
  <c r="P29" i="20"/>
  <c r="C35" i="20"/>
  <c r="D35" i="20"/>
  <c r="E35" i="20"/>
  <c r="F35" i="20"/>
  <c r="G35" i="20"/>
  <c r="H35" i="20"/>
  <c r="H37" i="20" s="1"/>
  <c r="I35" i="20"/>
  <c r="J35" i="20"/>
  <c r="K35" i="20"/>
  <c r="D37" i="20"/>
  <c r="T17" i="20" s="1"/>
  <c r="C44" i="20"/>
  <c r="C45" i="20" s="1"/>
  <c r="C46" i="20" s="1"/>
  <c r="C48" i="20" s="1"/>
  <c r="S18" i="20" s="1"/>
  <c r="D44" i="20"/>
  <c r="E44" i="20"/>
  <c r="F44" i="20"/>
  <c r="G44" i="20"/>
  <c r="H44" i="20"/>
  <c r="I44" i="20"/>
  <c r="J44" i="20"/>
  <c r="K44" i="20"/>
  <c r="K45" i="20" s="1"/>
  <c r="K46" i="20" s="1"/>
  <c r="K48" i="20" s="1"/>
  <c r="AA18" i="20" s="1"/>
  <c r="L44" i="20"/>
  <c r="M44" i="20"/>
  <c r="N44" i="20"/>
  <c r="O44" i="20"/>
  <c r="P44" i="20"/>
  <c r="E45" i="20"/>
  <c r="E46" i="20" s="1"/>
  <c r="E48" i="20" s="1"/>
  <c r="U18" i="20" s="1"/>
  <c r="F45" i="20"/>
  <c r="F46" i="20" s="1"/>
  <c r="F48" i="20" s="1"/>
  <c r="V18" i="20" s="1"/>
  <c r="H45" i="20"/>
  <c r="H46" i="20" s="1"/>
  <c r="H48" i="20" s="1"/>
  <c r="X18" i="20" s="1"/>
  <c r="I45" i="20"/>
  <c r="I46" i="20" s="1"/>
  <c r="I48" i="20" s="1"/>
  <c r="Y18" i="20" s="1"/>
  <c r="J45" i="20"/>
  <c r="M45" i="20"/>
  <c r="M46" i="20" s="1"/>
  <c r="M48" i="20" s="1"/>
  <c r="AC18" i="20" s="1"/>
  <c r="N45" i="20"/>
  <c r="N46" i="20" s="1"/>
  <c r="N48" i="20" s="1"/>
  <c r="AD18" i="20" s="1"/>
  <c r="P45" i="20"/>
  <c r="P33" i="20" s="1"/>
  <c r="J46" i="20"/>
  <c r="P46" i="20"/>
  <c r="P48" i="20" s="1"/>
  <c r="AF18" i="20" s="1"/>
  <c r="J48" i="20"/>
  <c r="Z18" i="20" s="1"/>
  <c r="C55" i="20"/>
  <c r="C56" i="20" s="1"/>
  <c r="C57" i="20" s="1"/>
  <c r="C64" i="20" s="1"/>
  <c r="S20" i="20" s="1"/>
  <c r="S31" i="20" s="1"/>
  <c r="E55" i="20"/>
  <c r="H55" i="20"/>
  <c r="I55" i="20"/>
  <c r="J55" i="20"/>
  <c r="J56" i="20" s="1"/>
  <c r="J57" i="20" s="1"/>
  <c r="J64" i="20" s="1"/>
  <c r="Z20" i="20" s="1"/>
  <c r="K55" i="20"/>
  <c r="L55" i="20"/>
  <c r="L56" i="20" s="1"/>
  <c r="L34" i="20" s="1"/>
  <c r="M55" i="20"/>
  <c r="M56" i="20" s="1"/>
  <c r="M34" i="20" s="1"/>
  <c r="N55" i="20"/>
  <c r="O55" i="20"/>
  <c r="O56" i="20" s="1"/>
  <c r="O57" i="20" s="1"/>
  <c r="O64" i="20" s="1"/>
  <c r="AE20" i="20" s="1"/>
  <c r="P55" i="20"/>
  <c r="E56" i="20"/>
  <c r="E57" i="20" s="1"/>
  <c r="E64" i="20" s="1"/>
  <c r="U20" i="20" s="1"/>
  <c r="K56" i="20"/>
  <c r="N56" i="20"/>
  <c r="N34" i="20" s="1"/>
  <c r="K57" i="20"/>
  <c r="K64" i="20" s="1"/>
  <c r="AA20" i="20" s="1"/>
  <c r="D64" i="20"/>
  <c r="T20" i="20" s="1"/>
  <c r="F64" i="20"/>
  <c r="V20" i="20" s="1"/>
  <c r="G64" i="20"/>
  <c r="C69" i="20"/>
  <c r="C70" i="20" s="1"/>
  <c r="C73" i="20" s="1"/>
  <c r="D69" i="20"/>
  <c r="E69" i="20"/>
  <c r="E70" i="20" s="1"/>
  <c r="F69" i="20"/>
  <c r="G69" i="20"/>
  <c r="G73" i="20" s="1"/>
  <c r="H69" i="20"/>
  <c r="H70" i="20" s="1"/>
  <c r="H73" i="20" s="1"/>
  <c r="I69" i="20"/>
  <c r="J69" i="20"/>
  <c r="K69" i="20"/>
  <c r="K70" i="20" s="1"/>
  <c r="K73" i="20" s="1"/>
  <c r="L69" i="20"/>
  <c r="M69" i="20"/>
  <c r="M70" i="20" s="1"/>
  <c r="M32" i="20" s="1"/>
  <c r="N69" i="20"/>
  <c r="O69" i="20"/>
  <c r="O70" i="20" s="1"/>
  <c r="P69" i="20"/>
  <c r="P70" i="20" s="1"/>
  <c r="F70" i="20"/>
  <c r="F73" i="20" s="1"/>
  <c r="G70" i="20"/>
  <c r="J70" i="20"/>
  <c r="J73" i="20" s="1"/>
  <c r="N70" i="20"/>
  <c r="N32" i="20" s="1"/>
  <c r="J10" i="19"/>
  <c r="K10" i="19"/>
  <c r="L10" i="19"/>
  <c r="M10" i="19"/>
  <c r="N10" i="19"/>
  <c r="O10" i="19"/>
  <c r="P10" i="19"/>
  <c r="G11" i="19"/>
  <c r="H11" i="19"/>
  <c r="I11" i="19"/>
  <c r="J11" i="19"/>
  <c r="K11" i="19"/>
  <c r="L11" i="19"/>
  <c r="M11" i="19"/>
  <c r="N11" i="19"/>
  <c r="O11" i="19"/>
  <c r="P11" i="19"/>
  <c r="G12" i="19"/>
  <c r="H12" i="19"/>
  <c r="I12" i="19"/>
  <c r="J12" i="19"/>
  <c r="K12" i="19"/>
  <c r="L12" i="19"/>
  <c r="M12" i="19"/>
  <c r="M13" i="19" s="1"/>
  <c r="M27" i="19" s="1"/>
  <c r="M30" i="19" s="1"/>
  <c r="N12" i="19"/>
  <c r="O12" i="19"/>
  <c r="O14" i="19" s="1"/>
  <c r="P12" i="19"/>
  <c r="C17" i="19"/>
  <c r="D17" i="19"/>
  <c r="E17" i="19"/>
  <c r="F17" i="19"/>
  <c r="G17" i="19"/>
  <c r="G25" i="19" s="1"/>
  <c r="H17" i="19"/>
  <c r="I17" i="19"/>
  <c r="J17" i="19"/>
  <c r="I80" i="19" s="1"/>
  <c r="K17" i="19"/>
  <c r="L17" i="19"/>
  <c r="M17" i="19"/>
  <c r="M80" i="19" s="1"/>
  <c r="N17" i="19"/>
  <c r="O17" i="19"/>
  <c r="O25" i="19" s="1"/>
  <c r="P17" i="19"/>
  <c r="C18" i="19"/>
  <c r="D18" i="19"/>
  <c r="E18" i="19"/>
  <c r="F18" i="19"/>
  <c r="G18" i="19"/>
  <c r="F81" i="19" s="1"/>
  <c r="H18" i="19"/>
  <c r="I18" i="19"/>
  <c r="I81" i="19" s="1"/>
  <c r="J18" i="19"/>
  <c r="K18" i="19"/>
  <c r="L18" i="19"/>
  <c r="M18" i="19"/>
  <c r="N18" i="19"/>
  <c r="O18" i="19"/>
  <c r="P18" i="19"/>
  <c r="C19" i="19"/>
  <c r="D19" i="19"/>
  <c r="E19" i="19"/>
  <c r="F19" i="19"/>
  <c r="G19" i="19"/>
  <c r="H19" i="19"/>
  <c r="I19" i="19"/>
  <c r="H82" i="19" s="1"/>
  <c r="J19" i="19"/>
  <c r="K19" i="19"/>
  <c r="J82" i="19" s="1"/>
  <c r="L19" i="19"/>
  <c r="M19" i="19"/>
  <c r="N19" i="19"/>
  <c r="O19" i="19"/>
  <c r="P19" i="19"/>
  <c r="C20" i="19"/>
  <c r="D20" i="19"/>
  <c r="E20" i="19"/>
  <c r="F20" i="19"/>
  <c r="G20" i="19"/>
  <c r="H20" i="19"/>
  <c r="I20" i="19"/>
  <c r="J20" i="19"/>
  <c r="K20" i="19"/>
  <c r="L20" i="19"/>
  <c r="M20" i="19"/>
  <c r="N20" i="19"/>
  <c r="O20" i="19"/>
  <c r="P20" i="19"/>
  <c r="C21" i="19"/>
  <c r="D21" i="19"/>
  <c r="E21" i="19"/>
  <c r="F21" i="19"/>
  <c r="G21" i="19"/>
  <c r="H21" i="19"/>
  <c r="I21" i="19"/>
  <c r="J21" i="19"/>
  <c r="K21" i="19"/>
  <c r="L21" i="19"/>
  <c r="M21" i="19"/>
  <c r="N21" i="19"/>
  <c r="O21" i="19"/>
  <c r="P21" i="19"/>
  <c r="C22" i="19"/>
  <c r="D22" i="19"/>
  <c r="E22" i="19"/>
  <c r="F22" i="19"/>
  <c r="G22" i="19"/>
  <c r="H22" i="19"/>
  <c r="I22" i="19"/>
  <c r="J22" i="19"/>
  <c r="K22" i="19"/>
  <c r="L22" i="19"/>
  <c r="M22" i="19"/>
  <c r="N22" i="19"/>
  <c r="O22" i="19"/>
  <c r="P22" i="19"/>
  <c r="C23" i="19"/>
  <c r="D23" i="19"/>
  <c r="E23" i="19"/>
  <c r="F23" i="19"/>
  <c r="G23" i="19"/>
  <c r="H23" i="19"/>
  <c r="I23" i="19"/>
  <c r="J23" i="19"/>
  <c r="K23" i="19"/>
  <c r="L23" i="19"/>
  <c r="M23" i="19"/>
  <c r="N23" i="19"/>
  <c r="O23" i="19"/>
  <c r="P23" i="19"/>
  <c r="C24" i="19"/>
  <c r="D24" i="19"/>
  <c r="E24" i="19"/>
  <c r="F24" i="19"/>
  <c r="G24" i="19"/>
  <c r="H24" i="19"/>
  <c r="I24" i="19"/>
  <c r="J24" i="19"/>
  <c r="K24" i="19"/>
  <c r="L24" i="19"/>
  <c r="M24" i="19"/>
  <c r="N24" i="19"/>
  <c r="O24" i="19"/>
  <c r="P24" i="19"/>
  <c r="O27" i="19"/>
  <c r="O30" i="19" s="1"/>
  <c r="C28" i="19"/>
  <c r="D28" i="19"/>
  <c r="E28" i="19"/>
  <c r="F28" i="19"/>
  <c r="G28" i="19"/>
  <c r="H28" i="19"/>
  <c r="I28" i="19"/>
  <c r="J28" i="19"/>
  <c r="K28" i="19"/>
  <c r="L28" i="19"/>
  <c r="M28" i="19"/>
  <c r="N28" i="19"/>
  <c r="O28" i="19"/>
  <c r="P28" i="19"/>
  <c r="C29" i="19"/>
  <c r="D29" i="19"/>
  <c r="E29" i="19"/>
  <c r="F29" i="19"/>
  <c r="F51" i="19" s="1"/>
  <c r="G29" i="19"/>
  <c r="H29" i="19"/>
  <c r="I29" i="19"/>
  <c r="J29" i="19"/>
  <c r="K29" i="19"/>
  <c r="L29" i="19"/>
  <c r="M29" i="19"/>
  <c r="N29" i="19"/>
  <c r="O29" i="19"/>
  <c r="P29" i="19"/>
  <c r="C35" i="19"/>
  <c r="C75" i="19" s="1"/>
  <c r="D35" i="19"/>
  <c r="D76" i="19" s="1"/>
  <c r="E35" i="19"/>
  <c r="E75" i="19" s="1"/>
  <c r="F35" i="19"/>
  <c r="F74" i="19" s="1"/>
  <c r="G35" i="19"/>
  <c r="G77" i="19" s="1"/>
  <c r="H35" i="19"/>
  <c r="H77" i="19" s="1"/>
  <c r="I35" i="19"/>
  <c r="J35" i="19"/>
  <c r="K35" i="19"/>
  <c r="K75" i="19" s="1"/>
  <c r="L35" i="19"/>
  <c r="M35" i="19"/>
  <c r="M76" i="19" s="1"/>
  <c r="N35" i="19"/>
  <c r="N75" i="19" s="1"/>
  <c r="O35" i="19"/>
  <c r="O74" i="19" s="1"/>
  <c r="P35" i="19"/>
  <c r="C36" i="19"/>
  <c r="D36" i="19"/>
  <c r="E36" i="19"/>
  <c r="F36" i="19"/>
  <c r="G36" i="19"/>
  <c r="H36" i="19"/>
  <c r="I36" i="19"/>
  <c r="I38" i="19" s="1"/>
  <c r="I57" i="19" s="1"/>
  <c r="J36" i="19"/>
  <c r="K36" i="19"/>
  <c r="L36" i="19"/>
  <c r="M36" i="19"/>
  <c r="N36" i="19"/>
  <c r="O36" i="19"/>
  <c r="O38" i="19" s="1"/>
  <c r="O40" i="19" s="1"/>
  <c r="P36" i="19"/>
  <c r="C37" i="19"/>
  <c r="D37" i="19"/>
  <c r="D38" i="19" s="1"/>
  <c r="E37" i="19"/>
  <c r="F37" i="19"/>
  <c r="G37" i="19"/>
  <c r="H37" i="19"/>
  <c r="I37" i="19"/>
  <c r="J37" i="19"/>
  <c r="K37" i="19"/>
  <c r="L37" i="19"/>
  <c r="L38" i="19" s="1"/>
  <c r="M37" i="19"/>
  <c r="N37" i="19"/>
  <c r="O37" i="19"/>
  <c r="P37" i="19"/>
  <c r="G38" i="19"/>
  <c r="J38" i="19"/>
  <c r="C39" i="19"/>
  <c r="D39" i="19"/>
  <c r="E39" i="19"/>
  <c r="F39" i="19"/>
  <c r="G39" i="19"/>
  <c r="H39" i="19"/>
  <c r="I39" i="19"/>
  <c r="J39" i="19"/>
  <c r="J51" i="19" s="1"/>
  <c r="K39" i="19"/>
  <c r="L39" i="19"/>
  <c r="M39" i="19"/>
  <c r="N39" i="19"/>
  <c r="O39" i="19"/>
  <c r="P39" i="19"/>
  <c r="C41" i="19"/>
  <c r="D41" i="19"/>
  <c r="E41" i="19"/>
  <c r="F41" i="19"/>
  <c r="G41" i="19"/>
  <c r="H41" i="19"/>
  <c r="I41" i="19"/>
  <c r="J41" i="19"/>
  <c r="K41" i="19"/>
  <c r="L41" i="19"/>
  <c r="M41" i="19"/>
  <c r="N41" i="19"/>
  <c r="O41" i="19"/>
  <c r="I51" i="19"/>
  <c r="N51" i="19"/>
  <c r="C61" i="19"/>
  <c r="D61" i="19"/>
  <c r="E61" i="19"/>
  <c r="F61" i="19"/>
  <c r="G61" i="19"/>
  <c r="H61" i="19"/>
  <c r="H66" i="19" s="1"/>
  <c r="H68" i="19" s="1"/>
  <c r="I61" i="19"/>
  <c r="J61" i="19"/>
  <c r="J66" i="19" s="1"/>
  <c r="J68" i="19" s="1"/>
  <c r="K61" i="19"/>
  <c r="L61" i="19"/>
  <c r="M61" i="19"/>
  <c r="N61" i="19"/>
  <c r="O61" i="19"/>
  <c r="C62" i="19"/>
  <c r="D62" i="19"/>
  <c r="E62" i="19"/>
  <c r="F62" i="19"/>
  <c r="G62" i="19"/>
  <c r="H62" i="19"/>
  <c r="I62" i="19"/>
  <c r="J62" i="19"/>
  <c r="K62" i="19"/>
  <c r="L62" i="19"/>
  <c r="M62" i="19"/>
  <c r="N62" i="19"/>
  <c r="O62" i="19"/>
  <c r="C63" i="19"/>
  <c r="D63" i="19"/>
  <c r="E63" i="19"/>
  <c r="F63" i="19"/>
  <c r="G63" i="19"/>
  <c r="H63" i="19"/>
  <c r="I63" i="19"/>
  <c r="J63" i="19"/>
  <c r="K63" i="19"/>
  <c r="L63" i="19"/>
  <c r="M63" i="19"/>
  <c r="N63" i="19"/>
  <c r="O63" i="19"/>
  <c r="C64" i="19"/>
  <c r="D64" i="19"/>
  <c r="E64" i="19"/>
  <c r="F64" i="19"/>
  <c r="G64" i="19"/>
  <c r="H64" i="19"/>
  <c r="I64" i="19"/>
  <c r="J64" i="19"/>
  <c r="K64" i="19"/>
  <c r="L64" i="19"/>
  <c r="M64" i="19"/>
  <c r="N64" i="19"/>
  <c r="O64" i="19"/>
  <c r="C65" i="19"/>
  <c r="D65" i="19"/>
  <c r="E65" i="19"/>
  <c r="F65" i="19"/>
  <c r="G65" i="19"/>
  <c r="H65" i="19"/>
  <c r="I65" i="19"/>
  <c r="J65" i="19"/>
  <c r="K65" i="19"/>
  <c r="L65" i="19"/>
  <c r="M65" i="19"/>
  <c r="N65" i="19"/>
  <c r="O65" i="19"/>
  <c r="C67" i="19"/>
  <c r="D67" i="19"/>
  <c r="E67" i="19"/>
  <c r="F67" i="19"/>
  <c r="G67" i="19"/>
  <c r="H67" i="19"/>
  <c r="I67" i="19"/>
  <c r="J67" i="19"/>
  <c r="K67" i="19"/>
  <c r="L67" i="19"/>
  <c r="M67" i="19"/>
  <c r="N67" i="19"/>
  <c r="O67" i="19"/>
  <c r="C74" i="19"/>
  <c r="J74" i="19"/>
  <c r="K74" i="19"/>
  <c r="M74" i="19"/>
  <c r="N74" i="19"/>
  <c r="H75" i="19"/>
  <c r="I75" i="19"/>
  <c r="J75" i="19"/>
  <c r="M75" i="19"/>
  <c r="O75" i="19"/>
  <c r="C76" i="19"/>
  <c r="F76" i="19"/>
  <c r="G76" i="19"/>
  <c r="H76" i="19"/>
  <c r="I76" i="19"/>
  <c r="J76" i="19"/>
  <c r="K76" i="19"/>
  <c r="O76" i="19"/>
  <c r="C77" i="19"/>
  <c r="E77" i="19"/>
  <c r="F77" i="19"/>
  <c r="J77" i="19"/>
  <c r="K77" i="19"/>
  <c r="N77" i="19"/>
  <c r="O77" i="19"/>
  <c r="J78" i="19"/>
  <c r="E80" i="19"/>
  <c r="E81" i="19"/>
  <c r="H81" i="19"/>
  <c r="M81" i="19"/>
  <c r="N81" i="19"/>
  <c r="O81" i="19"/>
  <c r="C82" i="19"/>
  <c r="G82" i="19"/>
  <c r="K82" i="19"/>
  <c r="O82" i="19"/>
  <c r="D99" i="22" l="1"/>
  <c r="D57" i="22"/>
  <c r="D81" i="22"/>
  <c r="E57" i="22"/>
  <c r="F41" i="22"/>
  <c r="E45" i="22"/>
  <c r="E42" i="22"/>
  <c r="D52" i="21"/>
  <c r="D57" i="21"/>
  <c r="D16" i="21"/>
  <c r="D67" i="21"/>
  <c r="O32" i="20"/>
  <c r="O73" i="20"/>
  <c r="U17" i="20"/>
  <c r="U24" i="20"/>
  <c r="M73" i="20"/>
  <c r="T24" i="20"/>
  <c r="E73" i="20"/>
  <c r="F37" i="20"/>
  <c r="V24" i="20" s="1"/>
  <c r="C37" i="20"/>
  <c r="W17" i="20"/>
  <c r="W24" i="20"/>
  <c r="AA17" i="20"/>
  <c r="AA19" i="20" s="1"/>
  <c r="AA21" i="20" s="1"/>
  <c r="K49" i="20"/>
  <c r="H49" i="20"/>
  <c r="X17" i="20"/>
  <c r="X19" i="20" s="1"/>
  <c r="X24" i="20"/>
  <c r="Z24" i="20"/>
  <c r="J65" i="20"/>
  <c r="J74" i="20" s="1"/>
  <c r="J76" i="20" s="1"/>
  <c r="P32" i="20"/>
  <c r="P73" i="20"/>
  <c r="G46" i="20"/>
  <c r="G48" i="20" s="1"/>
  <c r="W18" i="20" s="1"/>
  <c r="I49" i="20"/>
  <c r="Y24" i="20" s="1"/>
  <c r="I57" i="20"/>
  <c r="I64" i="20" s="1"/>
  <c r="Y20" i="20" s="1"/>
  <c r="U19" i="20"/>
  <c r="U21" i="20" s="1"/>
  <c r="S17" i="20"/>
  <c r="S19" i="20" s="1"/>
  <c r="S21" i="20" s="1"/>
  <c r="S24" i="20"/>
  <c r="S28" i="20" s="1"/>
  <c r="C49" i="20"/>
  <c r="N57" i="20"/>
  <c r="N64" i="20" s="1"/>
  <c r="AD20" i="20" s="1"/>
  <c r="I56" i="20"/>
  <c r="N33" i="20"/>
  <c r="N35" i="20" s="1"/>
  <c r="N37" i="20" s="1"/>
  <c r="Z17" i="20"/>
  <c r="Z19" i="20" s="1"/>
  <c r="Z21" i="20" s="1"/>
  <c r="M57" i="20"/>
  <c r="M64" i="20" s="1"/>
  <c r="AC20" i="20" s="1"/>
  <c r="P56" i="20"/>
  <c r="P34" i="20" s="1"/>
  <c r="H56" i="20"/>
  <c r="H57" i="20" s="1"/>
  <c r="H64" i="20" s="1"/>
  <c r="X20" i="20" s="1"/>
  <c r="M33" i="20"/>
  <c r="M35" i="20" s="1"/>
  <c r="M37" i="20" s="1"/>
  <c r="Y17" i="20"/>
  <c r="Y19" i="20" s="1"/>
  <c r="N73" i="20"/>
  <c r="L70" i="20"/>
  <c r="L32" i="20" s="1"/>
  <c r="L35" i="20" s="1"/>
  <c r="L37" i="20" s="1"/>
  <c r="D70" i="20"/>
  <c r="D73" i="20" s="1"/>
  <c r="L57" i="20"/>
  <c r="L64" i="20" s="1"/>
  <c r="AB20" i="20" s="1"/>
  <c r="E49" i="20"/>
  <c r="E65" i="20" s="1"/>
  <c r="E74" i="20" s="1"/>
  <c r="E76" i="20" s="1"/>
  <c r="O45" i="20"/>
  <c r="O33" i="20" s="1"/>
  <c r="O35" i="20" s="1"/>
  <c r="O37" i="20" s="1"/>
  <c r="G45" i="20"/>
  <c r="O34" i="20"/>
  <c r="I70" i="20"/>
  <c r="I73" i="20" s="1"/>
  <c r="L45" i="20"/>
  <c r="L46" i="20" s="1"/>
  <c r="L48" i="20" s="1"/>
  <c r="AB18" i="20" s="1"/>
  <c r="D45" i="20"/>
  <c r="D46" i="20" s="1"/>
  <c r="D48" i="20" s="1"/>
  <c r="G40" i="19"/>
  <c r="G81" i="19"/>
  <c r="M77" i="19"/>
  <c r="M78" i="19" s="1"/>
  <c r="N76" i="19"/>
  <c r="E76" i="19"/>
  <c r="G75" i="19"/>
  <c r="G74" i="19"/>
  <c r="G78" i="19" s="1"/>
  <c r="P38" i="19"/>
  <c r="P40" i="19" s="1"/>
  <c r="P42" i="19" s="1"/>
  <c r="H38" i="19"/>
  <c r="N38" i="19"/>
  <c r="N57" i="19" s="1"/>
  <c r="F38" i="19"/>
  <c r="F57" i="19" s="1"/>
  <c r="F75" i="19"/>
  <c r="F78" i="19" s="1"/>
  <c r="M38" i="19"/>
  <c r="M57" i="19" s="1"/>
  <c r="E38" i="19"/>
  <c r="E57" i="19" s="1"/>
  <c r="E74" i="19"/>
  <c r="O66" i="19"/>
  <c r="O68" i="19" s="1"/>
  <c r="L66" i="19"/>
  <c r="L68" i="19" s="1"/>
  <c r="D66" i="19"/>
  <c r="D68" i="19" s="1"/>
  <c r="N66" i="19"/>
  <c r="N68" i="19" s="1"/>
  <c r="F66" i="19"/>
  <c r="F68" i="19" s="1"/>
  <c r="K66" i="19"/>
  <c r="K68" i="19" s="1"/>
  <c r="C66" i="19"/>
  <c r="C68" i="19" s="1"/>
  <c r="L51" i="19"/>
  <c r="D51" i="19"/>
  <c r="J25" i="19"/>
  <c r="J49" i="19" s="1"/>
  <c r="N82" i="19"/>
  <c r="F25" i="19"/>
  <c r="F58" i="19" s="1"/>
  <c r="L13" i="19"/>
  <c r="L27" i="19" s="1"/>
  <c r="L30" i="19" s="1"/>
  <c r="N13" i="19"/>
  <c r="N27" i="19" s="1"/>
  <c r="N50" i="19" s="1"/>
  <c r="G66" i="19"/>
  <c r="G68" i="19" s="1"/>
  <c r="I66" i="19"/>
  <c r="I68" i="19" s="1"/>
  <c r="C78" i="19"/>
  <c r="M66" i="19"/>
  <c r="M68" i="19" s="1"/>
  <c r="E66" i="19"/>
  <c r="E68" i="19" s="1"/>
  <c r="K51" i="19"/>
  <c r="C51" i="19"/>
  <c r="K38" i="19"/>
  <c r="K40" i="19" s="1"/>
  <c r="C38" i="19"/>
  <c r="K25" i="19"/>
  <c r="C25" i="19"/>
  <c r="H80" i="19"/>
  <c r="N78" i="19"/>
  <c r="O80" i="19"/>
  <c r="O83" i="19" s="1"/>
  <c r="G80" i="19"/>
  <c r="O78" i="19"/>
  <c r="M51" i="19"/>
  <c r="E51" i="19"/>
  <c r="I82" i="19"/>
  <c r="I83" i="19" s="1"/>
  <c r="P25" i="19"/>
  <c r="H25" i="19"/>
  <c r="N80" i="19"/>
  <c r="F80" i="19"/>
  <c r="P13" i="19"/>
  <c r="P27" i="19" s="1"/>
  <c r="J13" i="19"/>
  <c r="M40" i="19"/>
  <c r="E40" i="19"/>
  <c r="O72" i="19"/>
  <c r="K78" i="19"/>
  <c r="G72" i="19"/>
  <c r="C40" i="19"/>
  <c r="C57" i="19"/>
  <c r="F72" i="19"/>
  <c r="L81" i="19"/>
  <c r="D81" i="19"/>
  <c r="N30" i="19"/>
  <c r="N40" i="19"/>
  <c r="L40" i="19"/>
  <c r="L57" i="19"/>
  <c r="H40" i="19"/>
  <c r="H57" i="19"/>
  <c r="L77" i="19"/>
  <c r="L75" i="19"/>
  <c r="L74" i="19"/>
  <c r="L80" i="19"/>
  <c r="O42" i="19"/>
  <c r="O46" i="19"/>
  <c r="D40" i="19"/>
  <c r="D57" i="19"/>
  <c r="H83" i="19"/>
  <c r="J40" i="19"/>
  <c r="J57" i="19"/>
  <c r="O50" i="19"/>
  <c r="L76" i="19"/>
  <c r="H51" i="19"/>
  <c r="L82" i="19"/>
  <c r="D82" i="19"/>
  <c r="D75" i="19"/>
  <c r="D77" i="19"/>
  <c r="D74" i="19"/>
  <c r="D80" i="19"/>
  <c r="G42" i="19"/>
  <c r="P30" i="19"/>
  <c r="J27" i="19"/>
  <c r="J30" i="19" s="1"/>
  <c r="I10" i="19"/>
  <c r="I13" i="19" s="1"/>
  <c r="O58" i="19"/>
  <c r="G58" i="19"/>
  <c r="I25" i="19"/>
  <c r="K80" i="19"/>
  <c r="C80" i="19"/>
  <c r="O51" i="19"/>
  <c r="G51" i="19"/>
  <c r="O49" i="19"/>
  <c r="N25" i="19"/>
  <c r="F82" i="19"/>
  <c r="F83" i="19" s="1"/>
  <c r="K81" i="19"/>
  <c r="C81" i="19"/>
  <c r="I74" i="19"/>
  <c r="I40" i="19"/>
  <c r="M25" i="19"/>
  <c r="L58" i="19" s="1"/>
  <c r="E25" i="19"/>
  <c r="K13" i="19"/>
  <c r="K27" i="19" s="1"/>
  <c r="G49" i="19"/>
  <c r="M82" i="19"/>
  <c r="M83" i="19" s="1"/>
  <c r="E82" i="19"/>
  <c r="E83" i="19" s="1"/>
  <c r="J81" i="19"/>
  <c r="I77" i="19"/>
  <c r="H74" i="19"/>
  <c r="H78" i="19" s="1"/>
  <c r="O57" i="19"/>
  <c r="G57" i="19"/>
  <c r="L25" i="19"/>
  <c r="D25" i="19"/>
  <c r="J80" i="19"/>
  <c r="J83" i="19" s="1"/>
  <c r="E43" i="22" l="1"/>
  <c r="E44" i="22" s="1"/>
  <c r="E47" i="22" s="1"/>
  <c r="F45" i="22"/>
  <c r="F42" i="22"/>
  <c r="G41" i="22"/>
  <c r="F53" i="22"/>
  <c r="D18" i="21"/>
  <c r="D23" i="21"/>
  <c r="V17" i="20"/>
  <c r="V19" i="20" s="1"/>
  <c r="V21" i="20" s="1"/>
  <c r="L73" i="20"/>
  <c r="F49" i="20"/>
  <c r="F65" i="20" s="1"/>
  <c r="F74" i="20" s="1"/>
  <c r="F76" i="20" s="1"/>
  <c r="AE17" i="20"/>
  <c r="AE24" i="20"/>
  <c r="AC24" i="20"/>
  <c r="AC17" i="20"/>
  <c r="AC19" i="20" s="1"/>
  <c r="AC21" i="20" s="1"/>
  <c r="M49" i="20"/>
  <c r="M65" i="20" s="1"/>
  <c r="M74" i="20" s="1"/>
  <c r="M76" i="20" s="1"/>
  <c r="AD17" i="20"/>
  <c r="AD19" i="20" s="1"/>
  <c r="AD21" i="20" s="1"/>
  <c r="AD24" i="20"/>
  <c r="N49" i="20"/>
  <c r="N65" i="20" s="1"/>
  <c r="N74" i="20" s="1"/>
  <c r="N76" i="20" s="1"/>
  <c r="D49" i="20"/>
  <c r="D65" i="20" s="1"/>
  <c r="D74" i="20" s="1"/>
  <c r="D76" i="20" s="1"/>
  <c r="T18" i="20"/>
  <c r="Y21" i="20"/>
  <c r="O46" i="20"/>
  <c r="O48" i="20" s="1"/>
  <c r="AE18" i="20" s="1"/>
  <c r="K65" i="20"/>
  <c r="K74" i="20" s="1"/>
  <c r="K76" i="20" s="1"/>
  <c r="AA24" i="20"/>
  <c r="C65" i="20"/>
  <c r="C74" i="20" s="1"/>
  <c r="C76" i="20" s="1"/>
  <c r="X21" i="20"/>
  <c r="G49" i="20"/>
  <c r="G65" i="20" s="1"/>
  <c r="G74" i="20" s="1"/>
  <c r="G76" i="20" s="1"/>
  <c r="P57" i="20"/>
  <c r="P64" i="20" s="1"/>
  <c r="AF20" i="20" s="1"/>
  <c r="I65" i="20"/>
  <c r="I74" i="20" s="1"/>
  <c r="I76" i="20" s="1"/>
  <c r="P35" i="20"/>
  <c r="P37" i="20" s="1"/>
  <c r="H65" i="20"/>
  <c r="H74" i="20" s="1"/>
  <c r="H76" i="20" s="1"/>
  <c r="W19" i="20"/>
  <c r="W21" i="20" s="1"/>
  <c r="AB17" i="20"/>
  <c r="AB19" i="20" s="1"/>
  <c r="AB21" i="20" s="1"/>
  <c r="L49" i="20"/>
  <c r="L65" i="20" s="1"/>
  <c r="L74" i="20" s="1"/>
  <c r="L76" i="20" s="1"/>
  <c r="AB24" i="20"/>
  <c r="I72" i="19"/>
  <c r="F49" i="19"/>
  <c r="F52" i="19" s="1"/>
  <c r="J72" i="19"/>
  <c r="L49" i="19"/>
  <c r="L52" i="19" s="1"/>
  <c r="N83" i="19"/>
  <c r="M50" i="19"/>
  <c r="F40" i="19"/>
  <c r="F42" i="19" s="1"/>
  <c r="J58" i="19"/>
  <c r="L50" i="19"/>
  <c r="C58" i="19"/>
  <c r="K57" i="19"/>
  <c r="K58" i="19"/>
  <c r="E78" i="19"/>
  <c r="G83" i="19"/>
  <c r="E72" i="19"/>
  <c r="E58" i="19"/>
  <c r="N72" i="19"/>
  <c r="N58" i="19"/>
  <c r="L83" i="19"/>
  <c r="I42" i="19"/>
  <c r="O56" i="19"/>
  <c r="O52" i="19"/>
  <c r="L78" i="19"/>
  <c r="L42" i="19"/>
  <c r="L46" i="19"/>
  <c r="C42" i="19"/>
  <c r="E42" i="19"/>
  <c r="H49" i="19"/>
  <c r="J46" i="19"/>
  <c r="J42" i="19"/>
  <c r="I49" i="19"/>
  <c r="E49" i="19"/>
  <c r="O47" i="19"/>
  <c r="O53" i="19"/>
  <c r="N46" i="19"/>
  <c r="N42" i="19"/>
  <c r="K46" i="19"/>
  <c r="K42" i="19"/>
  <c r="M42" i="19"/>
  <c r="M46" i="19"/>
  <c r="M72" i="19"/>
  <c r="M58" i="19"/>
  <c r="D83" i="19"/>
  <c r="D72" i="19"/>
  <c r="C72" i="19"/>
  <c r="C49" i="19"/>
  <c r="I78" i="19"/>
  <c r="I27" i="19"/>
  <c r="H10" i="19"/>
  <c r="H13" i="19" s="1"/>
  <c r="D78" i="19"/>
  <c r="D42" i="19"/>
  <c r="N49" i="19"/>
  <c r="M49" i="19"/>
  <c r="K30" i="19"/>
  <c r="K50" i="19"/>
  <c r="H72" i="19"/>
  <c r="I58" i="19"/>
  <c r="J50" i="19"/>
  <c r="L72" i="19"/>
  <c r="K72" i="19"/>
  <c r="K49" i="19"/>
  <c r="G52" i="19"/>
  <c r="G56" i="19"/>
  <c r="C83" i="19"/>
  <c r="D49" i="19"/>
  <c r="F56" i="19"/>
  <c r="K83" i="19"/>
  <c r="D58" i="19"/>
  <c r="J52" i="19"/>
  <c r="J56" i="19"/>
  <c r="H42" i="19"/>
  <c r="H58" i="19"/>
  <c r="G45" i="22" l="1"/>
  <c r="G42" i="22"/>
  <c r="H41" i="22"/>
  <c r="G53" i="22"/>
  <c r="E91" i="22"/>
  <c r="E93" i="22" s="1"/>
  <c r="E94" i="22" s="1"/>
  <c r="E60" i="22"/>
  <c r="E62" i="22" s="1"/>
  <c r="E72" i="22"/>
  <c r="E49" i="22"/>
  <c r="E64" i="22" s="1"/>
  <c r="E66" i="22" s="1"/>
  <c r="F34" i="22"/>
  <c r="F92" i="22"/>
  <c r="F57" i="22"/>
  <c r="F55" i="22" s="1"/>
  <c r="E61" i="22"/>
  <c r="F73" i="22"/>
  <c r="F43" i="22"/>
  <c r="F44" i="22"/>
  <c r="F47" i="22" s="1"/>
  <c r="S30" i="20"/>
  <c r="T19" i="20"/>
  <c r="T21" i="20" s="1"/>
  <c r="S27" i="20" s="1"/>
  <c r="O49" i="20"/>
  <c r="O65" i="20" s="1"/>
  <c r="O74" i="20" s="1"/>
  <c r="O76" i="20" s="1"/>
  <c r="P49" i="20"/>
  <c r="P65" i="20" s="1"/>
  <c r="P74" i="20" s="1"/>
  <c r="P76" i="20" s="1"/>
  <c r="AF17" i="20"/>
  <c r="AF19" i="20" s="1"/>
  <c r="AF21" i="20" s="1"/>
  <c r="AF24" i="20"/>
  <c r="AE19" i="20"/>
  <c r="AE21" i="20" s="1"/>
  <c r="L56" i="19"/>
  <c r="H27" i="19"/>
  <c r="G10" i="19"/>
  <c r="G13" i="19" s="1"/>
  <c r="N47" i="19"/>
  <c r="N53" i="19"/>
  <c r="H52" i="19"/>
  <c r="H56" i="19"/>
  <c r="K56" i="19"/>
  <c r="K52" i="19"/>
  <c r="M52" i="19"/>
  <c r="M56" i="19"/>
  <c r="C56" i="19"/>
  <c r="C52" i="19"/>
  <c r="E52" i="19"/>
  <c r="E56" i="19"/>
  <c r="I30" i="19"/>
  <c r="I50" i="19"/>
  <c r="N52" i="19"/>
  <c r="N56" i="19"/>
  <c r="M47" i="19"/>
  <c r="M53" i="19"/>
  <c r="I52" i="19"/>
  <c r="I56" i="19"/>
  <c r="K53" i="19"/>
  <c r="K47" i="19"/>
  <c r="J47" i="19"/>
  <c r="J53" i="19"/>
  <c r="L47" i="19"/>
  <c r="L53" i="19"/>
  <c r="I47" i="19"/>
  <c r="I53" i="19"/>
  <c r="D56" i="19"/>
  <c r="D52" i="19"/>
  <c r="I46" i="19"/>
  <c r="E74" i="22" l="1"/>
  <c r="E76" i="22" s="1"/>
  <c r="E114" i="22"/>
  <c r="G43" i="22"/>
  <c r="G44" i="22"/>
  <c r="G47" i="22" s="1"/>
  <c r="F49" i="22"/>
  <c r="F64" i="22" s="1"/>
  <c r="F66" i="22" s="1"/>
  <c r="F60" i="22"/>
  <c r="F62" i="22" s="1"/>
  <c r="F91" i="22"/>
  <c r="F93" i="22" s="1"/>
  <c r="F72" i="22"/>
  <c r="G57" i="22"/>
  <c r="G55" i="22" s="1"/>
  <c r="G34" i="22"/>
  <c r="G92" i="22"/>
  <c r="F61" i="22"/>
  <c r="G73" i="22"/>
  <c r="G111" i="22" s="1"/>
  <c r="H42" i="22"/>
  <c r="H53" i="22"/>
  <c r="H45" i="22"/>
  <c r="I41" i="22"/>
  <c r="H30" i="19"/>
  <c r="H50" i="19"/>
  <c r="H46" i="19"/>
  <c r="H47" i="19"/>
  <c r="H53" i="19"/>
  <c r="G27" i="19"/>
  <c r="F10" i="19"/>
  <c r="F13" i="19" s="1"/>
  <c r="F74" i="22" l="1"/>
  <c r="F114" i="22"/>
  <c r="F110" i="22"/>
  <c r="F94" i="22"/>
  <c r="F113" i="22"/>
  <c r="G91" i="22"/>
  <c r="G49" i="22"/>
  <c r="G64" i="22" s="1"/>
  <c r="G66" i="22" s="1"/>
  <c r="G60" i="22"/>
  <c r="G72" i="22"/>
  <c r="H43" i="22"/>
  <c r="H44" i="22" s="1"/>
  <c r="H47" i="22" s="1"/>
  <c r="H73" i="22"/>
  <c r="H111" i="22" s="1"/>
  <c r="H57" i="22"/>
  <c r="H55" i="22" s="1"/>
  <c r="H34" i="22"/>
  <c r="H92" i="22"/>
  <c r="G61" i="22"/>
  <c r="I42" i="22"/>
  <c r="J41" i="22"/>
  <c r="I45" i="22"/>
  <c r="I53" i="22"/>
  <c r="G30" i="19"/>
  <c r="G50" i="19"/>
  <c r="G46" i="19"/>
  <c r="G53" i="19"/>
  <c r="G47" i="19"/>
  <c r="F27" i="19"/>
  <c r="E10" i="19"/>
  <c r="E13" i="19" s="1"/>
  <c r="I43" i="22" l="1"/>
  <c r="I44" i="22"/>
  <c r="I47" i="22" s="1"/>
  <c r="F112" i="22"/>
  <c r="F76" i="22"/>
  <c r="G93" i="22"/>
  <c r="I73" i="22"/>
  <c r="I111" i="22" s="1"/>
  <c r="H61" i="22"/>
  <c r="I57" i="22"/>
  <c r="I55" i="22" s="1"/>
  <c r="I34" i="22"/>
  <c r="I92" i="22"/>
  <c r="H91" i="22"/>
  <c r="H49" i="22"/>
  <c r="H72" i="22"/>
  <c r="H60" i="22"/>
  <c r="G110" i="22"/>
  <c r="G114" i="22"/>
  <c r="G74" i="22"/>
  <c r="G62" i="22"/>
  <c r="K41" i="22"/>
  <c r="J53" i="22"/>
  <c r="J42" i="22"/>
  <c r="J45" i="22"/>
  <c r="F30" i="19"/>
  <c r="F50" i="19"/>
  <c r="F46" i="19"/>
  <c r="F47" i="19"/>
  <c r="F53" i="19"/>
  <c r="E27" i="19"/>
  <c r="D10" i="19"/>
  <c r="D13" i="19" s="1"/>
  <c r="H62" i="22" l="1"/>
  <c r="I72" i="22"/>
  <c r="I91" i="22"/>
  <c r="I49" i="22"/>
  <c r="I60" i="22"/>
  <c r="J43" i="22"/>
  <c r="J44" i="22" s="1"/>
  <c r="J47" i="22" s="1"/>
  <c r="I61" i="22"/>
  <c r="J73" i="22"/>
  <c r="J111" i="22" s="1"/>
  <c r="J57" i="22"/>
  <c r="J55" i="22" s="1"/>
  <c r="J34" i="22"/>
  <c r="J92" i="22"/>
  <c r="H110" i="22"/>
  <c r="H114" i="22"/>
  <c r="H74" i="22"/>
  <c r="G94" i="22"/>
  <c r="G113" i="22"/>
  <c r="G112" i="22"/>
  <c r="G76" i="22"/>
  <c r="L41" i="22"/>
  <c r="K53" i="22"/>
  <c r="K42" i="22"/>
  <c r="K45" i="22"/>
  <c r="H64" i="22"/>
  <c r="H66" i="22" s="1"/>
  <c r="H93" i="22"/>
  <c r="C10" i="19"/>
  <c r="C13" i="19" s="1"/>
  <c r="C27" i="19" s="1"/>
  <c r="D27" i="19"/>
  <c r="E30" i="19"/>
  <c r="E50" i="19"/>
  <c r="E46" i="19"/>
  <c r="E53" i="19"/>
  <c r="E47" i="19"/>
  <c r="J72" i="22" l="1"/>
  <c r="J60" i="22"/>
  <c r="J91" i="22"/>
  <c r="J49" i="22"/>
  <c r="H76" i="22"/>
  <c r="H112" i="22"/>
  <c r="K43" i="22"/>
  <c r="K44" i="22"/>
  <c r="K47" i="22" s="1"/>
  <c r="H94" i="22"/>
  <c r="H113" i="22"/>
  <c r="I110" i="22"/>
  <c r="I114" i="22"/>
  <c r="I74" i="22"/>
  <c r="J61" i="22"/>
  <c r="K73" i="22"/>
  <c r="K111" i="22" s="1"/>
  <c r="K57" i="22"/>
  <c r="K55" i="22" s="1"/>
  <c r="K92" i="22"/>
  <c r="K34" i="22"/>
  <c r="I62" i="22"/>
  <c r="I64" i="22"/>
  <c r="I66" i="22" s="1"/>
  <c r="M41" i="22"/>
  <c r="L53" i="22"/>
  <c r="L42" i="22"/>
  <c r="L45" i="22"/>
  <c r="I93" i="22"/>
  <c r="C30" i="19"/>
  <c r="C50" i="19"/>
  <c r="C46" i="19"/>
  <c r="C47" i="19"/>
  <c r="C53" i="19"/>
  <c r="D30" i="19"/>
  <c r="D50" i="19"/>
  <c r="D46" i="19"/>
  <c r="D47" i="19"/>
  <c r="D53" i="19"/>
  <c r="J62" i="22" l="1"/>
  <c r="K72" i="22"/>
  <c r="K60" i="22"/>
  <c r="K91" i="22"/>
  <c r="K49" i="22"/>
  <c r="K64" i="22" s="1"/>
  <c r="K66" i="22" s="1"/>
  <c r="J110" i="22"/>
  <c r="J114" i="22"/>
  <c r="J74" i="22"/>
  <c r="L43" i="22"/>
  <c r="L44" i="22" s="1"/>
  <c r="L47" i="22" s="1"/>
  <c r="L92" i="22"/>
  <c r="K61" i="22"/>
  <c r="L73" i="22"/>
  <c r="L111" i="22" s="1"/>
  <c r="L57" i="22"/>
  <c r="L55" i="22" s="1"/>
  <c r="L34" i="22"/>
  <c r="I94" i="22"/>
  <c r="I113" i="22"/>
  <c r="M45" i="22"/>
  <c r="N41" i="22"/>
  <c r="M53" i="22"/>
  <c r="M42" i="22"/>
  <c r="I76" i="22"/>
  <c r="I112" i="22"/>
  <c r="J64" i="22"/>
  <c r="J66" i="22" s="1"/>
  <c r="J93" i="22"/>
  <c r="K62" i="22" l="1"/>
  <c r="L60" i="22"/>
  <c r="L72" i="22"/>
  <c r="L49" i="22"/>
  <c r="L91" i="22"/>
  <c r="J76" i="22"/>
  <c r="J112" i="22"/>
  <c r="K74" i="22"/>
  <c r="K110" i="22"/>
  <c r="K114" i="22"/>
  <c r="N42" i="22"/>
  <c r="N45" i="22"/>
  <c r="O41" i="22"/>
  <c r="N53" i="22"/>
  <c r="J113" i="22"/>
  <c r="J94" i="22"/>
  <c r="M43" i="22"/>
  <c r="M44" i="22" s="1"/>
  <c r="M47" i="22" s="1"/>
  <c r="M92" i="22"/>
  <c r="M57" i="22"/>
  <c r="M55" i="22" s="1"/>
  <c r="L61" i="22"/>
  <c r="M73" i="22"/>
  <c r="M111" i="22" s="1"/>
  <c r="M34" i="22"/>
  <c r="K93" i="22"/>
  <c r="M60" i="22" l="1"/>
  <c r="M49" i="22"/>
  <c r="M91" i="22"/>
  <c r="M72" i="22"/>
  <c r="N34" i="22"/>
  <c r="N57" i="22"/>
  <c r="N55" i="22" s="1"/>
  <c r="N92" i="22"/>
  <c r="M61" i="22"/>
  <c r="N73" i="22"/>
  <c r="K112" i="22"/>
  <c r="K76" i="22"/>
  <c r="O45" i="22"/>
  <c r="O42" i="22"/>
  <c r="O53" i="22"/>
  <c r="L93" i="22"/>
  <c r="K113" i="22"/>
  <c r="K94" i="22"/>
  <c r="L64" i="22"/>
  <c r="L66" i="22" s="1"/>
  <c r="N43" i="22"/>
  <c r="N44" i="22" s="1"/>
  <c r="N47" i="22" s="1"/>
  <c r="L74" i="22"/>
  <c r="L110" i="22"/>
  <c r="L114" i="22"/>
  <c r="L62" i="22"/>
  <c r="N49" i="22" l="1"/>
  <c r="N60" i="22"/>
  <c r="N72" i="22"/>
  <c r="N91" i="22"/>
  <c r="N93" i="22" s="1"/>
  <c r="L112" i="22"/>
  <c r="L76" i="22"/>
  <c r="L113" i="22"/>
  <c r="L94" i="22"/>
  <c r="O57" i="22"/>
  <c r="O55" i="22" s="1"/>
  <c r="O92" i="22"/>
  <c r="P53" i="22"/>
  <c r="O61" i="22" s="1"/>
  <c r="O73" i="22"/>
  <c r="O111" i="22" s="1"/>
  <c r="N61" i="22"/>
  <c r="O43" i="22"/>
  <c r="O44" i="22"/>
  <c r="O47" i="22" s="1"/>
  <c r="M74" i="22"/>
  <c r="M110" i="22"/>
  <c r="M114" i="22"/>
  <c r="M93" i="22"/>
  <c r="M64" i="22"/>
  <c r="M66" i="22" s="1"/>
  <c r="N111" i="22"/>
  <c r="O114" i="22"/>
  <c r="M62" i="22"/>
  <c r="N96" i="22" l="1"/>
  <c r="D97" i="22" s="1"/>
  <c r="N94" i="22"/>
  <c r="N113" i="22"/>
  <c r="O113" i="22"/>
  <c r="M113" i="22"/>
  <c r="M94" i="22"/>
  <c r="O110" i="22"/>
  <c r="N74" i="22"/>
  <c r="N110" i="22"/>
  <c r="N114" i="22"/>
  <c r="M112" i="22"/>
  <c r="M76" i="22"/>
  <c r="N62" i="22"/>
  <c r="O49" i="22"/>
  <c r="O64" i="22" s="1"/>
  <c r="O66" i="22" s="1"/>
  <c r="O60" i="22"/>
  <c r="O62" i="22" s="1"/>
  <c r="N64" i="22"/>
  <c r="N66" i="22" s="1"/>
  <c r="N112" i="22" l="1"/>
  <c r="O112" i="22"/>
  <c r="N76" i="22"/>
  <c r="D77" i="22" s="1"/>
  <c r="N78" i="22"/>
  <c r="D79" i="22" s="1"/>
  <c r="D95" i="22"/>
  <c r="D98" i="22" s="1"/>
  <c r="D100" i="22" s="1"/>
  <c r="D102" i="22" s="1"/>
  <c r="D104" i="22" s="1"/>
  <c r="D80" i="22" l="1"/>
  <c r="D82" i="22" s="1"/>
  <c r="D84" i="22" s="1"/>
  <c r="D86" i="22" s="1"/>
  <c r="D50" i="9" l="1"/>
  <c r="D44" i="9"/>
  <c r="C35" i="9"/>
  <c r="D34" i="9"/>
  <c r="C33" i="9"/>
  <c r="C31" i="9"/>
  <c r="C30" i="9"/>
  <c r="C29" i="9"/>
  <c r="C28" i="9"/>
  <c r="C27" i="9"/>
  <c r="C26" i="9"/>
  <c r="C24" i="9"/>
  <c r="C21" i="9"/>
  <c r="C20" i="9"/>
  <c r="C19" i="9"/>
  <c r="C18" i="9"/>
  <c r="C17" i="9"/>
  <c r="C16" i="9"/>
  <c r="C12" i="9"/>
  <c r="C11" i="9"/>
  <c r="C10" i="9"/>
  <c r="K37" i="9"/>
  <c r="K40" i="9" s="1"/>
  <c r="H37" i="9"/>
  <c r="T33" i="9"/>
  <c r="S33" i="9"/>
  <c r="R33" i="9"/>
  <c r="Q33" i="9"/>
  <c r="P33" i="9"/>
  <c r="O33" i="9"/>
  <c r="N33" i="9"/>
  <c r="M33" i="9"/>
  <c r="L33" i="9"/>
  <c r="K33" i="9"/>
  <c r="J33" i="9"/>
  <c r="I33" i="9"/>
  <c r="H33" i="9"/>
  <c r="G33" i="9"/>
  <c r="T25" i="9"/>
  <c r="S25" i="9"/>
  <c r="R25" i="9"/>
  <c r="Q25" i="9"/>
  <c r="P25" i="9"/>
  <c r="O25" i="9"/>
  <c r="N25" i="9"/>
  <c r="M25" i="9"/>
  <c r="L25" i="9"/>
  <c r="K25" i="9"/>
  <c r="J25" i="9"/>
  <c r="I25" i="9"/>
  <c r="H25" i="9"/>
  <c r="G25" i="9"/>
  <c r="T12" i="9"/>
  <c r="T17" i="9" s="1"/>
  <c r="T35" i="9" s="1"/>
  <c r="T37" i="9" s="1"/>
  <c r="T40" i="9" s="1"/>
  <c r="S12" i="9"/>
  <c r="S17" i="9" s="1"/>
  <c r="R12" i="9"/>
  <c r="R17" i="9" s="1"/>
  <c r="R35" i="9" s="1"/>
  <c r="R37" i="9" s="1"/>
  <c r="R40" i="9" s="1"/>
  <c r="Q12" i="9"/>
  <c r="Q17" i="9" s="1"/>
  <c r="P12" i="9"/>
  <c r="P17" i="9" s="1"/>
  <c r="O12" i="9"/>
  <c r="O17" i="9" s="1"/>
  <c r="O35" i="9" s="1"/>
  <c r="O37" i="9" s="1"/>
  <c r="O40" i="9" s="1"/>
  <c r="N12" i="9"/>
  <c r="N17" i="9" s="1"/>
  <c r="N35" i="9" s="1"/>
  <c r="N37" i="9" s="1"/>
  <c r="N40" i="9" s="1"/>
  <c r="M12" i="9"/>
  <c r="M17" i="9" s="1"/>
  <c r="L12" i="9"/>
  <c r="L17" i="9" s="1"/>
  <c r="L35" i="9" s="1"/>
  <c r="L37" i="9" s="1"/>
  <c r="L40" i="9" s="1"/>
  <c r="K12" i="9"/>
  <c r="K17" i="9" s="1"/>
  <c r="J12" i="9"/>
  <c r="J17" i="9" s="1"/>
  <c r="J35" i="9" s="1"/>
  <c r="J37" i="9" s="1"/>
  <c r="J40" i="9" s="1"/>
  <c r="I12" i="9"/>
  <c r="I17" i="9" s="1"/>
  <c r="H12" i="9"/>
  <c r="H17" i="9" s="1"/>
  <c r="G12" i="9"/>
  <c r="G17" i="9" s="1"/>
  <c r="G35" i="9" s="1"/>
  <c r="G37" i="9" s="1"/>
  <c r="G40" i="9" s="1"/>
  <c r="C6" i="14"/>
  <c r="D6" i="14"/>
  <c r="D11" i="14" s="1"/>
  <c r="D18" i="14" s="1"/>
  <c r="E6" i="14"/>
  <c r="E11" i="14" s="1"/>
  <c r="E18" i="14" s="1"/>
  <c r="F6" i="14"/>
  <c r="G6" i="14"/>
  <c r="H6" i="14"/>
  <c r="I6" i="14"/>
  <c r="J6" i="14"/>
  <c r="K6" i="14"/>
  <c r="K11" i="14" s="1"/>
  <c r="K18" i="14" s="1"/>
  <c r="L6" i="14"/>
  <c r="L11" i="14" s="1"/>
  <c r="L18" i="14" s="1"/>
  <c r="M6" i="14"/>
  <c r="M11" i="14" s="1"/>
  <c r="N6" i="14"/>
  <c r="O6" i="14"/>
  <c r="P6" i="14"/>
  <c r="T7" i="14"/>
  <c r="F11" i="14"/>
  <c r="F18" i="14" s="1"/>
  <c r="F38" i="14" s="1"/>
  <c r="F48" i="14" s="1"/>
  <c r="F50" i="14" s="1"/>
  <c r="G11" i="14"/>
  <c r="H11" i="14"/>
  <c r="I11" i="14"/>
  <c r="J11" i="14"/>
  <c r="N11" i="14"/>
  <c r="N18" i="14" s="1"/>
  <c r="N38" i="14" s="1"/>
  <c r="N48" i="14" s="1"/>
  <c r="N50" i="14" s="1"/>
  <c r="O11" i="14"/>
  <c r="P11" i="14"/>
  <c r="T13" i="14"/>
  <c r="P14" i="14"/>
  <c r="N15" i="14"/>
  <c r="C16" i="14"/>
  <c r="D16" i="14"/>
  <c r="E16" i="14"/>
  <c r="F16" i="14"/>
  <c r="G16" i="14"/>
  <c r="G18" i="14" s="1"/>
  <c r="H16" i="14"/>
  <c r="I16" i="14"/>
  <c r="J16" i="14"/>
  <c r="K16" i="14"/>
  <c r="L16" i="14"/>
  <c r="H18" i="14"/>
  <c r="I18" i="14"/>
  <c r="J18" i="14"/>
  <c r="T18" i="14"/>
  <c r="T24" i="14"/>
  <c r="C27" i="14"/>
  <c r="D27" i="14"/>
  <c r="E27" i="14"/>
  <c r="E28" i="14" s="1"/>
  <c r="E29" i="14" s="1"/>
  <c r="E37" i="14" s="1"/>
  <c r="F27" i="14"/>
  <c r="G27" i="14"/>
  <c r="H27" i="14"/>
  <c r="I27" i="14"/>
  <c r="J27" i="14"/>
  <c r="J29" i="14" s="1"/>
  <c r="J37" i="14" s="1"/>
  <c r="J38" i="14" s="1"/>
  <c r="K27" i="14"/>
  <c r="L27" i="14"/>
  <c r="M27" i="14"/>
  <c r="M28" i="14" s="1"/>
  <c r="N27" i="14"/>
  <c r="O27" i="14"/>
  <c r="P27" i="14"/>
  <c r="C28" i="14"/>
  <c r="C29" i="14" s="1"/>
  <c r="C37" i="14" s="1"/>
  <c r="D28" i="14"/>
  <c r="F28" i="14"/>
  <c r="J28" i="14"/>
  <c r="K28" i="14"/>
  <c r="K29" i="14" s="1"/>
  <c r="K37" i="14" s="1"/>
  <c r="L28" i="14"/>
  <c r="N28" i="14"/>
  <c r="D29" i="14"/>
  <c r="D37" i="14" s="1"/>
  <c r="F29" i="14"/>
  <c r="L29" i="14"/>
  <c r="L37" i="14" s="1"/>
  <c r="N29" i="14"/>
  <c r="F37" i="14"/>
  <c r="N37" i="14"/>
  <c r="C42" i="14"/>
  <c r="C43" i="14" s="1"/>
  <c r="D42" i="14"/>
  <c r="D46" i="14" s="1"/>
  <c r="E42" i="14"/>
  <c r="F42" i="14"/>
  <c r="G42" i="14"/>
  <c r="G43" i="14" s="1"/>
  <c r="G46" i="14" s="1"/>
  <c r="H42" i="14"/>
  <c r="I42" i="14"/>
  <c r="J42" i="14"/>
  <c r="K42" i="14"/>
  <c r="K43" i="14" s="1"/>
  <c r="L42" i="14"/>
  <c r="L46" i="14" s="1"/>
  <c r="M42" i="14"/>
  <c r="N42" i="14"/>
  <c r="O42" i="14"/>
  <c r="O43" i="14" s="1"/>
  <c r="P42" i="14"/>
  <c r="D43" i="14"/>
  <c r="E43" i="14"/>
  <c r="E46" i="14" s="1"/>
  <c r="F43" i="14"/>
  <c r="H43" i="14"/>
  <c r="L43" i="14"/>
  <c r="M43" i="14"/>
  <c r="M46" i="14" s="1"/>
  <c r="N43" i="14"/>
  <c r="N14" i="14" s="1"/>
  <c r="N16" i="14" s="1"/>
  <c r="P43" i="14"/>
  <c r="F46" i="14"/>
  <c r="H46" i="14"/>
  <c r="N46" i="14"/>
  <c r="P46" i="14"/>
  <c r="D66" i="7"/>
  <c r="C66" i="7"/>
  <c r="D62" i="7"/>
  <c r="C62" i="7"/>
  <c r="D61" i="7"/>
  <c r="C61" i="7"/>
  <c r="D59" i="7"/>
  <c r="C59" i="7"/>
  <c r="C57" i="7"/>
  <c r="D57" i="7"/>
  <c r="B57" i="7"/>
  <c r="C55" i="7"/>
  <c r="D55" i="7"/>
  <c r="C56" i="7"/>
  <c r="D56" i="7"/>
  <c r="B56" i="7"/>
  <c r="B55" i="7"/>
  <c r="B54" i="7"/>
  <c r="C54" i="7"/>
  <c r="D54" i="7"/>
  <c r="C53" i="7"/>
  <c r="D53" i="7"/>
  <c r="B53" i="7"/>
  <c r="C52" i="7"/>
  <c r="D52" i="7"/>
  <c r="D51" i="7"/>
  <c r="C51" i="7"/>
  <c r="B52" i="7"/>
  <c r="B51" i="7"/>
  <c r="D48" i="7"/>
  <c r="C42" i="7"/>
  <c r="D42" i="7"/>
  <c r="C43" i="7"/>
  <c r="D43" i="7"/>
  <c r="C44" i="7"/>
  <c r="D44" i="7"/>
  <c r="C45" i="7"/>
  <c r="D45" i="7"/>
  <c r="C46" i="7"/>
  <c r="D46" i="7"/>
  <c r="C47" i="7"/>
  <c r="D47" i="7"/>
  <c r="D41" i="7"/>
  <c r="C41" i="7"/>
  <c r="C48" i="7"/>
  <c r="C38" i="7"/>
  <c r="D38" i="7"/>
  <c r="C39" i="7"/>
  <c r="D39" i="7"/>
  <c r="C40" i="7"/>
  <c r="D40" i="7"/>
  <c r="C37" i="7"/>
  <c r="D37" i="7"/>
  <c r="B42" i="7"/>
  <c r="B43" i="7"/>
  <c r="B44" i="7"/>
  <c r="B45" i="7"/>
  <c r="B46" i="7"/>
  <c r="B47" i="7"/>
  <c r="B41" i="7"/>
  <c r="B38" i="7"/>
  <c r="B39" i="7"/>
  <c r="B40" i="7"/>
  <c r="B37" i="7"/>
  <c r="D35" i="7"/>
  <c r="C35" i="7"/>
  <c r="C28" i="7"/>
  <c r="D28" i="7"/>
  <c r="C29" i="7"/>
  <c r="D29" i="7"/>
  <c r="C30" i="7"/>
  <c r="D30" i="7"/>
  <c r="C31" i="7"/>
  <c r="D31" i="7"/>
  <c r="C32" i="7"/>
  <c r="D32" i="7"/>
  <c r="C33" i="7"/>
  <c r="D33" i="7"/>
  <c r="C34" i="7"/>
  <c r="D34" i="7"/>
  <c r="D27" i="7"/>
  <c r="C27" i="7"/>
  <c r="C21" i="7"/>
  <c r="D21" i="7"/>
  <c r="C22" i="7"/>
  <c r="D22" i="7"/>
  <c r="C23" i="7"/>
  <c r="D23" i="7"/>
  <c r="C24" i="7"/>
  <c r="D24" i="7"/>
  <c r="C25" i="7"/>
  <c r="D25" i="7"/>
  <c r="C26" i="7"/>
  <c r="D26" i="7"/>
  <c r="D20" i="7"/>
  <c r="C20" i="7"/>
  <c r="C16" i="7"/>
  <c r="D16" i="7"/>
  <c r="C17" i="7"/>
  <c r="D17" i="7"/>
  <c r="C18" i="7"/>
  <c r="D18" i="7"/>
  <c r="C19" i="7"/>
  <c r="D19" i="7"/>
  <c r="D15" i="7"/>
  <c r="C15" i="7"/>
  <c r="C12" i="7"/>
  <c r="D12" i="7"/>
  <c r="C13" i="7"/>
  <c r="D13" i="7"/>
  <c r="C14" i="7"/>
  <c r="D14" i="7"/>
  <c r="D11" i="7"/>
  <c r="C11" i="7"/>
  <c r="B12" i="7"/>
  <c r="B13" i="7"/>
  <c r="B14" i="7"/>
  <c r="B11" i="7"/>
  <c r="AA38" i="7"/>
  <c r="Z38" i="7"/>
  <c r="Y38" i="7"/>
  <c r="X38" i="7"/>
  <c r="W38" i="7"/>
  <c r="V38" i="7"/>
  <c r="U38" i="7"/>
  <c r="T38" i="7"/>
  <c r="S38" i="7"/>
  <c r="R38" i="7"/>
  <c r="Q38" i="7"/>
  <c r="P38" i="7"/>
  <c r="O38" i="7"/>
  <c r="N38" i="7"/>
  <c r="M38" i="7"/>
  <c r="AP30" i="7"/>
  <c r="AH30" i="7"/>
  <c r="AR28" i="7"/>
  <c r="AQ28" i="7"/>
  <c r="AP28" i="7"/>
  <c r="AO28" i="7"/>
  <c r="AN28" i="7"/>
  <c r="AM28" i="7"/>
  <c r="AL28" i="7"/>
  <c r="AK28" i="7"/>
  <c r="AJ28" i="7"/>
  <c r="AI28" i="7"/>
  <c r="AH28" i="7"/>
  <c r="AG28" i="7"/>
  <c r="AF28" i="7"/>
  <c r="AE28" i="7"/>
  <c r="AD28" i="7"/>
  <c r="W26" i="7"/>
  <c r="W40" i="7" s="1"/>
  <c r="O26" i="7"/>
  <c r="O40" i="7" s="1"/>
  <c r="AA24" i="7"/>
  <c r="Z24" i="7"/>
  <c r="Y24" i="7"/>
  <c r="X24" i="7"/>
  <c r="W24" i="7"/>
  <c r="V24" i="7"/>
  <c r="U24" i="7"/>
  <c r="T24" i="7"/>
  <c r="S24" i="7"/>
  <c r="R24" i="7"/>
  <c r="Q24" i="7"/>
  <c r="P24" i="7"/>
  <c r="O24" i="7"/>
  <c r="N24" i="7"/>
  <c r="M24" i="7"/>
  <c r="AR16" i="7"/>
  <c r="AR30" i="7" s="1"/>
  <c r="AQ16" i="7"/>
  <c r="AQ30" i="7" s="1"/>
  <c r="AP16" i="7"/>
  <c r="AO16" i="7"/>
  <c r="AO30" i="7" s="1"/>
  <c r="AN16" i="7"/>
  <c r="AN30" i="7" s="1"/>
  <c r="AM16" i="7"/>
  <c r="AM30" i="7" s="1"/>
  <c r="AL16" i="7"/>
  <c r="AL30" i="7" s="1"/>
  <c r="AK16" i="7"/>
  <c r="AK30" i="7" s="1"/>
  <c r="AJ16" i="7"/>
  <c r="AJ30" i="7" s="1"/>
  <c r="AI16" i="7"/>
  <c r="AI30" i="7" s="1"/>
  <c r="AH16" i="7"/>
  <c r="AG16" i="7"/>
  <c r="AG30" i="7" s="1"/>
  <c r="AF16" i="7"/>
  <c r="AF30" i="7" s="1"/>
  <c r="AE16" i="7"/>
  <c r="AE30" i="7" s="1"/>
  <c r="AD16" i="7"/>
  <c r="AD30" i="7" s="1"/>
  <c r="AA15" i="7"/>
  <c r="Z15" i="7"/>
  <c r="Y15" i="7"/>
  <c r="X15" i="7"/>
  <c r="W15" i="7"/>
  <c r="V15" i="7"/>
  <c r="U15" i="7"/>
  <c r="T15" i="7"/>
  <c r="S15" i="7"/>
  <c r="R15" i="7"/>
  <c r="Q15" i="7"/>
  <c r="P15" i="7"/>
  <c r="O15" i="7"/>
  <c r="N15" i="7"/>
  <c r="M15" i="7"/>
  <c r="AR8" i="7"/>
  <c r="AR32" i="7" s="1"/>
  <c r="AJ8" i="7"/>
  <c r="AA8" i="7"/>
  <c r="AA26" i="7" s="1"/>
  <c r="AA40" i="7" s="1"/>
  <c r="Z8" i="7"/>
  <c r="Z26" i="7" s="1"/>
  <c r="Z40" i="7" s="1"/>
  <c r="Y8" i="7"/>
  <c r="Y26" i="7" s="1"/>
  <c r="Y40" i="7" s="1"/>
  <c r="X8" i="7"/>
  <c r="X26" i="7" s="1"/>
  <c r="X40" i="7" s="1"/>
  <c r="W8" i="7"/>
  <c r="V8" i="7"/>
  <c r="V26" i="7" s="1"/>
  <c r="V40" i="7" s="1"/>
  <c r="U8" i="7"/>
  <c r="U26" i="7" s="1"/>
  <c r="U40" i="7" s="1"/>
  <c r="T8" i="7"/>
  <c r="T26" i="7" s="1"/>
  <c r="T40" i="7" s="1"/>
  <c r="S8" i="7"/>
  <c r="S26" i="7" s="1"/>
  <c r="S40" i="7" s="1"/>
  <c r="R8" i="7"/>
  <c r="R26" i="7" s="1"/>
  <c r="R40" i="7" s="1"/>
  <c r="Q8" i="7"/>
  <c r="Q26" i="7" s="1"/>
  <c r="Q40" i="7" s="1"/>
  <c r="P8" i="7"/>
  <c r="P26" i="7" s="1"/>
  <c r="P40" i="7" s="1"/>
  <c r="O8" i="7"/>
  <c r="N8" i="7"/>
  <c r="N26" i="7" s="1"/>
  <c r="N40" i="7" s="1"/>
  <c r="M8" i="7"/>
  <c r="M26" i="7" s="1"/>
  <c r="M40" i="7" s="1"/>
  <c r="AR6" i="7"/>
  <c r="AQ6" i="7"/>
  <c r="AQ8" i="7" s="1"/>
  <c r="AQ32" i="7" s="1"/>
  <c r="AP6" i="7"/>
  <c r="AP8" i="7" s="1"/>
  <c r="AP32" i="7" s="1"/>
  <c r="AO6" i="7"/>
  <c r="AO8" i="7" s="1"/>
  <c r="AN6" i="7"/>
  <c r="AN8" i="7" s="1"/>
  <c r="AN32" i="7" s="1"/>
  <c r="AM6" i="7"/>
  <c r="AM8" i="7" s="1"/>
  <c r="AL6" i="7"/>
  <c r="AL8" i="7" s="1"/>
  <c r="AK6" i="7"/>
  <c r="AK8" i="7" s="1"/>
  <c r="AK32" i="7" s="1"/>
  <c r="AJ6" i="7"/>
  <c r="AI6" i="7"/>
  <c r="AI8" i="7" s="1"/>
  <c r="AI32" i="7" s="1"/>
  <c r="AH6" i="7"/>
  <c r="AH8" i="7" s="1"/>
  <c r="AH32" i="7" s="1"/>
  <c r="AG6" i="7"/>
  <c r="AG8" i="7" s="1"/>
  <c r="AF6" i="7"/>
  <c r="AF8" i="7" s="1"/>
  <c r="AF32" i="7" s="1"/>
  <c r="AE6" i="7"/>
  <c r="AE8" i="7" s="1"/>
  <c r="AD6" i="7"/>
  <c r="AD8" i="7" s="1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C23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C21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C17" i="5"/>
  <c r="J14" i="5"/>
  <c r="J13" i="5"/>
  <c r="I15" i="5"/>
  <c r="I14" i="5"/>
  <c r="I13" i="5"/>
  <c r="H13" i="5"/>
  <c r="G13" i="5"/>
  <c r="F15" i="5"/>
  <c r="F13" i="5"/>
  <c r="E15" i="5"/>
  <c r="E13" i="5"/>
  <c r="D15" i="5"/>
  <c r="C12" i="5"/>
  <c r="Q11" i="5"/>
  <c r="P11" i="5"/>
  <c r="O11" i="5"/>
  <c r="N11" i="5"/>
  <c r="M11" i="5"/>
  <c r="L11" i="5"/>
  <c r="K11" i="5"/>
  <c r="J11" i="5"/>
  <c r="I11" i="5"/>
  <c r="H11" i="5"/>
  <c r="G11" i="5"/>
  <c r="F11" i="5"/>
  <c r="E11" i="5"/>
  <c r="D11" i="5"/>
  <c r="C11" i="5"/>
  <c r="X113" i="5"/>
  <c r="X112" i="5"/>
  <c r="Z112" i="5" s="1"/>
  <c r="Z111" i="5"/>
  <c r="X109" i="5"/>
  <c r="Z109" i="5" s="1"/>
  <c r="X108" i="5"/>
  <c r="Z108" i="5" s="1"/>
  <c r="X107" i="5"/>
  <c r="Z107" i="5" s="1"/>
  <c r="X103" i="5"/>
  <c r="Z103" i="5" s="1"/>
  <c r="X101" i="5"/>
  <c r="Z101" i="5" s="1"/>
  <c r="X100" i="5"/>
  <c r="Z100" i="5" s="1"/>
  <c r="Z99" i="5"/>
  <c r="X95" i="5"/>
  <c r="Z95" i="5" s="1"/>
  <c r="X93" i="5"/>
  <c r="Z93" i="5" s="1"/>
  <c r="X92" i="5"/>
  <c r="Z92" i="5" s="1"/>
  <c r="Z91" i="5"/>
  <c r="X91" i="5"/>
  <c r="Z88" i="5"/>
  <c r="Z87" i="5"/>
  <c r="X85" i="5"/>
  <c r="Z85" i="5" s="1"/>
  <c r="X84" i="5"/>
  <c r="Z84" i="5" s="1"/>
  <c r="X83" i="5"/>
  <c r="Z83" i="5" s="1"/>
  <c r="Z80" i="5"/>
  <c r="X78" i="5"/>
  <c r="Z78" i="5" s="1"/>
  <c r="X77" i="5"/>
  <c r="Z77" i="5" s="1"/>
  <c r="X76" i="5"/>
  <c r="Z76" i="5" s="1"/>
  <c r="Z73" i="5"/>
  <c r="X71" i="5"/>
  <c r="Z71" i="5" s="1"/>
  <c r="X70" i="5"/>
  <c r="Z70" i="5" s="1"/>
  <c r="X69" i="5"/>
  <c r="Z69" i="5" s="1"/>
  <c r="Z66" i="5"/>
  <c r="X64" i="5"/>
  <c r="Z64" i="5" s="1"/>
  <c r="X63" i="5"/>
  <c r="Z63" i="5" s="1"/>
  <c r="Z60" i="5"/>
  <c r="X59" i="5"/>
  <c r="Z59" i="5" s="1"/>
  <c r="X58" i="5"/>
  <c r="Z58" i="5" s="1"/>
  <c r="X57" i="5"/>
  <c r="Z57" i="5" s="1"/>
  <c r="X56" i="5"/>
  <c r="Z56" i="5" s="1"/>
  <c r="Z45" i="5"/>
  <c r="X44" i="5"/>
  <c r="Z44" i="5" s="1"/>
  <c r="X43" i="5"/>
  <c r="Z43" i="5" s="1"/>
  <c r="X39" i="5"/>
  <c r="Z39" i="5" s="1"/>
  <c r="X38" i="5"/>
  <c r="Z38" i="5" s="1"/>
  <c r="X37" i="5"/>
  <c r="Z37" i="5" s="1"/>
  <c r="Y35" i="5"/>
  <c r="Y41" i="5" s="1"/>
  <c r="Y46" i="5" s="1"/>
  <c r="Y54" i="5" s="1"/>
  <c r="Y61" i="5" s="1"/>
  <c r="Y67" i="5" s="1"/>
  <c r="Y74" i="5" s="1"/>
  <c r="Y81" i="5" s="1"/>
  <c r="Y89" i="5" s="1"/>
  <c r="Y97" i="5" s="1"/>
  <c r="Y105" i="5" s="1"/>
  <c r="Y114" i="5" s="1"/>
  <c r="X34" i="5"/>
  <c r="Z34" i="5" s="1"/>
  <c r="X33" i="5"/>
  <c r="Z33" i="5" s="1"/>
  <c r="X32" i="5"/>
  <c r="Z32" i="5" s="1"/>
  <c r="W30" i="5"/>
  <c r="W35" i="5" s="1"/>
  <c r="W41" i="5" s="1"/>
  <c r="W46" i="5" s="1"/>
  <c r="W54" i="5" s="1"/>
  <c r="W61" i="5" s="1"/>
  <c r="W67" i="5" s="1"/>
  <c r="W74" i="5" s="1"/>
  <c r="W81" i="5" s="1"/>
  <c r="W89" i="5" s="1"/>
  <c r="W97" i="5" s="1"/>
  <c r="W105" i="5" s="1"/>
  <c r="W114" i="5" s="1"/>
  <c r="Z29" i="5"/>
  <c r="X29" i="5"/>
  <c r="X28" i="5"/>
  <c r="Z28" i="5" s="1"/>
  <c r="X27" i="5"/>
  <c r="U25" i="5"/>
  <c r="U30" i="5" s="1"/>
  <c r="U35" i="5" s="1"/>
  <c r="U41" i="5" s="1"/>
  <c r="U46" i="5" s="1"/>
  <c r="U54" i="5" s="1"/>
  <c r="U61" i="5" s="1"/>
  <c r="U67" i="5" s="1"/>
  <c r="U74" i="5" s="1"/>
  <c r="U81" i="5" s="1"/>
  <c r="U89" i="5" s="1"/>
  <c r="U97" i="5" s="1"/>
  <c r="U105" i="5" s="1"/>
  <c r="U114" i="5" s="1"/>
  <c r="Z24" i="5"/>
  <c r="X24" i="5"/>
  <c r="Z23" i="5"/>
  <c r="X22" i="5"/>
  <c r="Z22" i="5" s="1"/>
  <c r="Y20" i="5"/>
  <c r="Y25" i="5" s="1"/>
  <c r="W20" i="5"/>
  <c r="V20" i="5"/>
  <c r="V25" i="5" s="1"/>
  <c r="V30" i="5" s="1"/>
  <c r="V35" i="5" s="1"/>
  <c r="V41" i="5" s="1"/>
  <c r="V46" i="5" s="1"/>
  <c r="V54" i="5" s="1"/>
  <c r="V61" i="5" s="1"/>
  <c r="V67" i="5" s="1"/>
  <c r="V74" i="5" s="1"/>
  <c r="V81" i="5" s="1"/>
  <c r="V89" i="5" s="1"/>
  <c r="V97" i="5" s="1"/>
  <c r="V105" i="5" s="1"/>
  <c r="V114" i="5" s="1"/>
  <c r="T20" i="5"/>
  <c r="T25" i="5" s="1"/>
  <c r="T30" i="5" s="1"/>
  <c r="T35" i="5" s="1"/>
  <c r="T41" i="5" s="1"/>
  <c r="T46" i="5" s="1"/>
  <c r="T54" i="5" s="1"/>
  <c r="T61" i="5" s="1"/>
  <c r="T67" i="5" s="1"/>
  <c r="T74" i="5" s="1"/>
  <c r="T81" i="5" s="1"/>
  <c r="T89" i="5" s="1"/>
  <c r="T97" i="5" s="1"/>
  <c r="T105" i="5" s="1"/>
  <c r="T114" i="5" s="1"/>
  <c r="Z19" i="5"/>
  <c r="X19" i="5"/>
  <c r="X18" i="5"/>
  <c r="Z18" i="5" s="1"/>
  <c r="X17" i="5"/>
  <c r="I35" i="9" l="1"/>
  <c r="I37" i="9" s="1"/>
  <c r="I40" i="9" s="1"/>
  <c r="H38" i="9" s="1"/>
  <c r="H40" i="9" s="1"/>
  <c r="Q35" i="9"/>
  <c r="Q37" i="9" s="1"/>
  <c r="Q40" i="9" s="1"/>
  <c r="S35" i="9"/>
  <c r="S37" i="9" s="1"/>
  <c r="S40" i="9" s="1"/>
  <c r="P35" i="9"/>
  <c r="P37" i="9" s="1"/>
  <c r="P40" i="9" s="1"/>
  <c r="M35" i="9"/>
  <c r="M37" i="9" s="1"/>
  <c r="M40" i="9" s="1"/>
  <c r="I29" i="14"/>
  <c r="I37" i="14" s="1"/>
  <c r="I38" i="14" s="1"/>
  <c r="O29" i="14"/>
  <c r="O37" i="14" s="1"/>
  <c r="M29" i="14"/>
  <c r="M37" i="14" s="1"/>
  <c r="M15" i="14"/>
  <c r="E38" i="14"/>
  <c r="E48" i="14" s="1"/>
  <c r="E50" i="14" s="1"/>
  <c r="L38" i="14"/>
  <c r="L48" i="14" s="1"/>
  <c r="L50" i="14" s="1"/>
  <c r="D38" i="14"/>
  <c r="D48" i="14" s="1"/>
  <c r="D50" i="14" s="1"/>
  <c r="O46" i="14"/>
  <c r="O14" i="14"/>
  <c r="K38" i="14"/>
  <c r="K48" i="14" s="1"/>
  <c r="K50" i="14" s="1"/>
  <c r="I28" i="14"/>
  <c r="J43" i="14"/>
  <c r="J46" i="14" s="1"/>
  <c r="J48" i="14" s="1"/>
  <c r="J50" i="14" s="1"/>
  <c r="P28" i="14"/>
  <c r="P15" i="14" s="1"/>
  <c r="P16" i="14" s="1"/>
  <c r="P18" i="14" s="1"/>
  <c r="H28" i="14"/>
  <c r="H29" i="14" s="1"/>
  <c r="H37" i="14" s="1"/>
  <c r="H38" i="14" s="1"/>
  <c r="H48" i="14" s="1"/>
  <c r="H50" i="14" s="1"/>
  <c r="C11" i="14"/>
  <c r="C18" i="14" s="1"/>
  <c r="C38" i="14" s="1"/>
  <c r="C48" i="14" s="1"/>
  <c r="C50" i="14" s="1"/>
  <c r="K46" i="14"/>
  <c r="C46" i="14"/>
  <c r="I43" i="14"/>
  <c r="I46" i="14" s="1"/>
  <c r="O28" i="14"/>
  <c r="O15" i="14" s="1"/>
  <c r="G28" i="14"/>
  <c r="G29" i="14" s="1"/>
  <c r="G37" i="14" s="1"/>
  <c r="G38" i="14" s="1"/>
  <c r="G48" i="14" s="1"/>
  <c r="G50" i="14" s="1"/>
  <c r="M14" i="14"/>
  <c r="M16" i="14" s="1"/>
  <c r="M18" i="14" s="1"/>
  <c r="M38" i="14" s="1"/>
  <c r="M48" i="14" s="1"/>
  <c r="M50" i="14" s="1"/>
  <c r="AL32" i="7"/>
  <c r="AD32" i="7"/>
  <c r="AE32" i="7"/>
  <c r="AM32" i="7"/>
  <c r="AG32" i="7"/>
  <c r="AO32" i="7"/>
  <c r="AJ32" i="7"/>
  <c r="X30" i="5"/>
  <c r="X35" i="5" s="1"/>
  <c r="X41" i="5" s="1"/>
  <c r="X46" i="5" s="1"/>
  <c r="X54" i="5" s="1"/>
  <c r="X61" i="5" s="1"/>
  <c r="X67" i="5" s="1"/>
  <c r="X74" i="5" s="1"/>
  <c r="X81" i="5" s="1"/>
  <c r="X89" i="5" s="1"/>
  <c r="X97" i="5" s="1"/>
  <c r="X105" i="5" s="1"/>
  <c r="X114" i="5" s="1"/>
  <c r="X20" i="5"/>
  <c r="Z27" i="5"/>
  <c r="Z30" i="5" s="1"/>
  <c r="Z35" i="5" s="1"/>
  <c r="Z41" i="5" s="1"/>
  <c r="Z46" i="5" s="1"/>
  <c r="Z54" i="5" s="1"/>
  <c r="Z61" i="5" s="1"/>
  <c r="Z67" i="5" s="1"/>
  <c r="Z74" i="5" s="1"/>
  <c r="Z81" i="5" s="1"/>
  <c r="Z89" i="5" s="1"/>
  <c r="Z97" i="5" s="1"/>
  <c r="Z105" i="5" s="1"/>
  <c r="Z114" i="5" s="1"/>
  <c r="Z17" i="5"/>
  <c r="Z20" i="5" s="1"/>
  <c r="O16" i="14" l="1"/>
  <c r="O18" i="14" s="1"/>
  <c r="O38" i="14" s="1"/>
  <c r="O48" i="14" s="1"/>
  <c r="O50" i="14" s="1"/>
  <c r="I48" i="14"/>
  <c r="I50" i="14" s="1"/>
  <c r="P29" i="14"/>
  <c r="P37" i="14" s="1"/>
  <c r="P38" i="14" s="1"/>
  <c r="P48" i="14" s="1"/>
  <c r="P50" i="1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Ole Vagn Sørensen</author>
  </authors>
  <commentList>
    <comment ref="B34" authorId="0" shapeId="0" xr:uid="{1F22CCE7-AAB4-417C-83E3-880599F64A1D}">
      <text>
        <r>
          <rPr>
            <b/>
            <sz val="9"/>
            <color indexed="81"/>
            <rFont val="Tahoma"/>
            <family val="2"/>
          </rPr>
          <t>Ole Vagn Sørensen:</t>
        </r>
        <r>
          <rPr>
            <sz val="9"/>
            <color indexed="81"/>
            <rFont val="Tahoma"/>
            <family val="2"/>
          </rPr>
          <t xml:space="preserve">
= Påtaget leasing
forpligtelse. Se note 3.3
673 + 99 = 772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Ole Vagn Sørensen</author>
  </authors>
  <commentList>
    <comment ref="D41" authorId="0" shapeId="0" xr:uid="{00000000-0006-0000-0A00-000001000000}">
      <text>
        <r>
          <rPr>
            <b/>
            <sz val="9"/>
            <color indexed="81"/>
            <rFont val="Tahoma"/>
            <family val="2"/>
          </rPr>
          <t>Ole Vagn Sørensen:</t>
        </r>
        <r>
          <rPr>
            <sz val="9"/>
            <color indexed="81"/>
            <rFont val="Tahoma"/>
            <family val="2"/>
          </rPr>
          <t xml:space="preserve">
Beregnet på primo NOA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Ole Sørensen</author>
  </authors>
  <commentList>
    <comment ref="C48" authorId="0" shapeId="0" xr:uid="{00000000-0006-0000-0B00-000001000000}">
      <text>
        <r>
          <rPr>
            <b/>
            <sz val="9"/>
            <color indexed="81"/>
            <rFont val="Tahoma"/>
            <family val="2"/>
          </rPr>
          <t>Ole Sørensen:</t>
        </r>
        <r>
          <rPr>
            <sz val="9"/>
            <color indexed="81"/>
            <rFont val="Tahoma"/>
            <family val="2"/>
          </rPr>
          <t xml:space="preserve">
rt x NFOt-1</t>
        </r>
      </text>
    </comment>
    <comment ref="C53" authorId="0" shapeId="0" xr:uid="{00000000-0006-0000-0B00-000002000000}">
      <text>
        <r>
          <rPr>
            <b/>
            <sz val="9"/>
            <color indexed="81"/>
            <rFont val="Tahoma"/>
            <family val="2"/>
          </rPr>
          <t>Ole Sørensen:</t>
        </r>
        <r>
          <rPr>
            <sz val="9"/>
            <color indexed="81"/>
            <rFont val="Tahoma"/>
            <family val="2"/>
          </rPr>
          <t xml:space="preserve">
NOAt = Salgt+1 / ATOt</t>
        </r>
      </text>
    </comment>
    <comment ref="C56" authorId="0" shapeId="0" xr:uid="{00000000-0006-0000-0B00-000003000000}">
      <text>
        <r>
          <rPr>
            <b/>
            <sz val="9"/>
            <color indexed="81"/>
            <rFont val="Tahoma"/>
            <family val="2"/>
          </rPr>
          <t>Ole Sørensen:</t>
        </r>
        <r>
          <rPr>
            <sz val="9"/>
            <color indexed="81"/>
            <rFont val="Tahoma"/>
            <family val="2"/>
          </rPr>
          <t xml:space="preserve">
NFOt = NOAt x (1-1/1+FLEV)</t>
        </r>
      </text>
    </comment>
  </commentList>
</comments>
</file>

<file path=xl/sharedStrings.xml><?xml version="1.0" encoding="utf-8"?>
<sst xmlns="http://schemas.openxmlformats.org/spreadsheetml/2006/main" count="699" uniqueCount="413">
  <si>
    <t>Aktiver</t>
  </si>
  <si>
    <t>Goodwill</t>
  </si>
  <si>
    <t>Patenter og licenser</t>
  </si>
  <si>
    <t>Andre immaterielle aktiver</t>
  </si>
  <si>
    <t>Immaterielle aktiver</t>
  </si>
  <si>
    <t>Grunde og bygninger</t>
  </si>
  <si>
    <t>Produktionsanlæg og maskiner</t>
  </si>
  <si>
    <t>Andre anlæg, driftsmateriel og inventar</t>
  </si>
  <si>
    <t>Indretning af lejede lokaler</t>
  </si>
  <si>
    <t>Materielle aktiver</t>
  </si>
  <si>
    <t>Kapitalandele i associerede virksomheder</t>
  </si>
  <si>
    <t>Tilgodehavender hos associerede virksomheder</t>
  </si>
  <si>
    <t>Andre værdipapirer og kapitalandele</t>
  </si>
  <si>
    <t>Andre tilgodehavender</t>
  </si>
  <si>
    <t>Udskudte skatteaktiver</t>
  </si>
  <si>
    <t>Andre langfristede aktiver</t>
  </si>
  <si>
    <t>Langfristede aktiver</t>
  </si>
  <si>
    <t>Varebeholdninger</t>
  </si>
  <si>
    <t>Selskabsskat</t>
  </si>
  <si>
    <t>Urealiseret avance på finansielle kontrakter</t>
  </si>
  <si>
    <t>Periodeafgrænsningsposter</t>
  </si>
  <si>
    <t>Likvide beholdninger</t>
  </si>
  <si>
    <t xml:space="preserve">Kortfristede aktiver </t>
  </si>
  <si>
    <t>(Beløb i DKK mio.)</t>
  </si>
  <si>
    <t>Passiver</t>
  </si>
  <si>
    <t>Aktiekapital</t>
  </si>
  <si>
    <t>Andre reserver</t>
  </si>
  <si>
    <t>Udskudte skatteforpligtelser</t>
  </si>
  <si>
    <t>Egenkapital tilhørende aktionærerne i William Demant Holding A/S</t>
  </si>
  <si>
    <t>Egenkapital tilhørende minoritetsinteresser</t>
  </si>
  <si>
    <t>Egenkapital</t>
  </si>
  <si>
    <t>Hensatte forpligtelser</t>
  </si>
  <si>
    <t>Andre forpligtelser</t>
  </si>
  <si>
    <t>Langfristede forpligtelser</t>
  </si>
  <si>
    <t>Leverandørgæld</t>
  </si>
  <si>
    <t>Urealiseret tab på finansielle kontrakter</t>
  </si>
  <si>
    <t>Kortfristede forpligtelser</t>
  </si>
  <si>
    <t>Forpligtelser</t>
  </si>
  <si>
    <t>Nettoomsætning</t>
  </si>
  <si>
    <t>Produktionsomkostninger</t>
  </si>
  <si>
    <t>Bruttoresultat</t>
  </si>
  <si>
    <t>Forsknings- og udviklingsomkostninger</t>
  </si>
  <si>
    <t>Distibutionsomkostninger</t>
  </si>
  <si>
    <t>Administrationsomkostninger</t>
  </si>
  <si>
    <t>Resultat af primær drift (EBIT)</t>
  </si>
  <si>
    <t>Finansielle indtægter</t>
  </si>
  <si>
    <t>Minoritetsinteresser</t>
  </si>
  <si>
    <t>Pengestrømsopgørelse</t>
  </si>
  <si>
    <t>Ikke-kontante poster m.v.</t>
  </si>
  <si>
    <t>Ændring i tilgodehavender mv.</t>
  </si>
  <si>
    <t>Ændring i varebeholdninger</t>
  </si>
  <si>
    <t>Ændring i leverandørgæld og andre forpligtelser m.v.</t>
  </si>
  <si>
    <t>Ændring i hensatte forpligtelser</t>
  </si>
  <si>
    <t>Pengestrømme fra primær drift</t>
  </si>
  <si>
    <t>Modtagne finansielle indtægter m.v.</t>
  </si>
  <si>
    <t>Betalte finansielle omkostninger m.v.</t>
  </si>
  <si>
    <t>Realiserede valutakursreguleringer</t>
  </si>
  <si>
    <t>Betalte selskabsskatter</t>
  </si>
  <si>
    <t>Pengestrømme fra driftsaktiviteter (CFFO)</t>
  </si>
  <si>
    <t>Køb af virksomheder, andele og aktiviteter</t>
  </si>
  <si>
    <t>Salg af virksomheder og aktiviteter</t>
  </si>
  <si>
    <t>Køb og salg af immaterielle aktiver</t>
  </si>
  <si>
    <t>Køb af materielle aktiver</t>
  </si>
  <si>
    <t>Salg af materielle aktiver</t>
  </si>
  <si>
    <t>Investering i andre langfristede aktiver</t>
  </si>
  <si>
    <t>Afhændelse af andre langfristede aktiver</t>
  </si>
  <si>
    <t>Pengestrømme fra investeringsaktiviteter (CFFI)</t>
  </si>
  <si>
    <t>Afdrag på langfristet gæld</t>
  </si>
  <si>
    <t>Provenue ved låneoptagelse</t>
  </si>
  <si>
    <t>Køb af egne aktier</t>
  </si>
  <si>
    <t>Andre reguleringer</t>
  </si>
  <si>
    <t>Pengestrømme fra finansieringsaktiviteter (CFFF)</t>
  </si>
  <si>
    <t>Årets pengestrømme, netto</t>
  </si>
  <si>
    <t>Likviditetsposition, netto primo</t>
  </si>
  <si>
    <t>Valutkursregulering af likviditetspostion</t>
  </si>
  <si>
    <t>Likviditetsposition, netto ultimo</t>
  </si>
  <si>
    <t>Aktie-</t>
  </si>
  <si>
    <t>kapital</t>
  </si>
  <si>
    <t>Valutaomregnings-</t>
  </si>
  <si>
    <t>reserve</t>
  </si>
  <si>
    <t>Sikrings-</t>
  </si>
  <si>
    <t>Overført</t>
  </si>
  <si>
    <t>resultat</t>
  </si>
  <si>
    <t>William</t>
  </si>
  <si>
    <t>Demant</t>
  </si>
  <si>
    <t>Holding A/S'</t>
  </si>
  <si>
    <t>Aktionærernes</t>
  </si>
  <si>
    <t>andel</t>
  </si>
  <si>
    <t>Minoritets</t>
  </si>
  <si>
    <t>interessernes</t>
  </si>
  <si>
    <t>Egenkapital 1.1.2009</t>
  </si>
  <si>
    <t>Salg af aktier til medarbejdere</t>
  </si>
  <si>
    <t>Egenkapital 31.12.2009</t>
  </si>
  <si>
    <t>Kapitalnedsættelse ved annullering af egne aktier</t>
  </si>
  <si>
    <t>Egenkapital 31.12.2010</t>
  </si>
  <si>
    <t>Totalindkomst for regnskabsåret</t>
  </si>
  <si>
    <t>Øvrige egenkapitalbevægelser</t>
  </si>
  <si>
    <t>Egenkapital 31.12.2011</t>
  </si>
  <si>
    <t>Egenkapital 31.12.2012</t>
  </si>
  <si>
    <t>Egenkapital 31.12.2013</t>
  </si>
  <si>
    <t>Egenkapital 31.12.2014</t>
  </si>
  <si>
    <t>Tilgodehavender fra salg</t>
  </si>
  <si>
    <t>Gæld til associerede virksomheder og joint ventures</t>
  </si>
  <si>
    <t>Modtagne dividender</t>
  </si>
  <si>
    <t>Transaktioner med minoritetsaktionærer</t>
  </si>
  <si>
    <t>Egenkapital 31.12.2015</t>
  </si>
  <si>
    <t>Forudbetalinger og aktiver under udførelse</t>
  </si>
  <si>
    <t>Køb af virksomheder</t>
  </si>
  <si>
    <t xml:space="preserve">  </t>
  </si>
  <si>
    <t>Egenkapital 31.12.2016</t>
  </si>
  <si>
    <t>Udbytte til minoritetsaktionærer</t>
  </si>
  <si>
    <t>Egenkapital 31.12.2017</t>
  </si>
  <si>
    <t>Egenkapital 31.12.2018</t>
  </si>
  <si>
    <t>Effekt af ændringer i regnskabspraksis</t>
  </si>
  <si>
    <t>Aktieaflønning</t>
  </si>
  <si>
    <t>Egenkapital 31.12.2019</t>
  </si>
  <si>
    <t>Leasede aktiver</t>
  </si>
  <si>
    <t>Leasingforpligtelse</t>
  </si>
  <si>
    <t>Låntagning</t>
  </si>
  <si>
    <t>Andre driftsindtægter</t>
  </si>
  <si>
    <t>Afdrag på leasingforpligtelser</t>
  </si>
  <si>
    <t>Egenkapital 31.12.2020</t>
  </si>
  <si>
    <t>Minoritetsaktionærer ved virksomhedsovertagelse</t>
  </si>
  <si>
    <t>Ændring i kortfristede bankfaciliteter</t>
  </si>
  <si>
    <t>Egenkapital 31.12.2021</t>
  </si>
  <si>
    <t>Udlån til kunder</t>
  </si>
  <si>
    <t>Egenkapital 31.12.2022</t>
  </si>
  <si>
    <t>Andre egenkapitalbevægelser</t>
  </si>
  <si>
    <t>Årets pengestrømme, netto - fortsættende aktiviteter</t>
  </si>
  <si>
    <t>Årets pengestrømme, netto - ophørende aktiviteter</t>
  </si>
  <si>
    <t>Forpligtelser relateret til aktiver bestemt for salg</t>
  </si>
  <si>
    <t>Aktiver bestemt for salg</t>
  </si>
  <si>
    <t>Egenkapital 31.12.2023</t>
  </si>
  <si>
    <t>Egenkapital, primo</t>
  </si>
  <si>
    <t>Netto dividende (d)</t>
  </si>
  <si>
    <t>Noter</t>
  </si>
  <si>
    <t>Årets begyndende egenkapital</t>
  </si>
  <si>
    <t>Udstedelse af aktier til medarbejdere</t>
  </si>
  <si>
    <t>Tilbagekøb af virksomhedens egne aktier</t>
  </si>
  <si>
    <t>Finansielle transaktioner med aktionærer, der ejer mindre andele</t>
  </si>
  <si>
    <t>Andre ændringer i egenkapitalen, som ikke er specificeret</t>
  </si>
  <si>
    <t>Ændringer i egenkapitalen som følge af køb af andre virksomheder, hvor der er minoritetsaktionærer</t>
  </si>
  <si>
    <t>Rapporteret totalindkomst</t>
  </si>
  <si>
    <t>Korrigeret totalindkomst for regnskabsåret</t>
  </si>
  <si>
    <t>ROCE</t>
  </si>
  <si>
    <t>Egenkapital, ultimo</t>
  </si>
  <si>
    <t>Vi bruger et vægtet gennemsnit af de to egenkapitaler</t>
  </si>
  <si>
    <t>Skal lægges til for at finde den faktisk indkomst (det er en omkostning at give aktieaflønning)</t>
  </si>
  <si>
    <t>Tages bare fra toplinjen/rapporten</t>
  </si>
  <si>
    <t>Egenkapital_t+1 = Egenkapital_t + CI + d</t>
  </si>
  <si>
    <t>Operating assets (OA)</t>
  </si>
  <si>
    <t>Alle immaterielle aktiver er driftsaktiver</t>
  </si>
  <si>
    <t>Operating liabilities (OL)</t>
  </si>
  <si>
    <t>Stort set alle materielle aktiver er driftsaktiver</t>
  </si>
  <si>
    <t>Der er kun likvide beholdninger og aktiver bestemt for salg som ikke er med</t>
  </si>
  <si>
    <t>Husk: Ikke tag noget fra egenkapital her</t>
  </si>
  <si>
    <t>Det er primært dem som ikke har med låntagning og leasingforpligtelser at gøre!</t>
  </si>
  <si>
    <t>Net operating assets (NOA)</t>
  </si>
  <si>
    <t>Summen af alle driftsaktiver - summen af alle driftsforpligtelser</t>
  </si>
  <si>
    <t>Financial obligations</t>
  </si>
  <si>
    <t>Net financial obligations (NFO)</t>
  </si>
  <si>
    <t>Finansielt aktiv - ganget med -1</t>
  </si>
  <si>
    <t>Summen af alle finansielle forpligtelser - summen af alle finansielle aktiver</t>
  </si>
  <si>
    <t>Egenkapital (taget fra rapport)</t>
  </si>
  <si>
    <t>Egenkapital (NOA - NFO)</t>
  </si>
  <si>
    <t>Bemærk at disse er med minoritetsinteresser!</t>
  </si>
  <si>
    <t>Minority interest (MIN)</t>
  </si>
  <si>
    <t>CSE (for WD aktionærerne!)</t>
  </si>
  <si>
    <t>Er også opgjort i egenkapitalen!</t>
  </si>
  <si>
    <t>Reformuleret totalindkomstopgørelser</t>
  </si>
  <si>
    <t>Driftoverskud fra salg (før skat)</t>
  </si>
  <si>
    <t>Tilbageført aktieaflønning</t>
  </si>
  <si>
    <t>Andet driftsoverskud</t>
  </si>
  <si>
    <t>hensatte forpligtelser (og ikke en omkostning fra at handle på lånemarkederne).</t>
  </si>
  <si>
    <r>
      <rPr>
        <vertAlign val="superscript"/>
        <sz val="10"/>
        <color rgb="FFFF0000"/>
        <rFont val="Calibri"/>
        <family val="2"/>
        <scheme val="minor"/>
      </rPr>
      <t>2</t>
    </r>
    <r>
      <rPr>
        <sz val="10"/>
        <color theme="1"/>
        <rFont val="Calibri"/>
        <family val="2"/>
        <scheme val="minor"/>
      </rPr>
      <t xml:space="preserve"> Reklassificeret fra finansielle omkostninger. Dette er omkostning fra langfristede </t>
    </r>
  </si>
  <si>
    <t>finansiering ifm. salg (og ikke overskud fra at holde finansielle aktiver).</t>
  </si>
  <si>
    <r>
      <rPr>
        <vertAlign val="superscript"/>
        <sz val="10"/>
        <color rgb="FFFF0000"/>
        <rFont val="Calibri"/>
        <family val="2"/>
        <scheme val="minor"/>
      </rPr>
      <t>1</t>
    </r>
    <r>
      <rPr>
        <sz val="10"/>
        <color theme="1"/>
        <rFont val="Calibri"/>
        <family val="2"/>
        <scheme val="minor"/>
      </rPr>
      <t xml:space="preserve"> Reklassificeret fra finansielle indtægter. Dette er overskud fra at tilvejebringe</t>
    </r>
  </si>
  <si>
    <t>v</t>
  </si>
  <si>
    <t>Totalindkomst aktionærer i William Demant Holdding A/S</t>
  </si>
  <si>
    <t>Totalindkomst, koncern</t>
  </si>
  <si>
    <t>Netto finansielle omkostninger (efter skat)</t>
  </si>
  <si>
    <r>
      <t xml:space="preserve">Værdiregulering overført til finansielle omkostninger, </t>
    </r>
    <r>
      <rPr>
        <sz val="10"/>
        <color rgb="FFFF0000"/>
        <rFont val="Calibri"/>
        <family val="2"/>
        <scheme val="minor"/>
      </rPr>
      <t>efter skat</t>
    </r>
  </si>
  <si>
    <t>Årets resultat, ophørende aktiviteter</t>
  </si>
  <si>
    <t>Skattefordel (25 pct. 2014:24,5%. 2015:23,5%. 2016 og 2017-&gt; 22,0%)</t>
  </si>
  <si>
    <t>Netto finansielle omkotninger (før skat)</t>
  </si>
  <si>
    <t>[4.2]</t>
  </si>
  <si>
    <t xml:space="preserve">Finansielle omkostninger </t>
  </si>
  <si>
    <t>Samlet driftsoverskud</t>
  </si>
  <si>
    <r>
      <t xml:space="preserve">Effekt af ændringer i regnskabspraksis, </t>
    </r>
    <r>
      <rPr>
        <sz val="10"/>
        <color rgb="FFFF0000"/>
        <rFont val="Calibri"/>
        <family val="2"/>
        <scheme val="minor"/>
      </rPr>
      <t>efter skat</t>
    </r>
  </si>
  <si>
    <t>OCI</t>
  </si>
  <si>
    <r>
      <t xml:space="preserve">Aktuarmæssige gevinster/(tab) på ydelsesbaserede pensionsordninger, </t>
    </r>
    <r>
      <rPr>
        <sz val="10"/>
        <color rgb="FFFF0000"/>
        <rFont val="Calibri"/>
        <family val="2"/>
        <scheme val="minor"/>
      </rPr>
      <t>efter skat</t>
    </r>
  </si>
  <si>
    <r>
      <t xml:space="preserve">Værdiregulering overført til nettoomsætning, </t>
    </r>
    <r>
      <rPr>
        <sz val="10"/>
        <color rgb="FFFF0000"/>
        <rFont val="Calibri"/>
        <family val="2"/>
        <scheme val="minor"/>
      </rPr>
      <t>efter skat</t>
    </r>
  </si>
  <si>
    <r>
      <t xml:space="preserve">Værdiregulering af sikringsinstrumenter, </t>
    </r>
    <r>
      <rPr>
        <sz val="10"/>
        <color rgb="FFFF0000"/>
        <rFont val="Calibri"/>
        <family val="2"/>
        <scheme val="minor"/>
      </rPr>
      <t>efter skat</t>
    </r>
  </si>
  <si>
    <r>
      <t>Valutakursregulering vedrørende udenlandske virksomheder, der kan blive reklassificeret til resultatopgørelsen,</t>
    </r>
    <r>
      <rPr>
        <sz val="10"/>
        <color rgb="FFFF0000"/>
        <rFont val="Calibri"/>
        <family val="2"/>
        <scheme val="minor"/>
      </rPr>
      <t xml:space="preserve"> efter skat</t>
    </r>
  </si>
  <si>
    <r>
      <t xml:space="preserve">Valutakursregulering vedrørende udenlandske virksomheder, </t>
    </r>
    <r>
      <rPr>
        <sz val="10"/>
        <color rgb="FFFF0000"/>
        <rFont val="Calibri"/>
        <family val="2"/>
        <scheme val="minor"/>
      </rPr>
      <t>efter skat</t>
    </r>
  </si>
  <si>
    <r>
      <t xml:space="preserve">Resultatandele i associerede virksomheder, </t>
    </r>
    <r>
      <rPr>
        <sz val="10"/>
        <color rgb="FFFF0000"/>
        <rFont val="Calibri"/>
        <family val="2"/>
        <scheme val="minor"/>
      </rPr>
      <t>efter skat</t>
    </r>
  </si>
  <si>
    <t>Skat herpå (25 pct. 2014:24,5% 2015:23,5% 2016 og 2017-&gt; 22,0%)</t>
  </si>
  <si>
    <r>
      <t>Renteelement, diskonterede forpligtelser</t>
    </r>
    <r>
      <rPr>
        <vertAlign val="superscript"/>
        <sz val="10"/>
        <color rgb="FFFF0000"/>
        <rFont val="Calibri"/>
        <family val="2"/>
        <scheme val="minor"/>
      </rPr>
      <t>2</t>
    </r>
  </si>
  <si>
    <r>
      <t>Renter af tilgodehavender</t>
    </r>
    <r>
      <rPr>
        <vertAlign val="superscript"/>
        <sz val="10"/>
        <color rgb="FFFF0000"/>
        <rFont val="Calibri"/>
        <family val="2"/>
        <scheme val="minor"/>
      </rPr>
      <t>1</t>
    </r>
  </si>
  <si>
    <t>Administrationsomkostninger, korrigeret</t>
  </si>
  <si>
    <t>Restruktureringsomkostninger</t>
  </si>
  <si>
    <t>Nedskrivninger på materielle aktiver</t>
  </si>
  <si>
    <t>Gevinst ved salg af anlægsaktiver</t>
  </si>
  <si>
    <t>Gevinster/tab ved salg af anlægsaktiver</t>
  </si>
  <si>
    <t>[1.3] [1.8]</t>
  </si>
  <si>
    <t>Administrationsomkostninger, rapporteret</t>
  </si>
  <si>
    <t>Distibutionsomkostninger, korrigeret</t>
  </si>
  <si>
    <t>Driftsoverskud fra salg (efter skat)</t>
  </si>
  <si>
    <t>Skat på driftsoverskud fra salg</t>
  </si>
  <si>
    <t>Distibutionsomkostninger, rapporteret</t>
  </si>
  <si>
    <t>Skat allokeret til andet driftsoveskud</t>
  </si>
  <si>
    <t>Skattefordel på gæld</t>
  </si>
  <si>
    <t>Forsknings- og udviklingsomkostninger, korrigeret</t>
  </si>
  <si>
    <t>Rapporteret skatteomkostning</t>
  </si>
  <si>
    <t>Forsknings- og udviklingsomkostninger, rapporteret</t>
  </si>
  <si>
    <t>Produktionsomkostninger, korrigeret</t>
  </si>
  <si>
    <t>Produktionsomkostninger, rapporteret</t>
  </si>
  <si>
    <t>Note [2020]</t>
  </si>
  <si>
    <r>
      <t xml:space="preserve">Metode 1: FCF = OI - </t>
    </r>
    <r>
      <rPr>
        <b/>
        <sz val="11"/>
        <color theme="1"/>
        <rFont val="Symbol"/>
        <family val="1"/>
        <charset val="2"/>
      </rPr>
      <t>D</t>
    </r>
    <r>
      <rPr>
        <b/>
        <sz val="11"/>
        <color theme="1"/>
        <rFont val="Calibri"/>
        <family val="2"/>
        <scheme val="minor"/>
      </rPr>
      <t>NOA</t>
    </r>
  </si>
  <si>
    <t>OI</t>
  </si>
  <si>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Calibri"/>
        <family val="2"/>
        <scheme val="minor"/>
      </rPr>
      <t>NOA</t>
    </r>
  </si>
  <si>
    <t>FCF</t>
  </si>
  <si>
    <r>
      <t xml:space="preserve">Metode 2: FCF = NFE - </t>
    </r>
    <r>
      <rPr>
        <b/>
        <sz val="11"/>
        <color theme="1"/>
        <rFont val="Symbol"/>
        <family val="1"/>
        <charset val="2"/>
      </rPr>
      <t>D</t>
    </r>
    <r>
      <rPr>
        <b/>
        <sz val="11"/>
        <color theme="1"/>
        <rFont val="Calibri"/>
        <family val="2"/>
        <scheme val="minor"/>
      </rPr>
      <t xml:space="preserve">NFO + </t>
    </r>
    <r>
      <rPr>
        <b/>
        <i/>
        <sz val="11"/>
        <color theme="1"/>
        <rFont val="Calibri"/>
        <family val="2"/>
        <scheme val="minor"/>
      </rPr>
      <t>d</t>
    </r>
    <r>
      <rPr>
        <b/>
        <sz val="11"/>
        <color theme="1"/>
        <rFont val="Calibri"/>
        <family val="2"/>
        <scheme val="minor"/>
      </rPr>
      <t xml:space="preserve"> + MININC - </t>
    </r>
    <r>
      <rPr>
        <b/>
        <sz val="11"/>
        <color theme="1"/>
        <rFont val="Symbol"/>
        <family val="1"/>
        <charset val="2"/>
      </rPr>
      <t>D</t>
    </r>
    <r>
      <rPr>
        <b/>
        <sz val="11"/>
        <color theme="1"/>
        <rFont val="Calibri"/>
        <family val="2"/>
        <scheme val="minor"/>
      </rPr>
      <t>MIN</t>
    </r>
  </si>
  <si>
    <t>NFE</t>
  </si>
  <si>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Calibri"/>
        <family val="2"/>
        <scheme val="minor"/>
      </rPr>
      <t>NFO</t>
    </r>
  </si>
  <si>
    <t>MININC</t>
  </si>
  <si>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Calibri"/>
        <family val="2"/>
        <scheme val="minor"/>
      </rPr>
      <t>MIN</t>
    </r>
  </si>
  <si>
    <t>Har vi fra reformuleret totalindkomstopgørelsen</t>
  </si>
  <si>
    <t>Har vi fra reformuleret balancen</t>
  </si>
  <si>
    <t>Har vi fra reformuleret balance</t>
  </si>
  <si>
    <t>d (netto dividende)</t>
  </si>
  <si>
    <t>Har vi fra reformuleret egenkapital</t>
  </si>
  <si>
    <t>Rapportereret pengestrøm fra driftsaktivitet</t>
  </si>
  <si>
    <t>Netto betalte finansielle omkostninger m.v.</t>
  </si>
  <si>
    <t>Skattefordel (22,0%)</t>
  </si>
  <si>
    <t>Netto renteudbetalinger (efter skat)</t>
  </si>
  <si>
    <t>Korrigeret pengestrøm fra driftsaktivitet</t>
  </si>
  <si>
    <t>Rapporteret pengestrøm fra investeringsaktivitet</t>
  </si>
  <si>
    <t>Netto gældsfinansiering: (F)</t>
  </si>
  <si>
    <t>Ændring i kortfristet rentebærende bankæld</t>
  </si>
  <si>
    <t>Påtaget leasingforpligtelse</t>
  </si>
  <si>
    <t>Investering i finansielle aktiver (netto valutakursreguleringer)</t>
  </si>
  <si>
    <t>Egenkapitalfinansiering: (d)</t>
  </si>
  <si>
    <r>
      <t>Samlet finansieringsstrøm (</t>
    </r>
    <r>
      <rPr>
        <b/>
        <i/>
        <sz val="11"/>
        <color theme="1"/>
        <rFont val="Calibri"/>
        <family val="2"/>
        <scheme val="minor"/>
      </rPr>
      <t>F</t>
    </r>
    <r>
      <rPr>
        <b/>
        <sz val="11"/>
        <color theme="1"/>
        <rFont val="Calibri"/>
        <family val="2"/>
        <scheme val="minor"/>
      </rPr>
      <t>) + (</t>
    </r>
    <r>
      <rPr>
        <b/>
        <i/>
        <sz val="11"/>
        <color theme="1"/>
        <rFont val="Calibri"/>
        <family val="2"/>
        <scheme val="minor"/>
      </rPr>
      <t>d</t>
    </r>
    <r>
      <rPr>
        <b/>
        <sz val="11"/>
        <color theme="1"/>
        <rFont val="Calibri"/>
        <family val="2"/>
        <scheme val="minor"/>
      </rPr>
      <t>)</t>
    </r>
  </si>
  <si>
    <t>Reformuleret pengestrømopgørelse</t>
  </si>
  <si>
    <t>Sammendragne reformulerede egenkapitalopgørelser</t>
  </si>
  <si>
    <t>Mio. DKK</t>
  </si>
  <si>
    <t>Saldo primo</t>
  </si>
  <si>
    <r>
      <t>Netto dividende (</t>
    </r>
    <r>
      <rPr>
        <i/>
        <sz val="11"/>
        <color theme="1"/>
        <rFont val="Calibri"/>
        <family val="2"/>
        <scheme val="minor"/>
      </rPr>
      <t>d</t>
    </r>
    <r>
      <rPr>
        <sz val="11"/>
        <color theme="1"/>
        <rFont val="Calibri"/>
        <family val="2"/>
        <scheme val="minor"/>
      </rPr>
      <t>)</t>
    </r>
  </si>
  <si>
    <t>Totalindkomst ordinære aktionærer</t>
  </si>
  <si>
    <t>Saldo ultimo</t>
  </si>
  <si>
    <t>Sammendragne balancer</t>
  </si>
  <si>
    <t>Immaterielle langfristede aktiver</t>
  </si>
  <si>
    <t>Materielle langfristede aktiver</t>
  </si>
  <si>
    <t>Andre kortfristede aktiver</t>
  </si>
  <si>
    <t>Andre driftsforpligtelser</t>
  </si>
  <si>
    <t>Netto driftsaktiver (NOA)</t>
  </si>
  <si>
    <t>Ordinær egenkapital (CSE)</t>
  </si>
  <si>
    <t>Minoritetsinteresser (MIN)</t>
  </si>
  <si>
    <t>Netto finansielle forpligtelser (NFO)</t>
  </si>
  <si>
    <t>Samlet finansiering</t>
  </si>
  <si>
    <t>Sammendragne reformulerede resultatpgørelser</t>
  </si>
  <si>
    <t>Andet driftsoverskud (efter skat)</t>
  </si>
  <si>
    <t>Minoritetsinteressers andel</t>
  </si>
  <si>
    <t>Niveau 1</t>
  </si>
  <si>
    <t>ROCE før MIN</t>
  </si>
  <si>
    <t>RNOA</t>
  </si>
  <si>
    <t>FLEV</t>
  </si>
  <si>
    <t>NBC</t>
  </si>
  <si>
    <t>SPREAD</t>
  </si>
  <si>
    <t>MIS</t>
  </si>
  <si>
    <t>Niveau 2</t>
  </si>
  <si>
    <t>PM</t>
  </si>
  <si>
    <t>ATO</t>
  </si>
  <si>
    <t>Niveau 3 Analyse af PM</t>
  </si>
  <si>
    <t>Bruttoavance (gross margin)</t>
  </si>
  <si>
    <t>Skat på OI sales</t>
  </si>
  <si>
    <r>
      <t>PM</t>
    </r>
    <r>
      <rPr>
        <vertAlign val="subscript"/>
        <sz val="11"/>
        <color theme="1"/>
        <rFont val="Calibri"/>
        <family val="2"/>
        <scheme val="minor"/>
      </rPr>
      <t>sales</t>
    </r>
  </si>
  <si>
    <r>
      <t xml:space="preserve">PM </t>
    </r>
    <r>
      <rPr>
        <vertAlign val="subscript"/>
        <sz val="11"/>
        <color theme="1"/>
        <rFont val="Calibri"/>
        <family val="2"/>
        <scheme val="minor"/>
      </rPr>
      <t>other OI</t>
    </r>
  </si>
  <si>
    <t>Niveau 3 Analyse af ATO (inverse)</t>
  </si>
  <si>
    <t>Netto driftsaktiver / nettoomsætning</t>
  </si>
  <si>
    <t>Varebeholdninger / nettoomsætning</t>
  </si>
  <si>
    <t>Tilgodehavender fra salg / nettoomsætning</t>
  </si>
  <si>
    <t>Leverandørgæld / nettoomsætning</t>
  </si>
  <si>
    <t>Andre kortfristede driftsaktiver, netto / nettoomsætning</t>
  </si>
  <si>
    <t>Arbejdskapital / nettoomsætning</t>
  </si>
  <si>
    <t>Immaterielle langfristede aktiver / nettoomsætning</t>
  </si>
  <si>
    <t>Materielle langfristede aktiver / nettoomsætning</t>
  </si>
  <si>
    <t>Andre langfristede aktiver, netto / nettoomsætning</t>
  </si>
  <si>
    <t>Anlægskapital / nettoomsætning</t>
  </si>
  <si>
    <r>
      <t>Core OI</t>
    </r>
    <r>
      <rPr>
        <vertAlign val="subscript"/>
        <sz val="10"/>
        <color theme="1"/>
        <rFont val="Calibri"/>
        <family val="2"/>
        <scheme val="minor"/>
      </rPr>
      <t>salg</t>
    </r>
    <r>
      <rPr>
        <sz val="10"/>
        <color theme="1"/>
        <rFont val="Calibri"/>
        <family val="2"/>
        <scheme val="minor"/>
      </rPr>
      <t>/NOA</t>
    </r>
  </si>
  <si>
    <r>
      <t>Core OI</t>
    </r>
    <r>
      <rPr>
        <vertAlign val="subscript"/>
        <sz val="10"/>
        <color theme="1"/>
        <rFont val="Calibri"/>
        <family val="2"/>
        <scheme val="minor"/>
      </rPr>
      <t>other</t>
    </r>
    <r>
      <rPr>
        <sz val="10"/>
        <color theme="1"/>
        <rFont val="Calibri"/>
        <family val="2"/>
        <scheme val="minor"/>
      </rPr>
      <t>/NOA</t>
    </r>
  </si>
  <si>
    <t>Core RNOA</t>
  </si>
  <si>
    <t>UI/NOA</t>
  </si>
  <si>
    <r>
      <t>Core PM</t>
    </r>
    <r>
      <rPr>
        <vertAlign val="subscript"/>
        <sz val="10"/>
        <color theme="1"/>
        <rFont val="Calibri"/>
        <family val="2"/>
        <scheme val="minor"/>
      </rPr>
      <t>salg</t>
    </r>
  </si>
  <si>
    <t>Avance ved salg af aktiver, netto</t>
  </si>
  <si>
    <t>Nedskrivninger på materielle anlægsaktiver</t>
  </si>
  <si>
    <r>
      <rPr>
        <sz val="10"/>
        <color theme="1"/>
        <rFont val="Symbol"/>
        <family val="1"/>
        <charset val="2"/>
      </rPr>
      <t>D</t>
    </r>
    <r>
      <rPr>
        <sz val="10"/>
        <color theme="1"/>
        <rFont val="Calibri"/>
        <family val="2"/>
        <scheme val="minor"/>
      </rPr>
      <t>RNOA</t>
    </r>
  </si>
  <si>
    <t>Forventet afkast på pensionsaktiver</t>
  </si>
  <si>
    <r>
      <rPr>
        <sz val="10"/>
        <color theme="1"/>
        <rFont val="Symbol"/>
        <family val="1"/>
        <charset val="2"/>
      </rPr>
      <t>D</t>
    </r>
    <r>
      <rPr>
        <sz val="10"/>
        <color theme="1"/>
        <rFont val="Calibri"/>
        <family val="2"/>
        <scheme val="minor"/>
      </rPr>
      <t>CORE PMsales</t>
    </r>
  </si>
  <si>
    <t>Core OI salg (før-skat)</t>
  </si>
  <si>
    <r>
      <rPr>
        <sz val="10"/>
        <color theme="1"/>
        <rFont val="Symbol"/>
        <family val="1"/>
        <charset val="2"/>
      </rPr>
      <t>D</t>
    </r>
    <r>
      <rPr>
        <sz val="10"/>
        <color theme="1"/>
        <rFont val="Calibri"/>
        <family val="2"/>
        <scheme val="minor"/>
      </rPr>
      <t>ATO</t>
    </r>
  </si>
  <si>
    <r>
      <rPr>
        <sz val="10"/>
        <color theme="1"/>
        <rFont val="Symbol"/>
        <family val="1"/>
        <charset val="2"/>
      </rPr>
      <t>D</t>
    </r>
    <r>
      <rPr>
        <sz val="10"/>
        <color theme="1"/>
        <rFont val="Calibri"/>
        <family val="2"/>
        <scheme val="minor"/>
      </rPr>
      <t>CoreOIother</t>
    </r>
  </si>
  <si>
    <r>
      <rPr>
        <sz val="10"/>
        <color theme="1"/>
        <rFont val="Symbol"/>
        <family val="1"/>
        <charset val="2"/>
      </rPr>
      <t>D</t>
    </r>
    <r>
      <rPr>
        <sz val="10"/>
        <color theme="1"/>
        <rFont val="Calibri"/>
        <family val="2"/>
        <scheme val="minor"/>
      </rPr>
      <t>ui</t>
    </r>
  </si>
  <si>
    <t>Skat allokeret til core andet driftsoveskud</t>
  </si>
  <si>
    <t>Skat allokeret til usædvanlige driftsposter</t>
  </si>
  <si>
    <t>Core driftsoverskud fra salg (efter skat)</t>
  </si>
  <si>
    <t>Core andet driftsoverskud</t>
  </si>
  <si>
    <t>Andre driftindtægter</t>
  </si>
  <si>
    <t>Skat herpå (25 pct.; 2014 24,5%; 2015: 23,5%. 2016 og 2017-&gt; 22,0%)</t>
  </si>
  <si>
    <t xml:space="preserve"> </t>
  </si>
  <si>
    <t>Core OI i alt</t>
  </si>
  <si>
    <t>Skat herpå (25 pct.; 2014 24,5%; 2015: 23,5%. 2016 og 2017-&gt; :22,0%)</t>
  </si>
  <si>
    <r>
      <t>Finansielle omkostninger</t>
    </r>
    <r>
      <rPr>
        <vertAlign val="superscript"/>
        <sz val="10"/>
        <color rgb="FFFF0000"/>
        <rFont val="Calibri"/>
        <family val="2"/>
        <scheme val="minor"/>
      </rPr>
      <t xml:space="preserve">2 </t>
    </r>
  </si>
  <si>
    <r>
      <t>Finansielle indtægter</t>
    </r>
    <r>
      <rPr>
        <vertAlign val="superscript"/>
        <sz val="10"/>
        <color rgb="FFFF0000"/>
        <rFont val="Calibri"/>
        <family val="2"/>
        <scheme val="minor"/>
      </rPr>
      <t>1</t>
    </r>
  </si>
  <si>
    <t>Skattefordel (25 pct.; 2014:24,5%; 2015:23,5%;2016 og 2017-&gt; 22,0%)</t>
  </si>
  <si>
    <t>Netto finansielle omkotninger (efter skat)</t>
  </si>
  <si>
    <t>Totalindkomst koncernen</t>
  </si>
  <si>
    <t>WD blev handlet til kurs 296 den 31. dec 2023</t>
  </si>
  <si>
    <t xml:space="preserve">No-growth forecast </t>
  </si>
  <si>
    <t>WACC</t>
  </si>
  <si>
    <t>Core OI</t>
  </si>
  <si>
    <t>NOA</t>
  </si>
  <si>
    <r>
      <t>Core ReOI</t>
    </r>
    <r>
      <rPr>
        <vertAlign val="subscript"/>
        <sz val="11"/>
        <color theme="1"/>
        <rFont val="Calibri"/>
        <family val="2"/>
        <scheme val="minor"/>
      </rPr>
      <t>0</t>
    </r>
  </si>
  <si>
    <t>3.177 - (0,076 x 21.719)</t>
  </si>
  <si>
    <t>Forecast of OI</t>
  </si>
  <si>
    <t>3.177 + (0,076 x 741 )</t>
  </si>
  <si>
    <r>
      <t>Forecast of ReOI</t>
    </r>
    <r>
      <rPr>
        <vertAlign val="subscript"/>
        <sz val="11"/>
        <color theme="3" tint="0.39994506668294322"/>
        <rFont val="Calibri"/>
        <family val="2"/>
        <scheme val="minor"/>
      </rPr>
      <t>1</t>
    </r>
  </si>
  <si>
    <t>3.233 - (0,076 x 22.460)</t>
  </si>
  <si>
    <t>Værdi af egenkapital</t>
  </si>
  <si>
    <r>
      <t>V</t>
    </r>
    <r>
      <rPr>
        <vertAlign val="superscript"/>
        <sz val="11"/>
        <color theme="1"/>
        <rFont val="Calibri"/>
        <family val="2"/>
        <scheme val="minor"/>
      </rPr>
      <t>E</t>
    </r>
    <r>
      <rPr>
        <vertAlign val="subscript"/>
        <sz val="11"/>
        <color theme="1"/>
        <rFont val="Calibri"/>
        <family val="2"/>
        <scheme val="minor"/>
      </rPr>
      <t>2023</t>
    </r>
    <r>
      <rPr>
        <sz val="11"/>
        <color theme="1"/>
        <rFont val="Calibri"/>
        <family val="2"/>
        <scheme val="minor"/>
      </rPr>
      <t xml:space="preserve"> = CSE</t>
    </r>
    <r>
      <rPr>
        <vertAlign val="subscript"/>
        <sz val="11"/>
        <color theme="1"/>
        <rFont val="Calibri"/>
        <family val="2"/>
        <scheme val="minor"/>
      </rPr>
      <t>2023</t>
    </r>
    <r>
      <rPr>
        <sz val="11"/>
        <color theme="1"/>
        <rFont val="Calibri"/>
        <family val="2"/>
        <scheme val="minor"/>
      </rPr>
      <t xml:space="preserve"> + ReOI</t>
    </r>
    <r>
      <rPr>
        <vertAlign val="subscript"/>
        <sz val="11"/>
        <color theme="1"/>
        <rFont val="Calibri"/>
        <family val="2"/>
        <scheme val="minor"/>
      </rPr>
      <t>2024</t>
    </r>
    <r>
      <rPr>
        <sz val="11"/>
        <color theme="1"/>
        <rFont val="Calibri"/>
        <family val="2"/>
        <scheme val="minor"/>
      </rPr>
      <t>/wacc = 9.254 + 1.526/0,076</t>
    </r>
  </si>
  <si>
    <t>Værdi per aktie 220,5 stk.</t>
  </si>
  <si>
    <r>
      <t xml:space="preserve">Værdi af driften </t>
    </r>
    <r>
      <rPr>
        <b/>
        <i/>
        <sz val="11"/>
        <color theme="1"/>
        <rFont val="Calibri"/>
        <family val="2"/>
        <scheme val="minor"/>
      </rPr>
      <t>(ReOI modellen)</t>
    </r>
  </si>
  <si>
    <r>
      <t>V</t>
    </r>
    <r>
      <rPr>
        <vertAlign val="superscript"/>
        <sz val="11"/>
        <color theme="1"/>
        <rFont val="Calibri"/>
        <family val="2"/>
        <scheme val="minor"/>
      </rPr>
      <t>NOA</t>
    </r>
    <r>
      <rPr>
        <vertAlign val="subscript"/>
        <sz val="11"/>
        <color theme="1"/>
        <rFont val="Calibri"/>
        <family val="2"/>
        <scheme val="minor"/>
      </rPr>
      <t>2023</t>
    </r>
    <r>
      <rPr>
        <sz val="11"/>
        <color theme="1"/>
        <rFont val="Calibri"/>
        <family val="2"/>
        <scheme val="minor"/>
      </rPr>
      <t xml:space="preserve"> = V</t>
    </r>
    <r>
      <rPr>
        <vertAlign val="superscript"/>
        <sz val="11"/>
        <color theme="1"/>
        <rFont val="Calibri"/>
        <family val="2"/>
        <scheme val="minor"/>
      </rPr>
      <t>E</t>
    </r>
    <r>
      <rPr>
        <vertAlign val="subscript"/>
        <sz val="11"/>
        <color theme="1"/>
        <rFont val="Calibri"/>
        <family val="2"/>
        <scheme val="minor"/>
      </rPr>
      <t>2023</t>
    </r>
    <r>
      <rPr>
        <sz val="11"/>
        <color theme="1"/>
        <rFont val="Calibri"/>
        <family val="2"/>
        <scheme val="minor"/>
      </rPr>
      <t xml:space="preserve"> + NFO</t>
    </r>
    <r>
      <rPr>
        <vertAlign val="subscript"/>
        <sz val="11"/>
        <color theme="1"/>
        <rFont val="Calibri"/>
        <family val="2"/>
        <scheme val="minor"/>
      </rPr>
      <t>2023</t>
    </r>
    <r>
      <rPr>
        <sz val="11"/>
        <color theme="1"/>
        <rFont val="Calibri"/>
        <family val="2"/>
        <scheme val="minor"/>
      </rPr>
      <t xml:space="preserve"> + MIN</t>
    </r>
    <r>
      <rPr>
        <vertAlign val="subscript"/>
        <sz val="11"/>
        <color theme="1"/>
        <rFont val="Calibri"/>
        <family val="2"/>
        <scheme val="minor"/>
      </rPr>
      <t xml:space="preserve">2023 </t>
    </r>
    <r>
      <rPr>
        <sz val="11"/>
        <color theme="1"/>
        <rFont val="Calibri"/>
        <family val="2"/>
        <scheme val="minor"/>
      </rPr>
      <t>= 29.336 + 13.122 + 82</t>
    </r>
  </si>
  <si>
    <r>
      <t>V</t>
    </r>
    <r>
      <rPr>
        <vertAlign val="superscript"/>
        <sz val="11"/>
        <color theme="1"/>
        <rFont val="Calibri"/>
        <family val="2"/>
        <scheme val="minor"/>
      </rPr>
      <t>NOA</t>
    </r>
    <r>
      <rPr>
        <vertAlign val="subscript"/>
        <sz val="11"/>
        <color theme="1"/>
        <rFont val="Calibri"/>
        <family val="2"/>
        <scheme val="minor"/>
      </rPr>
      <t>2023</t>
    </r>
    <r>
      <rPr>
        <sz val="11"/>
        <color theme="1"/>
        <rFont val="Calibri"/>
        <family val="2"/>
        <scheme val="minor"/>
      </rPr>
      <t xml:space="preserve"> = NOA</t>
    </r>
    <r>
      <rPr>
        <vertAlign val="subscript"/>
        <sz val="11"/>
        <color theme="1"/>
        <rFont val="Calibri"/>
        <family val="2"/>
        <scheme val="minor"/>
      </rPr>
      <t>2023</t>
    </r>
    <r>
      <rPr>
        <sz val="11"/>
        <color theme="1"/>
        <rFont val="Calibri"/>
        <family val="2"/>
        <scheme val="minor"/>
      </rPr>
      <t xml:space="preserve"> + ReOI</t>
    </r>
    <r>
      <rPr>
        <vertAlign val="subscript"/>
        <sz val="11"/>
        <color theme="1"/>
        <rFont val="Calibri"/>
        <family val="2"/>
        <scheme val="minor"/>
      </rPr>
      <t>2024</t>
    </r>
    <r>
      <rPr>
        <sz val="11"/>
        <color theme="1"/>
        <rFont val="Calibri"/>
        <family val="2"/>
        <scheme val="minor"/>
      </rPr>
      <t>/wacc = 22.460 + 1.526/0,076</t>
    </r>
  </si>
  <si>
    <t>AOIG-modellen</t>
  </si>
  <si>
    <r>
      <t>V</t>
    </r>
    <r>
      <rPr>
        <vertAlign val="superscript"/>
        <sz val="11"/>
        <color theme="1"/>
        <rFont val="Calibri"/>
        <family val="2"/>
        <scheme val="minor"/>
      </rPr>
      <t>NOA</t>
    </r>
    <r>
      <rPr>
        <vertAlign val="subscript"/>
        <sz val="11"/>
        <color theme="1"/>
        <rFont val="Calibri"/>
        <family val="2"/>
        <scheme val="minor"/>
      </rPr>
      <t>2023</t>
    </r>
    <r>
      <rPr>
        <sz val="11"/>
        <color theme="1"/>
        <rFont val="Calibri"/>
        <family val="2"/>
        <scheme val="minor"/>
      </rPr>
      <t xml:space="preserve"> = OI</t>
    </r>
    <r>
      <rPr>
        <vertAlign val="subscript"/>
        <sz val="11"/>
        <color theme="1"/>
        <rFont val="Calibri"/>
        <family val="2"/>
        <scheme val="minor"/>
      </rPr>
      <t>2024</t>
    </r>
    <r>
      <rPr>
        <sz val="11"/>
        <color theme="1"/>
        <rFont val="Calibri"/>
        <family val="2"/>
        <scheme val="minor"/>
      </rPr>
      <t>/wacc = 3.233/0,076</t>
    </r>
  </si>
  <si>
    <t>The growth forecast</t>
  </si>
  <si>
    <r>
      <t>Core OI</t>
    </r>
    <r>
      <rPr>
        <vertAlign val="subscript"/>
        <sz val="11"/>
        <color theme="1"/>
        <rFont val="Calibri"/>
        <family val="2"/>
        <scheme val="minor"/>
      </rPr>
      <t xml:space="preserve">2023 </t>
    </r>
    <r>
      <rPr>
        <sz val="11"/>
        <color theme="1"/>
        <rFont val="Calibri"/>
        <family val="2"/>
        <scheme val="minor"/>
      </rPr>
      <t>x NOA</t>
    </r>
    <r>
      <rPr>
        <vertAlign val="subscript"/>
        <sz val="11"/>
        <color theme="1"/>
        <rFont val="Calibri"/>
        <family val="2"/>
        <scheme val="minor"/>
      </rPr>
      <t>2022</t>
    </r>
  </si>
  <si>
    <t xml:space="preserve">Vækstrate </t>
  </si>
  <si>
    <t>Forecast af OI</t>
  </si>
  <si>
    <t>22.460 x 14,6%</t>
  </si>
  <si>
    <t>Forecast af ReOI</t>
  </si>
  <si>
    <t>(0,146 - 0,076) x 22.460</t>
  </si>
  <si>
    <r>
      <t>V</t>
    </r>
    <r>
      <rPr>
        <vertAlign val="superscript"/>
        <sz val="11"/>
        <color theme="1"/>
        <rFont val="Calibri"/>
        <family val="2"/>
        <scheme val="minor"/>
      </rPr>
      <t>E</t>
    </r>
    <r>
      <rPr>
        <vertAlign val="subscript"/>
        <sz val="11"/>
        <color theme="1"/>
        <rFont val="Calibri"/>
        <family val="2"/>
        <scheme val="minor"/>
      </rPr>
      <t>2023</t>
    </r>
    <r>
      <rPr>
        <sz val="11"/>
        <color theme="1"/>
        <rFont val="Calibri"/>
        <family val="2"/>
        <scheme val="minor"/>
      </rPr>
      <t>= CSE</t>
    </r>
    <r>
      <rPr>
        <vertAlign val="subscript"/>
        <sz val="11"/>
        <color theme="1"/>
        <rFont val="Calibri"/>
        <family val="2"/>
        <scheme val="minor"/>
      </rPr>
      <t xml:space="preserve">2023 </t>
    </r>
    <r>
      <rPr>
        <sz val="11"/>
        <color theme="1"/>
        <rFont val="Calibri"/>
        <family val="2"/>
        <scheme val="minor"/>
      </rPr>
      <t>+ ReOI</t>
    </r>
    <r>
      <rPr>
        <vertAlign val="subscript"/>
        <sz val="11"/>
        <color theme="1"/>
        <rFont val="Calibri"/>
        <family val="2"/>
        <scheme val="minor"/>
      </rPr>
      <t>2024</t>
    </r>
    <r>
      <rPr>
        <sz val="11"/>
        <color theme="1"/>
        <rFont val="Calibri"/>
        <family val="2"/>
        <scheme val="minor"/>
      </rPr>
      <t>/(wacc -g) = 9.254 + 1.578/(0,076 - 0,03)</t>
    </r>
  </si>
  <si>
    <r>
      <t>V</t>
    </r>
    <r>
      <rPr>
        <vertAlign val="superscript"/>
        <sz val="11"/>
        <color theme="1"/>
        <rFont val="Calibri"/>
        <family val="2"/>
        <scheme val="minor"/>
      </rPr>
      <t>NOA</t>
    </r>
    <r>
      <rPr>
        <vertAlign val="subscript"/>
        <sz val="11"/>
        <color theme="1"/>
        <rFont val="Calibri"/>
        <family val="2"/>
        <scheme val="minor"/>
      </rPr>
      <t xml:space="preserve">2023 </t>
    </r>
    <r>
      <rPr>
        <sz val="11"/>
        <color theme="1"/>
        <rFont val="Calibri"/>
        <family val="2"/>
        <scheme val="minor"/>
      </rPr>
      <t>= V</t>
    </r>
    <r>
      <rPr>
        <vertAlign val="superscript"/>
        <sz val="11"/>
        <color theme="1"/>
        <rFont val="Calibri"/>
        <family val="2"/>
        <scheme val="minor"/>
      </rPr>
      <t>E</t>
    </r>
    <r>
      <rPr>
        <vertAlign val="subscript"/>
        <sz val="11"/>
        <color theme="1"/>
        <rFont val="Calibri"/>
        <family val="2"/>
        <scheme val="minor"/>
      </rPr>
      <t>2023</t>
    </r>
    <r>
      <rPr>
        <sz val="11"/>
        <color theme="1"/>
        <rFont val="Calibri"/>
        <family val="2"/>
        <scheme val="minor"/>
      </rPr>
      <t xml:space="preserve"> + NFO</t>
    </r>
    <r>
      <rPr>
        <vertAlign val="subscript"/>
        <sz val="11"/>
        <color theme="1"/>
        <rFont val="Calibri"/>
        <family val="2"/>
        <scheme val="minor"/>
      </rPr>
      <t xml:space="preserve">2023 </t>
    </r>
    <r>
      <rPr>
        <sz val="11"/>
        <color theme="1"/>
        <rFont val="Calibri"/>
        <family val="2"/>
        <scheme val="minor"/>
      </rPr>
      <t>+ MIN</t>
    </r>
    <r>
      <rPr>
        <vertAlign val="subscript"/>
        <sz val="11"/>
        <color theme="1"/>
        <rFont val="Calibri"/>
        <family val="2"/>
        <scheme val="minor"/>
      </rPr>
      <t>2023</t>
    </r>
    <r>
      <rPr>
        <sz val="11"/>
        <color theme="1"/>
        <rFont val="Calibri"/>
        <family val="2"/>
        <scheme val="minor"/>
      </rPr>
      <t xml:space="preserve"> = 43.565 + 13.122 + 82</t>
    </r>
  </si>
  <si>
    <r>
      <t>V</t>
    </r>
    <r>
      <rPr>
        <vertAlign val="superscript"/>
        <sz val="11"/>
        <color theme="1"/>
        <rFont val="Calibri"/>
        <family val="2"/>
        <scheme val="minor"/>
      </rPr>
      <t>NOA</t>
    </r>
    <r>
      <rPr>
        <vertAlign val="subscript"/>
        <sz val="11"/>
        <color theme="1"/>
        <rFont val="Calibri"/>
        <family val="2"/>
        <scheme val="minor"/>
      </rPr>
      <t>2023</t>
    </r>
    <r>
      <rPr>
        <sz val="11"/>
        <color theme="1"/>
        <rFont val="Calibri"/>
        <family val="2"/>
        <scheme val="minor"/>
      </rPr>
      <t xml:space="preserve"> = NOA</t>
    </r>
    <r>
      <rPr>
        <vertAlign val="subscript"/>
        <sz val="11"/>
        <color theme="1"/>
        <rFont val="Calibri"/>
        <family val="2"/>
        <scheme val="minor"/>
      </rPr>
      <t xml:space="preserve">2023 </t>
    </r>
    <r>
      <rPr>
        <sz val="11"/>
        <color theme="1"/>
        <rFont val="Calibri"/>
        <family val="2"/>
        <scheme val="minor"/>
      </rPr>
      <t>+ [(RNOA</t>
    </r>
    <r>
      <rPr>
        <vertAlign val="subscript"/>
        <sz val="11"/>
        <color theme="1"/>
        <rFont val="Calibri"/>
        <family val="2"/>
        <scheme val="minor"/>
      </rPr>
      <t>2024</t>
    </r>
    <r>
      <rPr>
        <sz val="11"/>
        <color theme="1"/>
        <rFont val="Calibri"/>
        <family val="2"/>
        <scheme val="minor"/>
      </rPr>
      <t xml:space="preserve"> - wacc) x NOA</t>
    </r>
    <r>
      <rPr>
        <vertAlign val="subscript"/>
        <sz val="11"/>
        <color theme="1"/>
        <rFont val="Calibri"/>
        <family val="2"/>
        <scheme val="minor"/>
      </rPr>
      <t>2023</t>
    </r>
    <r>
      <rPr>
        <sz val="11"/>
        <color theme="1"/>
        <rFont val="Calibri"/>
        <family val="2"/>
        <scheme val="minor"/>
      </rPr>
      <t>]/(wacc -g)</t>
    </r>
  </si>
  <si>
    <t>= 22.469 + [(0,146 - 0,076) x 22.460] /(0,076-0,03)</t>
  </si>
  <si>
    <r>
      <t>V</t>
    </r>
    <r>
      <rPr>
        <vertAlign val="superscript"/>
        <sz val="11"/>
        <color theme="1"/>
        <rFont val="Calibri"/>
        <family val="2"/>
        <scheme val="minor"/>
      </rPr>
      <t>NOA</t>
    </r>
    <r>
      <rPr>
        <vertAlign val="subscript"/>
        <sz val="11"/>
        <color theme="1"/>
        <rFont val="Calibri"/>
        <family val="2"/>
        <scheme val="minor"/>
      </rPr>
      <t xml:space="preserve">2023 </t>
    </r>
    <r>
      <rPr>
        <sz val="11"/>
        <color theme="1"/>
        <rFont val="Calibri"/>
        <family val="2"/>
        <scheme val="minor"/>
      </rPr>
      <t>= NOA</t>
    </r>
    <r>
      <rPr>
        <vertAlign val="subscript"/>
        <sz val="11"/>
        <color theme="1"/>
        <rFont val="Calibri"/>
        <family val="2"/>
        <scheme val="minor"/>
      </rPr>
      <t>2023</t>
    </r>
    <r>
      <rPr>
        <sz val="11"/>
        <color theme="1"/>
        <rFont val="Calibri"/>
        <family val="2"/>
        <scheme val="minor"/>
      </rPr>
      <t xml:space="preserve"> x (RNOA</t>
    </r>
    <r>
      <rPr>
        <vertAlign val="subscript"/>
        <sz val="11"/>
        <color theme="1"/>
        <rFont val="Calibri"/>
        <family val="2"/>
        <scheme val="minor"/>
      </rPr>
      <t xml:space="preserve">2024 </t>
    </r>
    <r>
      <rPr>
        <sz val="11"/>
        <color theme="1"/>
        <rFont val="Calibri"/>
        <family val="2"/>
        <scheme val="minor"/>
      </rPr>
      <t>- g)/(wacc - g)</t>
    </r>
  </si>
  <si>
    <r>
      <t>V</t>
    </r>
    <r>
      <rPr>
        <vertAlign val="superscript"/>
        <sz val="11"/>
        <color theme="1"/>
        <rFont val="Calibri"/>
        <family val="2"/>
        <scheme val="minor"/>
      </rPr>
      <t>NOA</t>
    </r>
    <r>
      <rPr>
        <vertAlign val="subscript"/>
        <sz val="11"/>
        <color theme="1"/>
        <rFont val="Calibri"/>
        <family val="2"/>
        <scheme val="minor"/>
      </rPr>
      <t xml:space="preserve">2022 </t>
    </r>
    <r>
      <rPr>
        <sz val="11"/>
        <color theme="1"/>
        <rFont val="Calibri"/>
        <family val="2"/>
        <scheme val="minor"/>
      </rPr>
      <t>= 22.460 + (0,146 - 0,03)/(0,076 - 0,03)</t>
    </r>
  </si>
  <si>
    <t>Forward Enterprise P/B</t>
  </si>
  <si>
    <t>Budgetperiode</t>
  </si>
  <si>
    <t>Terminalår</t>
  </si>
  <si>
    <t>Value Driver</t>
  </si>
  <si>
    <t>2023A</t>
  </si>
  <si>
    <t>2024E</t>
  </si>
  <si>
    <t>2025E</t>
  </si>
  <si>
    <t>2026E</t>
  </si>
  <si>
    <t>2027E</t>
  </si>
  <si>
    <t>2028E</t>
  </si>
  <si>
    <t>2029E</t>
  </si>
  <si>
    <t>2030E</t>
  </si>
  <si>
    <t>2031E</t>
  </si>
  <si>
    <t>2032E</t>
  </si>
  <si>
    <t>2033E</t>
  </si>
  <si>
    <t>2034E</t>
  </si>
  <si>
    <t>Salgsvækstrate (pct.)</t>
  </si>
  <si>
    <t>1/ATO</t>
  </si>
  <si>
    <t>i.r.</t>
  </si>
  <si>
    <r>
      <t>PM</t>
    </r>
    <r>
      <rPr>
        <vertAlign val="subscript"/>
        <sz val="12"/>
        <color theme="1"/>
        <rFont val="Calibri"/>
        <family val="2"/>
        <scheme val="minor"/>
      </rPr>
      <t>salg</t>
    </r>
    <r>
      <rPr>
        <sz val="12"/>
        <color theme="1"/>
        <rFont val="Calibri"/>
        <family val="2"/>
        <scheme val="minor"/>
      </rPr>
      <t xml:space="preserve"> (før skat)</t>
    </r>
  </si>
  <si>
    <t xml:space="preserve">Effektiv skatteprocent </t>
  </si>
  <si>
    <t>Andet driftsoverskud, efter skat / salg</t>
  </si>
  <si>
    <t>NFO/NOA, primo</t>
  </si>
  <si>
    <r>
      <t>Efter-skat lånerente (</t>
    </r>
    <r>
      <rPr>
        <i/>
        <sz val="11"/>
        <color theme="1"/>
        <rFont val="Calibri"/>
        <family val="2"/>
        <scheme val="minor"/>
      </rPr>
      <t>r</t>
    </r>
    <r>
      <rPr>
        <sz val="11"/>
        <color theme="1"/>
        <rFont val="Calibri"/>
        <family val="2"/>
        <scheme val="minor"/>
      </rPr>
      <t>)</t>
    </r>
  </si>
  <si>
    <t>Resultatopgørelse</t>
  </si>
  <si>
    <t>Driftsoverskud fra salg (før skat)</t>
  </si>
  <si>
    <t>Skat på IO salg</t>
  </si>
  <si>
    <t xml:space="preserve">Driftsoverskud fra salg, efter skat </t>
  </si>
  <si>
    <t>Andet driftsoverskud, efter skat</t>
  </si>
  <si>
    <t>Usædvanligt driftsoverskud, efter skat</t>
  </si>
  <si>
    <t>Driftsoverskud efter skat i alt (OI)</t>
  </si>
  <si>
    <t>Netto finansielle omkostninger</t>
  </si>
  <si>
    <t>Nettooverskud</t>
  </si>
  <si>
    <t>Balance (primo)</t>
  </si>
  <si>
    <t>Netto driftsaktiver</t>
  </si>
  <si>
    <t>Netto finansielle forpligtelser</t>
  </si>
  <si>
    <r>
      <rPr>
        <b/>
        <i/>
        <sz val="11"/>
        <color theme="1"/>
        <rFont val="Calibri"/>
        <family val="2"/>
        <scheme val="minor"/>
      </rPr>
      <t>d</t>
    </r>
    <r>
      <rPr>
        <i/>
        <sz val="11"/>
        <color theme="1"/>
        <rFont val="Calibri"/>
        <family val="2"/>
        <scheme val="minor"/>
      </rPr>
      <t xml:space="preserve"> = NI - </t>
    </r>
    <r>
      <rPr>
        <i/>
        <sz val="11"/>
        <color theme="1"/>
        <rFont val="Symbol"/>
        <family val="1"/>
        <charset val="2"/>
      </rPr>
      <t>D</t>
    </r>
    <r>
      <rPr>
        <i/>
        <sz val="11"/>
        <color theme="1"/>
        <rFont val="Calibri"/>
        <family val="2"/>
        <scheme val="minor"/>
      </rPr>
      <t>CSE</t>
    </r>
  </si>
  <si>
    <r>
      <rPr>
        <b/>
        <i/>
        <sz val="11"/>
        <color theme="1"/>
        <rFont val="Calibri"/>
        <family val="2"/>
        <scheme val="minor"/>
      </rPr>
      <t>F</t>
    </r>
    <r>
      <rPr>
        <i/>
        <sz val="11"/>
        <color theme="1"/>
        <rFont val="Calibri"/>
        <family val="2"/>
        <scheme val="minor"/>
      </rPr>
      <t xml:space="preserve"> = NFE - </t>
    </r>
    <r>
      <rPr>
        <i/>
        <sz val="11"/>
        <color theme="1"/>
        <rFont val="Symbol"/>
        <family val="1"/>
        <charset val="2"/>
      </rPr>
      <t>D</t>
    </r>
    <r>
      <rPr>
        <i/>
        <sz val="11"/>
        <color theme="1"/>
        <rFont val="Calibri"/>
        <family val="2"/>
        <scheme val="minor"/>
      </rPr>
      <t>NFO</t>
    </r>
  </si>
  <si>
    <t>ReOI modellen</t>
  </si>
  <si>
    <t>Netto driftsaktiver, primo</t>
  </si>
  <si>
    <t>ReOI (df = 7,6% pct)</t>
  </si>
  <si>
    <r>
      <t>Diskonteringsfaktor (1,085)</t>
    </r>
    <r>
      <rPr>
        <vertAlign val="superscript"/>
        <sz val="11"/>
        <color theme="1"/>
        <rFont val="Calibri"/>
        <family val="2"/>
        <scheme val="minor"/>
      </rPr>
      <t>t</t>
    </r>
  </si>
  <si>
    <t>PV ReOI</t>
  </si>
  <si>
    <t>Sum PV ReOI t.o.m. 2032</t>
  </si>
  <si>
    <t>Terminalværdi (TV)</t>
  </si>
  <si>
    <t>PV af TV</t>
  </si>
  <si>
    <t>Enterprise Value (EV)</t>
  </si>
  <si>
    <t>NFO</t>
  </si>
  <si>
    <t>Minoritetesinteresser</t>
  </si>
  <si>
    <t>Værdi af ordinær egenkapital</t>
  </si>
  <si>
    <t>Antal udstående aktier (mio.)</t>
  </si>
  <si>
    <t>Værdi per aktie</t>
  </si>
  <si>
    <t>DCF- modellen</t>
  </si>
  <si>
    <t>NOA, primo</t>
  </si>
  <si>
    <r>
      <t xml:space="preserve">FCF = OI - </t>
    </r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Calibri"/>
        <family val="2"/>
        <scheme val="minor"/>
      </rPr>
      <t>NOA</t>
    </r>
  </si>
  <si>
    <t>PV FCF</t>
  </si>
  <si>
    <t>SUM PV FCF t.o.m. 2032</t>
  </si>
  <si>
    <t>TV</t>
  </si>
  <si>
    <t>PV TV</t>
  </si>
  <si>
    <t>g -OI</t>
  </si>
  <si>
    <t>g -NOA</t>
  </si>
  <si>
    <t>g ReOI</t>
  </si>
  <si>
    <t>g-FCF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</si>
</sst>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164" formatCode="_ * #,##0.00_ ;_ * \-#,##0.00_ ;_ * &quot;-&quot;??_ ;_ @_ "/>
    <numFmt numFmtId="165" formatCode="_ * #,##0_ ;_ * \-#,##0_ ;_ * &quot;-&quot;??_ ;_ @_ "/>
    <numFmt numFmtId="166" formatCode="0.0"/>
    <numFmt numFmtId="167" formatCode="0.0%"/>
    <numFmt numFmtId="168" formatCode="_ * #,##0.000_ ;_ * \-#,##0.000_ ;_ * &quot;-&quot;??_ ;_ @_ "/>
    <numFmt numFmtId="169" formatCode="0.000"/>
    <numFmt numFmtId="170" formatCode="_ * #,##0_ ;_ * \-#,##0_ ;_ * &quot;-&quot;?_ ;_ @_ "/>
    <numFmt numFmtId="171" formatCode="_ * #,##0.0_ ;_ * \-#,##0.0_ ;_ * &quot;-&quot;??_ ;_ @_ "/>
    <numFmt numFmtId="172" formatCode="_ * #,##0.0_ ;_ * \-#,##0.0_ ;_ * &quot;-&quot;?_ ;_ @_ "/>
    <numFmt numFmtId="173" formatCode="_ * #,##0.000_ ;_ * \-#,##0.000_ ;_ * &quot;-&quot;?_ ;_ @_ "/>
    <numFmt numFmtId="174" formatCode="_ * #,##0_ ;_ * \-#,##0_ ;_ * &quot;-&quot;???_ ;_ @_ "/>
    <numFmt numFmtId="175" formatCode="_ * #,##0.00_ ;_ * \-#,##0.00_ ;_ * &quot;-&quot;?_ ;_ @_ "/>
  </numFmts>
  <fonts count="4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1"/>
      <color theme="1"/>
      <name val="Calibri"/>
      <family val="2"/>
      <charset val="238"/>
    </font>
    <font>
      <b/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b/>
      <i/>
      <sz val="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vertAlign val="superscript"/>
      <sz val="10"/>
      <color rgb="FFFF0000"/>
      <name val="Calibri"/>
      <family val="2"/>
      <scheme val="minor"/>
    </font>
    <font>
      <b/>
      <sz val="11"/>
      <color theme="1"/>
      <name val="Symbol"/>
      <family val="1"/>
      <charset val="2"/>
    </font>
    <font>
      <sz val="11"/>
      <color theme="1"/>
      <name val="Symbol"/>
      <family val="1"/>
      <charset val="2"/>
    </font>
    <font>
      <b/>
      <sz val="1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0"/>
      <name val="Calibri"/>
      <family val="2"/>
      <scheme val="minor"/>
    </font>
    <font>
      <b/>
      <i/>
      <sz val="12"/>
      <color rgb="FFFF000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i/>
      <sz val="1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vertAlign val="subscript"/>
      <sz val="10"/>
      <color theme="1"/>
      <name val="Calibri"/>
      <family val="2"/>
      <scheme val="minor"/>
    </font>
    <font>
      <sz val="10"/>
      <color theme="1"/>
      <name val="Symbol"/>
      <family val="1"/>
      <charset val="2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1"/>
      <charset val="2"/>
      <scheme val="minor"/>
    </font>
    <font>
      <sz val="11"/>
      <color theme="3" tint="0.39997558519241921"/>
      <name val="Calibri"/>
      <family val="2"/>
      <scheme val="minor"/>
    </font>
    <font>
      <vertAlign val="subscript"/>
      <sz val="11"/>
      <color theme="3" tint="0.39994506668294322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vertAlign val="subscript"/>
      <sz val="12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i/>
      <sz val="11"/>
      <color theme="1"/>
      <name val="Symbol"/>
      <family val="1"/>
      <charset val="2"/>
    </font>
    <font>
      <b/>
      <sz val="14"/>
      <color rgb="FF00B0F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0" tint="-0.14993743705557422"/>
      </top>
      <bottom style="thin">
        <color theme="0" tint="-0.14996795556505021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164" fontId="2" fillId="0" borderId="0" applyFont="0" applyFill="0" applyBorder="0" applyAlignment="0" applyProtection="0"/>
    <xf numFmtId="3" fontId="8" fillId="0" borderId="5"/>
    <xf numFmtId="9" fontId="2" fillId="0" borderId="0" applyFont="0" applyFill="0" applyBorder="0" applyAlignment="0" applyProtection="0"/>
  </cellStyleXfs>
  <cellXfs count="232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2" xfId="0" applyFont="1" applyBorder="1"/>
    <xf numFmtId="0" fontId="5" fillId="0" borderId="3" xfId="0" applyFont="1" applyBorder="1"/>
    <xf numFmtId="0" fontId="6" fillId="0" borderId="1" xfId="0" applyFont="1" applyBorder="1"/>
    <xf numFmtId="165" fontId="4" fillId="0" borderId="0" xfId="1" applyNumberFormat="1" applyFont="1"/>
    <xf numFmtId="165" fontId="5" fillId="0" borderId="2" xfId="1" applyNumberFormat="1" applyFont="1" applyBorder="1"/>
    <xf numFmtId="165" fontId="5" fillId="0" borderId="3" xfId="1" applyNumberFormat="1" applyFont="1" applyBorder="1"/>
    <xf numFmtId="165" fontId="5" fillId="0" borderId="0" xfId="1" applyNumberFormat="1" applyFont="1"/>
    <xf numFmtId="165" fontId="4" fillId="0" borderId="0" xfId="0" applyNumberFormat="1" applyFont="1"/>
    <xf numFmtId="0" fontId="7" fillId="0" borderId="0" xfId="0" applyFont="1"/>
    <xf numFmtId="165" fontId="7" fillId="0" borderId="0" xfId="0" applyNumberFormat="1" applyFont="1"/>
    <xf numFmtId="0" fontId="4" fillId="0" borderId="4" xfId="0" applyFont="1" applyBorder="1"/>
    <xf numFmtId="165" fontId="4" fillId="0" borderId="4" xfId="1" applyNumberFormat="1" applyFont="1" applyBorder="1"/>
    <xf numFmtId="0" fontId="4" fillId="0" borderId="0" xfId="0" applyFont="1" applyAlignment="1">
      <alignment horizontal="left" indent="1"/>
    </xf>
    <xf numFmtId="165" fontId="5" fillId="0" borderId="2" xfId="0" applyNumberFormat="1" applyFont="1" applyBorder="1"/>
    <xf numFmtId="165" fontId="5" fillId="0" borderId="0" xfId="0" applyNumberFormat="1" applyFont="1"/>
    <xf numFmtId="0" fontId="9" fillId="0" borderId="0" xfId="0" applyFont="1"/>
    <xf numFmtId="0" fontId="9" fillId="0" borderId="1" xfId="0" applyFont="1" applyBorder="1"/>
    <xf numFmtId="165" fontId="0" fillId="0" borderId="0" xfId="1" applyNumberFormat="1" applyFont="1"/>
    <xf numFmtId="165" fontId="9" fillId="0" borderId="0" xfId="1" applyNumberFormat="1" applyFont="1"/>
    <xf numFmtId="165" fontId="9" fillId="0" borderId="1" xfId="1" applyNumberFormat="1" applyFont="1" applyBorder="1"/>
    <xf numFmtId="164" fontId="4" fillId="0" borderId="0" xfId="1" applyFont="1"/>
    <xf numFmtId="165" fontId="5" fillId="0" borderId="0" xfId="1" applyNumberFormat="1" applyFont="1" applyBorder="1"/>
    <xf numFmtId="165" fontId="4" fillId="0" borderId="0" xfId="1" applyNumberFormat="1" applyFont="1" applyBorder="1"/>
    <xf numFmtId="165" fontId="5" fillId="0" borderId="2" xfId="1" applyNumberFormat="1" applyFont="1" applyFill="1" applyBorder="1"/>
    <xf numFmtId="165" fontId="5" fillId="0" borderId="3" xfId="0" applyNumberFormat="1" applyFont="1" applyBorder="1"/>
    <xf numFmtId="165" fontId="4" fillId="0" borderId="0" xfId="1" applyNumberFormat="1" applyFont="1" applyFill="1"/>
    <xf numFmtId="0" fontId="4" fillId="0" borderId="0" xfId="0" applyFont="1" applyAlignment="1">
      <alignment horizontal="left"/>
    </xf>
    <xf numFmtId="165" fontId="4" fillId="0" borderId="4" xfId="1" applyNumberFormat="1" applyFont="1" applyFill="1" applyBorder="1"/>
    <xf numFmtId="165" fontId="5" fillId="0" borderId="0" xfId="1" applyNumberFormat="1" applyFont="1" applyFill="1"/>
    <xf numFmtId="0" fontId="5" fillId="0" borderId="4" xfId="0" applyFont="1" applyBorder="1"/>
    <xf numFmtId="165" fontId="0" fillId="0" borderId="0" xfId="1" applyNumberFormat="1" applyFont="1" applyFill="1"/>
    <xf numFmtId="165" fontId="9" fillId="0" borderId="0" xfId="1" applyNumberFormat="1" applyFont="1" applyFill="1"/>
    <xf numFmtId="165" fontId="9" fillId="0" borderId="1" xfId="1" applyNumberFormat="1" applyFont="1" applyFill="1" applyBorder="1"/>
    <xf numFmtId="165" fontId="0" fillId="0" borderId="0" xfId="1" applyNumberFormat="1" applyFont="1" applyBorder="1"/>
    <xf numFmtId="165" fontId="0" fillId="0" borderId="0" xfId="1" applyNumberFormat="1" applyFont="1" applyFill="1" applyBorder="1"/>
    <xf numFmtId="0" fontId="10" fillId="0" borderId="0" xfId="0" applyFont="1"/>
    <xf numFmtId="164" fontId="4" fillId="0" borderId="0" xfId="1" applyFont="1" applyFill="1"/>
    <xf numFmtId="0" fontId="0" fillId="0" borderId="4" xfId="0" applyBorder="1"/>
    <xf numFmtId="165" fontId="2" fillId="0" borderId="4" xfId="1" applyNumberFormat="1" applyFont="1" applyFill="1" applyBorder="1"/>
    <xf numFmtId="165" fontId="9" fillId="0" borderId="4" xfId="1" applyNumberFormat="1" applyFont="1" applyFill="1" applyBorder="1"/>
    <xf numFmtId="0" fontId="5" fillId="2" borderId="1" xfId="0" applyFont="1" applyFill="1" applyBorder="1"/>
    <xf numFmtId="165" fontId="5" fillId="2" borderId="1" xfId="0" applyNumberFormat="1" applyFont="1" applyFill="1" applyBorder="1"/>
    <xf numFmtId="165" fontId="5" fillId="2" borderId="1" xfId="1" applyNumberFormat="1" applyFont="1" applyFill="1" applyBorder="1"/>
    <xf numFmtId="0" fontId="5" fillId="2" borderId="0" xfId="0" applyFont="1" applyFill="1"/>
    <xf numFmtId="165" fontId="5" fillId="2" borderId="0" xfId="1" applyNumberFormat="1" applyFont="1" applyFill="1"/>
    <xf numFmtId="0" fontId="5" fillId="2" borderId="4" xfId="0" applyFont="1" applyFill="1" applyBorder="1"/>
    <xf numFmtId="165" fontId="2" fillId="0" borderId="0" xfId="1" applyNumberFormat="1" applyFont="1" applyFill="1" applyBorder="1"/>
    <xf numFmtId="165" fontId="9" fillId="0" borderId="1" xfId="0" applyNumberFormat="1" applyFont="1" applyBorder="1"/>
    <xf numFmtId="165" fontId="9" fillId="0" borderId="0" xfId="0" applyNumberFormat="1" applyFont="1"/>
    <xf numFmtId="0" fontId="11" fillId="0" borderId="4" xfId="0" applyFont="1" applyBorder="1"/>
    <xf numFmtId="0" fontId="5" fillId="0" borderId="0" xfId="0" applyFont="1" applyAlignment="1">
      <alignment horizontal="center"/>
    </xf>
    <xf numFmtId="0" fontId="5" fillId="0" borderId="4" xfId="0" applyFont="1" applyBorder="1" applyAlignment="1">
      <alignment horizontal="center"/>
    </xf>
    <xf numFmtId="165" fontId="9" fillId="0" borderId="4" xfId="0" applyNumberFormat="1" applyFont="1" applyBorder="1"/>
    <xf numFmtId="165" fontId="0" fillId="0" borderId="4" xfId="0" applyNumberFormat="1" applyBorder="1"/>
    <xf numFmtId="0" fontId="9" fillId="0" borderId="4" xfId="0" applyFont="1" applyBorder="1"/>
    <xf numFmtId="165" fontId="9" fillId="0" borderId="4" xfId="1" applyNumberFormat="1" applyFont="1" applyBorder="1"/>
    <xf numFmtId="165" fontId="0" fillId="0" borderId="0" xfId="0" applyNumberFormat="1"/>
    <xf numFmtId="0" fontId="0" fillId="0" borderId="1" xfId="0" applyBorder="1"/>
    <xf numFmtId="0" fontId="13" fillId="0" borderId="0" xfId="0" applyFont="1"/>
    <xf numFmtId="0" fontId="13" fillId="0" borderId="1" xfId="0" applyFont="1" applyBorder="1"/>
    <xf numFmtId="0" fontId="14" fillId="0" borderId="0" xfId="0" applyFont="1"/>
    <xf numFmtId="0" fontId="5" fillId="0" borderId="1" xfId="0" applyFont="1" applyBorder="1"/>
    <xf numFmtId="10" fontId="9" fillId="0" borderId="0" xfId="3" applyNumberFormat="1" applyFont="1"/>
    <xf numFmtId="0" fontId="15" fillId="0" borderId="1" xfId="0" applyFont="1" applyBorder="1"/>
    <xf numFmtId="0" fontId="4" fillId="0" borderId="4" xfId="0" applyFont="1" applyBorder="1" applyAlignment="1">
      <alignment horizontal="left" indent="1"/>
    </xf>
    <xf numFmtId="0" fontId="12" fillId="0" borderId="0" xfId="0" applyFont="1"/>
    <xf numFmtId="1" fontId="4" fillId="0" borderId="0" xfId="0" applyNumberFormat="1" applyFont="1"/>
    <xf numFmtId="165" fontId="5" fillId="0" borderId="1" xfId="1" applyNumberFormat="1" applyFont="1" applyBorder="1"/>
    <xf numFmtId="1" fontId="5" fillId="0" borderId="1" xfId="0" applyNumberFormat="1" applyFont="1" applyBorder="1"/>
    <xf numFmtId="165" fontId="5" fillId="0" borderId="0" xfId="1" applyNumberFormat="1" applyFont="1" applyFill="1" applyBorder="1"/>
    <xf numFmtId="165" fontId="5" fillId="0" borderId="1" xfId="0" applyNumberFormat="1" applyFont="1" applyBorder="1"/>
    <xf numFmtId="165" fontId="4" fillId="0" borderId="0" xfId="1" applyNumberFormat="1" applyFont="1" applyFill="1" applyBorder="1"/>
    <xf numFmtId="165" fontId="10" fillId="0" borderId="0" xfId="0" applyNumberFormat="1" applyFont="1"/>
    <xf numFmtId="0" fontId="4" fillId="0" borderId="1" xfId="0" applyFont="1" applyBorder="1"/>
    <xf numFmtId="164" fontId="5" fillId="0" borderId="0" xfId="1" applyFont="1" applyFill="1"/>
    <xf numFmtId="165" fontId="5" fillId="0" borderId="1" xfId="1" applyNumberFormat="1" applyFont="1" applyFill="1" applyBorder="1"/>
    <xf numFmtId="0" fontId="5" fillId="0" borderId="0" xfId="0" applyFont="1" applyAlignment="1">
      <alignment horizontal="left" indent="1"/>
    </xf>
    <xf numFmtId="165" fontId="7" fillId="0" borderId="4" xfId="1" applyNumberFormat="1" applyFont="1" applyBorder="1"/>
    <xf numFmtId="0" fontId="7" fillId="0" borderId="4" xfId="0" applyFont="1" applyBorder="1" applyAlignment="1">
      <alignment horizontal="left" indent="1"/>
    </xf>
    <xf numFmtId="0" fontId="9" fillId="3" borderId="0" xfId="0" applyFont="1" applyFill="1"/>
    <xf numFmtId="0" fontId="0" fillId="3" borderId="0" xfId="0" applyFill="1"/>
    <xf numFmtId="0" fontId="14" fillId="3" borderId="0" xfId="0" applyFont="1" applyFill="1"/>
    <xf numFmtId="0" fontId="19" fillId="3" borderId="1" xfId="0" applyFont="1" applyFill="1" applyBorder="1"/>
    <xf numFmtId="1" fontId="0" fillId="0" borderId="0" xfId="0" applyNumberFormat="1"/>
    <xf numFmtId="166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4" xfId="0" applyBorder="1" applyAlignment="1">
      <alignment horizontal="left" indent="1"/>
    </xf>
    <xf numFmtId="0" fontId="12" fillId="0" borderId="0" xfId="0" applyFont="1" applyAlignment="1">
      <alignment horizontal="left" indent="1"/>
    </xf>
    <xf numFmtId="165" fontId="12" fillId="0" borderId="0" xfId="1" applyNumberFormat="1" applyFont="1"/>
    <xf numFmtId="0" fontId="21" fillId="0" borderId="0" xfId="0" applyFont="1" applyAlignment="1">
      <alignment horizontal="left" indent="1"/>
    </xf>
    <xf numFmtId="0" fontId="0" fillId="3" borderId="1" xfId="0" applyFill="1" applyBorder="1"/>
    <xf numFmtId="0" fontId="20" fillId="0" borderId="1" xfId="0" applyFont="1" applyBorder="1"/>
    <xf numFmtId="0" fontId="9" fillId="0" borderId="1" xfId="0" applyFont="1" applyBorder="1" applyAlignment="1">
      <alignment horizontal="center"/>
    </xf>
    <xf numFmtId="0" fontId="26" fillId="0" borderId="0" xfId="0" applyFont="1"/>
    <xf numFmtId="0" fontId="14" fillId="0" borderId="1" xfId="0" applyFont="1" applyBorder="1"/>
    <xf numFmtId="165" fontId="9" fillId="0" borderId="0" xfId="1" applyNumberFormat="1" applyFont="1" applyBorder="1"/>
    <xf numFmtId="165" fontId="12" fillId="0" borderId="0" xfId="0" applyNumberFormat="1" applyFont="1"/>
    <xf numFmtId="3" fontId="0" fillId="0" borderId="0" xfId="0" applyNumberFormat="1"/>
    <xf numFmtId="3" fontId="13" fillId="0" borderId="1" xfId="0" applyNumberFormat="1" applyFont="1" applyBorder="1"/>
    <xf numFmtId="3" fontId="13" fillId="0" borderId="0" xfId="0" applyNumberFormat="1" applyFont="1"/>
    <xf numFmtId="167" fontId="12" fillId="0" borderId="0" xfId="3" applyNumberFormat="1" applyFont="1"/>
    <xf numFmtId="9" fontId="12" fillId="0" borderId="0" xfId="3" applyFont="1"/>
    <xf numFmtId="165" fontId="13" fillId="0" borderId="1" xfId="0" applyNumberFormat="1" applyFont="1" applyBorder="1"/>
    <xf numFmtId="165" fontId="13" fillId="0" borderId="1" xfId="1" applyNumberFormat="1" applyFont="1" applyBorder="1"/>
    <xf numFmtId="165" fontId="20" fillId="0" borderId="0" xfId="0" applyNumberFormat="1" applyFont="1"/>
    <xf numFmtId="165" fontId="2" fillId="0" borderId="0" xfId="1" applyNumberFormat="1" applyFont="1" applyBorder="1"/>
    <xf numFmtId="1" fontId="0" fillId="0" borderId="4" xfId="0" applyNumberFormat="1" applyBorder="1"/>
    <xf numFmtId="165" fontId="0" fillId="0" borderId="4" xfId="1" applyNumberFormat="1" applyFont="1" applyBorder="1"/>
    <xf numFmtId="165" fontId="9" fillId="0" borderId="6" xfId="0" applyNumberFormat="1" applyFont="1" applyBorder="1"/>
    <xf numFmtId="0" fontId="27" fillId="0" borderId="0" xfId="0" applyFont="1"/>
    <xf numFmtId="0" fontId="28" fillId="0" borderId="1" xfId="0" applyFont="1" applyBorder="1"/>
    <xf numFmtId="167" fontId="0" fillId="0" borderId="0" xfId="3" applyNumberFormat="1" applyFont="1"/>
    <xf numFmtId="167" fontId="0" fillId="0" borderId="0" xfId="3" applyNumberFormat="1" applyFont="1" applyBorder="1"/>
    <xf numFmtId="168" fontId="0" fillId="0" borderId="0" xfId="1" applyNumberFormat="1" applyFont="1"/>
    <xf numFmtId="168" fontId="0" fillId="0" borderId="0" xfId="1" applyNumberFormat="1" applyFont="1" applyBorder="1"/>
    <xf numFmtId="167" fontId="0" fillId="0" borderId="0" xfId="0" applyNumberFormat="1"/>
    <xf numFmtId="168" fontId="0" fillId="0" borderId="0" xfId="0" applyNumberFormat="1"/>
    <xf numFmtId="169" fontId="0" fillId="0" borderId="0" xfId="0" applyNumberFormat="1"/>
    <xf numFmtId="2" fontId="12" fillId="0" borderId="0" xfId="0" applyNumberFormat="1" applyFont="1"/>
    <xf numFmtId="0" fontId="0" fillId="0" borderId="0" xfId="0" quotePrefix="1" applyAlignment="1">
      <alignment horizontal="center"/>
    </xf>
    <xf numFmtId="167" fontId="0" fillId="0" borderId="4" xfId="3" applyNumberFormat="1" applyFont="1" applyBorder="1"/>
    <xf numFmtId="167" fontId="0" fillId="0" borderId="1" xfId="3" applyNumberFormat="1" applyFont="1" applyBorder="1"/>
    <xf numFmtId="164" fontId="0" fillId="0" borderId="0" xfId="0" applyNumberFormat="1"/>
    <xf numFmtId="168" fontId="12" fillId="0" borderId="0" xfId="0" applyNumberFormat="1" applyFont="1"/>
    <xf numFmtId="2" fontId="0" fillId="0" borderId="0" xfId="0" applyNumberFormat="1"/>
    <xf numFmtId="2" fontId="0" fillId="0" borderId="1" xfId="0" applyNumberFormat="1" applyBorder="1"/>
    <xf numFmtId="164" fontId="0" fillId="0" borderId="1" xfId="0" applyNumberFormat="1" applyBorder="1"/>
    <xf numFmtId="0" fontId="28" fillId="0" borderId="0" xfId="0" applyFont="1"/>
    <xf numFmtId="0" fontId="5" fillId="0" borderId="0" xfId="0" applyFont="1" applyAlignment="1">
      <alignment horizontal="left"/>
    </xf>
    <xf numFmtId="165" fontId="4" fillId="0" borderId="0" xfId="1" applyNumberFormat="1" applyFont="1" applyFill="1" applyAlignment="1">
      <alignment horizontal="left"/>
    </xf>
    <xf numFmtId="167" fontId="4" fillId="0" borderId="0" xfId="3" applyNumberFormat="1" applyFont="1"/>
    <xf numFmtId="165" fontId="4" fillId="0" borderId="0" xfId="1" applyNumberFormat="1" applyFont="1" applyFill="1" applyBorder="1" applyAlignment="1">
      <alignment horizontal="left"/>
    </xf>
    <xf numFmtId="167" fontId="4" fillId="0" borderId="4" xfId="3" applyNumberFormat="1" applyFont="1" applyBorder="1"/>
    <xf numFmtId="165" fontId="5" fillId="0" borderId="0" xfId="1" applyNumberFormat="1" applyFont="1" applyFill="1" applyAlignment="1">
      <alignment horizontal="left"/>
    </xf>
    <xf numFmtId="167" fontId="4" fillId="0" borderId="0" xfId="0" applyNumberFormat="1" applyFont="1"/>
    <xf numFmtId="167" fontId="4" fillId="0" borderId="1" xfId="0" applyNumberFormat="1" applyFont="1" applyBorder="1"/>
    <xf numFmtId="0" fontId="7" fillId="0" borderId="0" xfId="0" applyFont="1" applyAlignment="1">
      <alignment horizontal="left"/>
    </xf>
    <xf numFmtId="169" fontId="4" fillId="0" borderId="0" xfId="0" applyNumberFormat="1" applyFont="1"/>
    <xf numFmtId="10" fontId="4" fillId="0" borderId="0" xfId="3" applyNumberFormat="1" applyFont="1"/>
    <xf numFmtId="0" fontId="10" fillId="0" borderId="4" xfId="0" applyFont="1" applyBorder="1"/>
    <xf numFmtId="0" fontId="7" fillId="0" borderId="4" xfId="0" applyFont="1" applyBorder="1"/>
    <xf numFmtId="10" fontId="4" fillId="0" borderId="0" xfId="0" applyNumberFormat="1" applyFont="1"/>
    <xf numFmtId="165" fontId="4" fillId="0" borderId="0" xfId="0" applyNumberFormat="1" applyFont="1" applyAlignment="1">
      <alignment horizontal="left" indent="1"/>
    </xf>
    <xf numFmtId="165" fontId="5" fillId="0" borderId="0" xfId="1" applyNumberFormat="1" applyFont="1" applyFill="1" applyBorder="1" applyAlignment="1">
      <alignment horizontal="left"/>
    </xf>
    <xf numFmtId="167" fontId="4" fillId="0" borderId="0" xfId="3" applyNumberFormat="1" applyFont="1" applyBorder="1"/>
    <xf numFmtId="165" fontId="4" fillId="0" borderId="0" xfId="0" applyNumberFormat="1" applyFont="1" applyAlignment="1">
      <alignment horizontal="left"/>
    </xf>
    <xf numFmtId="165" fontId="5" fillId="0" borderId="0" xfId="0" applyNumberFormat="1" applyFont="1" applyAlignment="1">
      <alignment horizontal="left"/>
    </xf>
    <xf numFmtId="167" fontId="4" fillId="0" borderId="0" xfId="3" applyNumberFormat="1" applyFont="1" applyFill="1" applyBorder="1"/>
    <xf numFmtId="10" fontId="5" fillId="0" borderId="0" xfId="3" applyNumberFormat="1" applyFont="1" applyFill="1" applyBorder="1"/>
    <xf numFmtId="1" fontId="10" fillId="0" borderId="0" xfId="0" applyNumberFormat="1" applyFont="1"/>
    <xf numFmtId="1" fontId="10" fillId="0" borderId="4" xfId="0" applyNumberFormat="1" applyFont="1" applyBorder="1"/>
    <xf numFmtId="0" fontId="4" fillId="0" borderId="4" xfId="0" applyFont="1" applyBorder="1" applyAlignment="1">
      <alignment horizontal="left"/>
    </xf>
    <xf numFmtId="1" fontId="4" fillId="0" borderId="4" xfId="0" applyNumberFormat="1" applyFont="1" applyBorder="1"/>
    <xf numFmtId="1" fontId="4" fillId="0" borderId="0" xfId="0" applyNumberFormat="1" applyFont="1" applyAlignment="1">
      <alignment horizontal="left"/>
    </xf>
    <xf numFmtId="1" fontId="5" fillId="0" borderId="0" xfId="0" applyNumberFormat="1" applyFont="1" applyAlignment="1">
      <alignment horizontal="left"/>
    </xf>
    <xf numFmtId="9" fontId="4" fillId="0" borderId="0" xfId="3" applyFont="1"/>
    <xf numFmtId="9" fontId="4" fillId="0" borderId="0" xfId="0" applyNumberFormat="1" applyFont="1"/>
    <xf numFmtId="0" fontId="0" fillId="4" borderId="7" xfId="0" applyFill="1" applyBorder="1"/>
    <xf numFmtId="0" fontId="0" fillId="4" borderId="0" xfId="0" applyFill="1"/>
    <xf numFmtId="0" fontId="0" fillId="0" borderId="8" xfId="0" applyBorder="1"/>
    <xf numFmtId="0" fontId="32" fillId="0" borderId="0" xfId="0" applyFont="1"/>
    <xf numFmtId="167" fontId="12" fillId="0" borderId="0" xfId="0" applyNumberFormat="1" applyFont="1"/>
    <xf numFmtId="0" fontId="0" fillId="5" borderId="0" xfId="0" applyFill="1"/>
    <xf numFmtId="165" fontId="0" fillId="5" borderId="0" xfId="1" applyNumberFormat="1" applyFont="1" applyFill="1"/>
    <xf numFmtId="165" fontId="33" fillId="0" borderId="0" xfId="0" applyNumberFormat="1" applyFont="1"/>
    <xf numFmtId="0" fontId="34" fillId="0" borderId="0" xfId="0" applyFont="1"/>
    <xf numFmtId="0" fontId="21" fillId="0" borderId="0" xfId="0" applyFont="1"/>
    <xf numFmtId="165" fontId="0" fillId="5" borderId="0" xfId="0" applyNumberFormat="1" applyFill="1"/>
    <xf numFmtId="0" fontId="0" fillId="0" borderId="3" xfId="0" applyBorder="1"/>
    <xf numFmtId="167" fontId="21" fillId="0" borderId="0" xfId="3" applyNumberFormat="1" applyFont="1"/>
    <xf numFmtId="170" fontId="0" fillId="0" borderId="0" xfId="0" applyNumberFormat="1"/>
    <xf numFmtId="0" fontId="0" fillId="0" borderId="0" xfId="0" quotePrefix="1"/>
    <xf numFmtId="171" fontId="0" fillId="0" borderId="0" xfId="0" applyNumberFormat="1"/>
    <xf numFmtId="0" fontId="37" fillId="0" borderId="0" xfId="0" applyFont="1"/>
    <xf numFmtId="0" fontId="3" fillId="0" borderId="11" xfId="0" applyFont="1" applyBorder="1"/>
    <xf numFmtId="0" fontId="38" fillId="0" borderId="1" xfId="0" applyFont="1" applyBorder="1" applyAlignment="1">
      <alignment horizontal="right"/>
    </xf>
    <xf numFmtId="0" fontId="3" fillId="0" borderId="4" xfId="0" applyFont="1" applyBorder="1" applyAlignment="1">
      <alignment horizontal="right"/>
    </xf>
    <xf numFmtId="0" fontId="3" fillId="0" borderId="12" xfId="0" applyFont="1" applyBorder="1" applyAlignment="1">
      <alignment horizontal="right"/>
    </xf>
    <xf numFmtId="167" fontId="39" fillId="0" borderId="13" xfId="3" applyNumberFormat="1" applyFont="1" applyFill="1" applyBorder="1"/>
    <xf numFmtId="167" fontId="37" fillId="0" borderId="0" xfId="3" applyNumberFormat="1" applyFont="1" applyFill="1"/>
    <xf numFmtId="167" fontId="37" fillId="0" borderId="14" xfId="3" applyNumberFormat="1" applyFont="1" applyFill="1" applyBorder="1"/>
    <xf numFmtId="169" fontId="39" fillId="0" borderId="13" xfId="0" applyNumberFormat="1" applyFont="1" applyBorder="1"/>
    <xf numFmtId="169" fontId="37" fillId="0" borderId="0" xfId="0" applyNumberFormat="1" applyFont="1" applyAlignment="1">
      <alignment horizontal="right"/>
    </xf>
    <xf numFmtId="169" fontId="37" fillId="0" borderId="0" xfId="0" applyNumberFormat="1" applyFont="1"/>
    <xf numFmtId="169" fontId="37" fillId="0" borderId="14" xfId="0" applyNumberFormat="1" applyFont="1" applyBorder="1"/>
    <xf numFmtId="167" fontId="37" fillId="0" borderId="0" xfId="3" applyNumberFormat="1" applyFont="1" applyFill="1" applyBorder="1"/>
    <xf numFmtId="169" fontId="0" fillId="0" borderId="13" xfId="0" applyNumberFormat="1" applyBorder="1"/>
    <xf numFmtId="167" fontId="0" fillId="0" borderId="13" xfId="3" applyNumberFormat="1" applyFont="1" applyFill="1" applyBorder="1"/>
    <xf numFmtId="167" fontId="37" fillId="0" borderId="15" xfId="3" applyNumberFormat="1" applyFont="1" applyFill="1" applyBorder="1"/>
    <xf numFmtId="0" fontId="41" fillId="0" borderId="0" xfId="0" applyFont="1"/>
    <xf numFmtId="165" fontId="12" fillId="0" borderId="0" xfId="1" applyNumberFormat="1" applyFont="1" applyFill="1"/>
    <xf numFmtId="165" fontId="0" fillId="0" borderId="1" xfId="1" applyNumberFormat="1" applyFont="1" applyFill="1" applyBorder="1"/>
    <xf numFmtId="165" fontId="0" fillId="0" borderId="1" xfId="1" applyNumberFormat="1" applyFont="1" applyBorder="1"/>
    <xf numFmtId="165" fontId="12" fillId="0" borderId="6" xfId="1" applyNumberFormat="1" applyFont="1" applyFill="1" applyBorder="1"/>
    <xf numFmtId="165" fontId="12" fillId="0" borderId="6" xfId="1" applyNumberFormat="1" applyFont="1" applyBorder="1"/>
    <xf numFmtId="165" fontId="0" fillId="0" borderId="6" xfId="1" applyNumberFormat="1" applyFont="1" applyBorder="1"/>
    <xf numFmtId="0" fontId="0" fillId="0" borderId="16" xfId="0" applyBorder="1"/>
    <xf numFmtId="0" fontId="0" fillId="0" borderId="17" xfId="0" applyBorder="1"/>
    <xf numFmtId="0" fontId="37" fillId="0" borderId="17" xfId="0" applyFont="1" applyBorder="1"/>
    <xf numFmtId="0" fontId="3" fillId="0" borderId="18" xfId="0" applyFont="1" applyBorder="1"/>
    <xf numFmtId="0" fontId="43" fillId="0" borderId="7" xfId="0" applyFont="1" applyBorder="1"/>
    <xf numFmtId="0" fontId="0" fillId="0" borderId="7" xfId="0" applyBorder="1"/>
    <xf numFmtId="165" fontId="0" fillId="0" borderId="8" xfId="0" applyNumberFormat="1" applyBorder="1"/>
    <xf numFmtId="165" fontId="21" fillId="0" borderId="0" xfId="0" applyNumberFormat="1" applyFont="1"/>
    <xf numFmtId="165" fontId="21" fillId="0" borderId="8" xfId="0" applyNumberFormat="1" applyFont="1" applyBorder="1"/>
    <xf numFmtId="167" fontId="24" fillId="0" borderId="0" xfId="3" applyNumberFormat="1" applyFont="1"/>
    <xf numFmtId="172" fontId="0" fillId="0" borderId="0" xfId="0" applyNumberFormat="1"/>
    <xf numFmtId="170" fontId="0" fillId="0" borderId="8" xfId="0" applyNumberFormat="1" applyBorder="1"/>
    <xf numFmtId="173" fontId="0" fillId="0" borderId="0" xfId="0" applyNumberFormat="1"/>
    <xf numFmtId="169" fontId="0" fillId="0" borderId="8" xfId="0" applyNumberFormat="1" applyBorder="1"/>
    <xf numFmtId="174" fontId="0" fillId="0" borderId="0" xfId="0" applyNumberFormat="1"/>
    <xf numFmtId="174" fontId="0" fillId="0" borderId="4" xfId="0" applyNumberFormat="1" applyBorder="1"/>
    <xf numFmtId="174" fontId="0" fillId="0" borderId="1" xfId="0" applyNumberFormat="1" applyBorder="1"/>
    <xf numFmtId="175" fontId="0" fillId="0" borderId="0" xfId="0" applyNumberFormat="1"/>
    <xf numFmtId="174" fontId="9" fillId="0" borderId="6" xfId="0" applyNumberFormat="1" applyFont="1" applyBorder="1"/>
    <xf numFmtId="0" fontId="0" fillId="0" borderId="19" xfId="0" applyBorder="1"/>
    <xf numFmtId="174" fontId="9" fillId="0" borderId="3" xfId="0" applyNumberFormat="1" applyFont="1" applyBorder="1"/>
    <xf numFmtId="172" fontId="0" fillId="0" borderId="3" xfId="0" applyNumberFormat="1" applyBorder="1"/>
    <xf numFmtId="0" fontId="0" fillId="0" borderId="20" xfId="0" applyBorder="1"/>
    <xf numFmtId="174" fontId="9" fillId="0" borderId="0" xfId="0" applyNumberFormat="1" applyFont="1"/>
    <xf numFmtId="9" fontId="0" fillId="0" borderId="0" xfId="3" applyFont="1" applyFill="1" applyBorder="1"/>
    <xf numFmtId="0" fontId="5" fillId="0" borderId="4" xfId="0" applyFont="1" applyBorder="1" applyAlignment="1">
      <alignment horizontal="center"/>
    </xf>
    <xf numFmtId="0" fontId="25" fillId="0" borderId="4" xfId="0" applyFont="1" applyBorder="1" applyAlignment="1">
      <alignment horizontal="center"/>
    </xf>
    <xf numFmtId="0" fontId="25" fillId="0" borderId="1" xfId="0" applyFont="1" applyBorder="1" applyAlignment="1">
      <alignment horizontal="center"/>
    </xf>
    <xf numFmtId="0" fontId="25" fillId="0" borderId="0" xfId="0" applyFont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</cellXfs>
  <cellStyles count="4">
    <cellStyle name="Comma" xfId="1" builtinId="3"/>
    <cellStyle name="item" xfId="2" xr:uid="{00000000-0005-0000-0000-000001000000}"/>
    <cellStyle name="Normal" xfId="0" builtinId="0"/>
    <cellStyle name="Per 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ROCE RNOA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'WD5 - Rentabilitetsanalyse'!$C$47:$O$47</c:f>
              <c:numCache>
                <c:formatCode>0.0%</c:formatCode>
                <c:ptCount val="13"/>
                <c:pt idx="0">
                  <c:v>0.18165364232462053</c:v>
                </c:pt>
                <c:pt idx="1">
                  <c:v>0.29389493038502945</c:v>
                </c:pt>
                <c:pt idx="2">
                  <c:v>0.35550706413196242</c:v>
                </c:pt>
                <c:pt idx="3">
                  <c:v>9.5666738027175777E-2</c:v>
                </c:pt>
                <c:pt idx="4">
                  <c:v>0.20865230065110196</c:v>
                </c:pt>
                <c:pt idx="5">
                  <c:v>0.18988310719319093</c:v>
                </c:pt>
                <c:pt idx="6">
                  <c:v>0.20814692265984513</c:v>
                </c:pt>
                <c:pt idx="7">
                  <c:v>0.2248480435137987</c:v>
                </c:pt>
                <c:pt idx="8">
                  <c:v>0.25404790280398587</c:v>
                </c:pt>
                <c:pt idx="9">
                  <c:v>0.26636531087888132</c:v>
                </c:pt>
                <c:pt idx="10">
                  <c:v>0.24024221681037322</c:v>
                </c:pt>
                <c:pt idx="11">
                  <c:v>0.34076549953124363</c:v>
                </c:pt>
                <c:pt idx="12">
                  <c:v>0.40300249046482872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E3-4193-A074-28AC0B5B0CF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'WD5 - Rentabilitetsanalyse'!$C$49:$O$49</c:f>
              <c:numCache>
                <c:formatCode>0.0%</c:formatCode>
                <c:ptCount val="13"/>
                <c:pt idx="0">
                  <c:v>0.13621403834400961</c:v>
                </c:pt>
                <c:pt idx="1">
                  <c:v>0.14433853408919881</c:v>
                </c:pt>
                <c:pt idx="2">
                  <c:v>0.1894390625906375</c:v>
                </c:pt>
                <c:pt idx="3">
                  <c:v>5.7212793536912554E-2</c:v>
                </c:pt>
                <c:pt idx="4">
                  <c:v>0.11527221290174018</c:v>
                </c:pt>
                <c:pt idx="5">
                  <c:v>0.11871915848093434</c:v>
                </c:pt>
                <c:pt idx="6">
                  <c:v>0.13457280585106385</c:v>
                </c:pt>
                <c:pt idx="7">
                  <c:v>0.14303798582684096</c:v>
                </c:pt>
                <c:pt idx="8">
                  <c:v>0.16485950328930593</c:v>
                </c:pt>
                <c:pt idx="9">
                  <c:v>0.18021298419210813</c:v>
                </c:pt>
                <c:pt idx="10">
                  <c:v>0.16199777561518142</c:v>
                </c:pt>
                <c:pt idx="11">
                  <c:v>0.22784702789790554</c:v>
                </c:pt>
                <c:pt idx="12">
                  <c:v>0.24531405782652044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E3-4193-A074-28AC0B5B0C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2508879"/>
        <c:axId val="482517999"/>
      </c:lineChart>
      <c:catAx>
        <c:axId val="4825088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482517999"/>
        <c:crosses val="autoZero"/>
        <c:auto val="1"/>
        <c:lblAlgn val="ctr"/>
        <c:lblOffset val="100"/>
        <c:noMultiLvlLbl val="0"/>
      </c:catAx>
      <c:valAx>
        <c:axId val="48251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482508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'WD5 - Rentabilitetsanalyse'!$C$57:$O$57</c:f>
              <c:numCache>
                <c:formatCode>0.0%</c:formatCode>
                <c:ptCount val="13"/>
                <c:pt idx="0">
                  <c:v>0.1340685291627679</c:v>
                </c:pt>
                <c:pt idx="1">
                  <c:v>0.14600862725196651</c:v>
                </c:pt>
                <c:pt idx="2">
                  <c:v>0.18239262775760959</c:v>
                </c:pt>
                <c:pt idx="3">
                  <c:v>6.5585735019697292E-2</c:v>
                </c:pt>
                <c:pt idx="4">
                  <c:v>0.11722735179981265</c:v>
                </c:pt>
                <c:pt idx="5">
                  <c:v>0.11013274018798881</c:v>
                </c:pt>
                <c:pt idx="6">
                  <c:v>0.12276745772992646</c:v>
                </c:pt>
                <c:pt idx="7">
                  <c:v>0.13538076987168804</c:v>
                </c:pt>
                <c:pt idx="8">
                  <c:v>0.15155789967182373</c:v>
                </c:pt>
                <c:pt idx="9">
                  <c:v>0.15979295955488979</c:v>
                </c:pt>
                <c:pt idx="10">
                  <c:v>0.13006473936823307</c:v>
                </c:pt>
                <c:pt idx="11">
                  <c:v>0.1570426651081239</c:v>
                </c:pt>
                <c:pt idx="12">
                  <c:v>0.15299713965924636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32-4D1D-8DBB-7C8E980EA2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2473087"/>
        <c:axId val="482468287"/>
      </c:barChart>
      <c:catAx>
        <c:axId val="4824730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482468287"/>
        <c:crosses val="autoZero"/>
        <c:auto val="1"/>
        <c:lblAlgn val="ctr"/>
        <c:lblOffset val="100"/>
        <c:noMultiLvlLbl val="0"/>
      </c:catAx>
      <c:valAx>
        <c:axId val="482468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4824730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'WD5 - Rentabilitetsanalyse'!$C$72:$O$72</c:f>
              <c:numCache>
                <c:formatCode>_ * #,##0.00_ ;_ * \-#,##0.00_ ;_ * "-"??_ ;_ @_ </c:formatCode>
                <c:ptCount val="13"/>
                <c:pt idx="0">
                  <c:v>0.98424898632090185</c:v>
                </c:pt>
                <c:pt idx="1">
                  <c:v>1.0115706673433138</c:v>
                </c:pt>
                <c:pt idx="2">
                  <c:v>0.96280368612119516</c:v>
                </c:pt>
                <c:pt idx="3">
                  <c:v>1.1463473633284953</c:v>
                </c:pt>
                <c:pt idx="4">
                  <c:v>1.0169610598153351</c:v>
                </c:pt>
                <c:pt idx="5">
                  <c:v>0.92767453540934208</c:v>
                </c:pt>
                <c:pt idx="6">
                  <c:v>0.9122753809993176</c:v>
                </c:pt>
                <c:pt idx="7">
                  <c:v>0.94646725545742372</c:v>
                </c:pt>
                <c:pt idx="8">
                  <c:v>0.91931551804969525</c:v>
                </c:pt>
                <c:pt idx="9">
                  <c:v>0.88668949283115772</c:v>
                </c:pt>
                <c:pt idx="10">
                  <c:v>0.80287978569036722</c:v>
                </c:pt>
                <c:pt idx="11">
                  <c:v>0.68924605493863234</c:v>
                </c:pt>
                <c:pt idx="12">
                  <c:v>0.62367864693446085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B2-4A65-A138-1311CD2F4F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2487007"/>
        <c:axId val="482487487"/>
      </c:barChart>
      <c:catAx>
        <c:axId val="4824870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482487487"/>
        <c:crosses val="autoZero"/>
        <c:auto val="1"/>
        <c:lblAlgn val="ctr"/>
        <c:lblOffset val="100"/>
        <c:noMultiLvlLbl val="0"/>
      </c:catAx>
      <c:valAx>
        <c:axId val="482487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,##0.00_ ;_ * \-#,##0.0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4824870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</xdr:colOff>
      <xdr:row>1</xdr:row>
      <xdr:rowOff>9525</xdr:rowOff>
    </xdr:from>
    <xdr:to>
      <xdr:col>6</xdr:col>
      <xdr:colOff>606727</xdr:colOff>
      <xdr:row>7</xdr:row>
      <xdr:rowOff>66525</xdr:rowOff>
    </xdr:to>
    <xdr:pic>
      <xdr:nvPicPr>
        <xdr:cNvPr id="2" name="Billede 1">
          <a:extLst>
            <a:ext uri="{FF2B5EF4-FFF2-40B4-BE49-F238E27FC236}">
              <a16:creationId xmlns:a16="http://schemas.microsoft.com/office/drawing/2014/main" id="{2C811F88-7D62-5BD1-1252-D6A5B23153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8175" y="200025"/>
          <a:ext cx="6057143" cy="12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1</xdr:row>
      <xdr:rowOff>19050</xdr:rowOff>
    </xdr:from>
    <xdr:to>
      <xdr:col>6</xdr:col>
      <xdr:colOff>611994</xdr:colOff>
      <xdr:row>6</xdr:row>
      <xdr:rowOff>161788</xdr:rowOff>
    </xdr:to>
    <xdr:pic>
      <xdr:nvPicPr>
        <xdr:cNvPr id="2" name="Billede 1">
          <a:extLst>
            <a:ext uri="{FF2B5EF4-FFF2-40B4-BE49-F238E27FC236}">
              <a16:creationId xmlns:a16="http://schemas.microsoft.com/office/drawing/2014/main" id="{A3556BFA-5AD1-4902-A8C0-147111ED31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9125" y="209550"/>
          <a:ext cx="6247619" cy="109523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600075</xdr:colOff>
      <xdr:row>0</xdr:row>
      <xdr:rowOff>142875</xdr:rowOff>
    </xdr:from>
    <xdr:to>
      <xdr:col>1</xdr:col>
      <xdr:colOff>3828157</xdr:colOff>
      <xdr:row>5</xdr:row>
      <xdr:rowOff>104660</xdr:rowOff>
    </xdr:to>
    <xdr:pic>
      <xdr:nvPicPr>
        <xdr:cNvPr id="2" name="Billede 1">
          <a:extLst>
            <a:ext uri="{FF2B5EF4-FFF2-40B4-BE49-F238E27FC236}">
              <a16:creationId xmlns:a16="http://schemas.microsoft.com/office/drawing/2014/main" id="{8EA3F769-9E31-FEEE-6A3B-56D163445A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0075" y="142875"/>
          <a:ext cx="7142857" cy="92381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733425</xdr:colOff>
      <xdr:row>43</xdr:row>
      <xdr:rowOff>166687</xdr:rowOff>
    </xdr:from>
    <xdr:to>
      <xdr:col>23</xdr:col>
      <xdr:colOff>161925</xdr:colOff>
      <xdr:row>53</xdr:row>
      <xdr:rowOff>180975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EE941B27-92D7-43AF-9EDB-BBEC96AE4A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738187</xdr:colOff>
      <xdr:row>54</xdr:row>
      <xdr:rowOff>185737</xdr:rowOff>
    </xdr:from>
    <xdr:to>
      <xdr:col>23</xdr:col>
      <xdr:colOff>166687</xdr:colOff>
      <xdr:row>68</xdr:row>
      <xdr:rowOff>185737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BE44D033-90B1-4700-A1FD-0344275884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4762</xdr:colOff>
      <xdr:row>69</xdr:row>
      <xdr:rowOff>157162</xdr:rowOff>
    </xdr:from>
    <xdr:to>
      <xdr:col>23</xdr:col>
      <xdr:colOff>176212</xdr:colOff>
      <xdr:row>84</xdr:row>
      <xdr:rowOff>42862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BF5F58A8-BA28-4779-AFDA-D9F6740E7D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</xdr:col>
      <xdr:colOff>0</xdr:colOff>
      <xdr:row>1</xdr:row>
      <xdr:rowOff>9525</xdr:rowOff>
    </xdr:from>
    <xdr:to>
      <xdr:col>8</xdr:col>
      <xdr:colOff>38191</xdr:colOff>
      <xdr:row>4</xdr:row>
      <xdr:rowOff>161924</xdr:rowOff>
    </xdr:to>
    <xdr:pic>
      <xdr:nvPicPr>
        <xdr:cNvPr id="5" name="Billede 4">
          <a:extLst>
            <a:ext uri="{FF2B5EF4-FFF2-40B4-BE49-F238E27FC236}">
              <a16:creationId xmlns:a16="http://schemas.microsoft.com/office/drawing/2014/main" id="{9C4E62A0-A627-4399-8DB9-804E50B48A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9600" y="200025"/>
          <a:ext cx="8010616" cy="72389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228600</xdr:colOff>
      <xdr:row>0</xdr:row>
      <xdr:rowOff>114300</xdr:rowOff>
    </xdr:from>
    <xdr:to>
      <xdr:col>1</xdr:col>
      <xdr:colOff>4810125</xdr:colOff>
      <xdr:row>9</xdr:row>
      <xdr:rowOff>136348</xdr:rowOff>
    </xdr:to>
    <xdr:pic>
      <xdr:nvPicPr>
        <xdr:cNvPr id="2" name="Billede 1">
          <a:extLst>
            <a:ext uri="{FF2B5EF4-FFF2-40B4-BE49-F238E27FC236}">
              <a16:creationId xmlns:a16="http://schemas.microsoft.com/office/drawing/2014/main" id="{4FD0ECD4-FC78-4CA6-90DC-6714588396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8200" y="114300"/>
          <a:ext cx="4581525" cy="147937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1108363</xdr:colOff>
      <xdr:row>63</xdr:row>
      <xdr:rowOff>46182</xdr:rowOff>
    </xdr:from>
    <xdr:to>
      <xdr:col>1</xdr:col>
      <xdr:colOff>577272</xdr:colOff>
      <xdr:row>66</xdr:row>
      <xdr:rowOff>2885</xdr:rowOff>
    </xdr:to>
    <xdr:sp macro="" textlink="">
      <xdr:nvSpPr>
        <xdr:cNvPr id="2" name="Ellipse 1">
          <a:extLst>
            <a:ext uri="{FF2B5EF4-FFF2-40B4-BE49-F238E27FC236}">
              <a16:creationId xmlns:a16="http://schemas.microsoft.com/office/drawing/2014/main" id="{8394824F-BA8F-4DFD-A5C7-3ECE640A6590}"/>
            </a:ext>
          </a:extLst>
        </xdr:cNvPr>
        <xdr:cNvSpPr/>
      </xdr:nvSpPr>
      <xdr:spPr>
        <a:xfrm>
          <a:off x="613063" y="12047682"/>
          <a:ext cx="573809" cy="528203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a-DK" sz="1100"/>
        </a:p>
      </xdr:txBody>
    </xdr:sp>
    <xdr:clientData/>
  </xdr:twoCellAnchor>
  <xdr:twoCellAnchor>
    <xdr:from>
      <xdr:col>1</xdr:col>
      <xdr:colOff>114300</xdr:colOff>
      <xdr:row>65</xdr:row>
      <xdr:rowOff>104200</xdr:rowOff>
    </xdr:from>
    <xdr:to>
      <xdr:col>2</xdr:col>
      <xdr:colOff>419100</xdr:colOff>
      <xdr:row>69</xdr:row>
      <xdr:rowOff>184152</xdr:rowOff>
    </xdr:to>
    <xdr:cxnSp macro="">
      <xdr:nvCxnSpPr>
        <xdr:cNvPr id="3" name="Lige pilforbindelse 2">
          <a:extLst>
            <a:ext uri="{FF2B5EF4-FFF2-40B4-BE49-F238E27FC236}">
              <a16:creationId xmlns:a16="http://schemas.microsoft.com/office/drawing/2014/main" id="{C1AC5ACF-DA15-4886-A7A4-EDAFAA1203AA}"/>
            </a:ext>
          </a:extLst>
        </xdr:cNvPr>
        <xdr:cNvCxnSpPr/>
      </xdr:nvCxnSpPr>
      <xdr:spPr>
        <a:xfrm>
          <a:off x="723900" y="12486700"/>
          <a:ext cx="914400" cy="841952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453160</xdr:colOff>
      <xdr:row>10</xdr:row>
      <xdr:rowOff>147204</xdr:rowOff>
    </xdr:from>
    <xdr:to>
      <xdr:col>3</xdr:col>
      <xdr:colOff>303068</xdr:colOff>
      <xdr:row>15</xdr:row>
      <xdr:rowOff>49068</xdr:rowOff>
    </xdr:to>
    <xdr:cxnSp macro="">
      <xdr:nvCxnSpPr>
        <xdr:cNvPr id="4" name="Lige pilforbindelse 3">
          <a:extLst>
            <a:ext uri="{FF2B5EF4-FFF2-40B4-BE49-F238E27FC236}">
              <a16:creationId xmlns:a16="http://schemas.microsoft.com/office/drawing/2014/main" id="{A5C92E32-5A9B-4F9D-B1DA-5846C929807D}"/>
            </a:ext>
          </a:extLst>
        </xdr:cNvPr>
        <xdr:cNvCxnSpPr/>
      </xdr:nvCxnSpPr>
      <xdr:spPr>
        <a:xfrm flipH="1">
          <a:off x="1062760" y="2052204"/>
          <a:ext cx="1069108" cy="854364"/>
        </a:xfrm>
        <a:prstGeom prst="straightConnector1">
          <a:avLst/>
        </a:prstGeom>
        <a:ln w="22225">
          <a:solidFill>
            <a:srgbClr val="FF0000"/>
          </a:solidFill>
          <a:tailEnd type="arrow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91787</xdr:colOff>
      <xdr:row>44</xdr:row>
      <xdr:rowOff>121227</xdr:rowOff>
    </xdr:from>
    <xdr:to>
      <xdr:col>3</xdr:col>
      <xdr:colOff>381000</xdr:colOff>
      <xdr:row>49</xdr:row>
      <xdr:rowOff>57141</xdr:rowOff>
    </xdr:to>
    <xdr:cxnSp macro="">
      <xdr:nvCxnSpPr>
        <xdr:cNvPr id="5" name="Lige pilforbindelse 4">
          <a:extLst>
            <a:ext uri="{FF2B5EF4-FFF2-40B4-BE49-F238E27FC236}">
              <a16:creationId xmlns:a16="http://schemas.microsoft.com/office/drawing/2014/main" id="{CDA16872-2548-4975-9B2D-C6647569B762}"/>
            </a:ext>
          </a:extLst>
        </xdr:cNvPr>
        <xdr:cNvCxnSpPr/>
      </xdr:nvCxnSpPr>
      <xdr:spPr>
        <a:xfrm flipH="1">
          <a:off x="1310987" y="8503227"/>
          <a:ext cx="898813" cy="888414"/>
        </a:xfrm>
        <a:prstGeom prst="straightConnector1">
          <a:avLst/>
        </a:prstGeom>
        <a:ln w="22225">
          <a:solidFill>
            <a:srgbClr val="FF0000"/>
          </a:solidFill>
          <a:tailEnd type="arrow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288961</xdr:colOff>
      <xdr:row>0</xdr:row>
      <xdr:rowOff>189473</xdr:rowOff>
    </xdr:from>
    <xdr:to>
      <xdr:col>6</xdr:col>
      <xdr:colOff>637478</xdr:colOff>
      <xdr:row>25</xdr:row>
      <xdr:rowOff>108858</xdr:rowOff>
    </xdr:to>
    <xdr:pic>
      <xdr:nvPicPr>
        <xdr:cNvPr id="2" name="Billede 1">
          <a:extLst>
            <a:ext uri="{FF2B5EF4-FFF2-40B4-BE49-F238E27FC236}">
              <a16:creationId xmlns:a16="http://schemas.microsoft.com/office/drawing/2014/main" id="{40884B6F-C970-47F2-8387-8B4E1E0B6B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09017" y="189473"/>
          <a:ext cx="5196635" cy="473539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/Users/Jakki/Downloads/WDcase_l&#248;sning.xlsx" TargetMode="External"/><Relationship Id="rId1" Type="http://schemas.openxmlformats.org/officeDocument/2006/relationships/externalLinkPath" Target="file:///C:/Users/Jakki/Downloads/WDcase_l&#248;sn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genkapitalopgørelser"/>
      <sheetName val="Balancer"/>
      <sheetName val="BalancerReformuleret"/>
      <sheetName val="Balancer Common size mm"/>
      <sheetName val="Totalindkomstopgørelser"/>
      <sheetName val="Totalindkomstopg Common size mm"/>
      <sheetName val="Pengestrømsopg"/>
    </sheetNames>
    <sheetDataSet>
      <sheetData sheetId="0">
        <row r="3">
          <cell r="P3">
            <v>1302.0999999999999</v>
          </cell>
          <cell r="Q3">
            <v>2441.8999999999996</v>
          </cell>
          <cell r="R3">
            <v>3298.8999999999996</v>
          </cell>
          <cell r="S3">
            <v>4059.8999999999996</v>
          </cell>
          <cell r="T3">
            <v>5055.8999999999996</v>
          </cell>
          <cell r="U3">
            <v>5584.9</v>
          </cell>
          <cell r="V3">
            <v>6497.9</v>
          </cell>
        </row>
        <row r="10">
          <cell r="P10">
            <v>-2.2000000000000002</v>
          </cell>
          <cell r="Q10">
            <v>-300</v>
          </cell>
          <cell r="R10">
            <v>-493</v>
          </cell>
          <cell r="S10">
            <v>-101</v>
          </cell>
          <cell r="T10">
            <v>-887</v>
          </cell>
          <cell r="U10">
            <v>-621</v>
          </cell>
          <cell r="V10">
            <v>-1051</v>
          </cell>
          <cell r="W10">
            <v>-1031</v>
          </cell>
          <cell r="X10">
            <v>-1751</v>
          </cell>
          <cell r="Y10">
            <v>-946</v>
          </cell>
        </row>
        <row r="15">
          <cell r="P15">
            <v>1142</v>
          </cell>
          <cell r="Q15">
            <v>1157</v>
          </cell>
          <cell r="R15">
            <v>1254</v>
          </cell>
          <cell r="S15">
            <v>1097</v>
          </cell>
          <cell r="T15">
            <v>1416</v>
          </cell>
          <cell r="U15">
            <v>1534</v>
          </cell>
          <cell r="V15">
            <v>1513</v>
          </cell>
          <cell r="W15">
            <v>1497</v>
          </cell>
          <cell r="X15">
            <v>1374</v>
          </cell>
          <cell r="Y15">
            <v>1531</v>
          </cell>
        </row>
      </sheetData>
      <sheetData sheetId="1"/>
      <sheetData sheetId="2">
        <row r="5">
          <cell r="B5">
            <v>12381</v>
          </cell>
          <cell r="C5">
            <v>11488</v>
          </cell>
          <cell r="D5">
            <v>9471</v>
          </cell>
          <cell r="E5">
            <v>8320</v>
          </cell>
          <cell r="F5">
            <v>7826</v>
          </cell>
          <cell r="G5">
            <v>7211</v>
          </cell>
          <cell r="H5">
            <v>6339</v>
          </cell>
          <cell r="I5">
            <v>6276</v>
          </cell>
          <cell r="J5">
            <v>5660</v>
          </cell>
          <cell r="K5">
            <v>3831</v>
          </cell>
          <cell r="L5">
            <v>3545</v>
          </cell>
          <cell r="M5">
            <v>2568</v>
          </cell>
          <cell r="N5">
            <v>1976</v>
          </cell>
          <cell r="O5">
            <v>1660</v>
          </cell>
        </row>
        <row r="6">
          <cell r="B6">
            <v>15</v>
          </cell>
          <cell r="C6">
            <v>19</v>
          </cell>
          <cell r="D6">
            <v>21</v>
          </cell>
          <cell r="E6">
            <v>12</v>
          </cell>
          <cell r="F6">
            <v>21</v>
          </cell>
          <cell r="G6">
            <v>35</v>
          </cell>
          <cell r="H6">
            <v>40</v>
          </cell>
          <cell r="I6">
            <v>51</v>
          </cell>
          <cell r="J6">
            <v>22</v>
          </cell>
          <cell r="K6">
            <v>28</v>
          </cell>
          <cell r="L6">
            <v>35</v>
          </cell>
          <cell r="M6">
            <v>47</v>
          </cell>
          <cell r="N6">
            <v>44</v>
          </cell>
          <cell r="O6">
            <v>53</v>
          </cell>
        </row>
        <row r="7">
          <cell r="B7">
            <v>812</v>
          </cell>
          <cell r="C7">
            <v>815</v>
          </cell>
          <cell r="D7">
            <v>551</v>
          </cell>
          <cell r="E7">
            <v>489</v>
          </cell>
          <cell r="F7">
            <v>508</v>
          </cell>
          <cell r="G7">
            <v>439</v>
          </cell>
          <cell r="H7">
            <v>407</v>
          </cell>
          <cell r="I7">
            <v>289</v>
          </cell>
          <cell r="J7">
            <v>275</v>
          </cell>
          <cell r="K7">
            <v>37</v>
          </cell>
        </row>
        <row r="8">
          <cell r="B8">
            <v>332</v>
          </cell>
          <cell r="C8">
            <v>260</v>
          </cell>
          <cell r="D8">
            <v>274</v>
          </cell>
          <cell r="E8">
            <v>283</v>
          </cell>
          <cell r="F8">
            <v>221</v>
          </cell>
          <cell r="G8">
            <v>181</v>
          </cell>
          <cell r="H8">
            <v>106</v>
          </cell>
          <cell r="I8">
            <v>152</v>
          </cell>
          <cell r="J8">
            <v>20</v>
          </cell>
          <cell r="K8">
            <v>107</v>
          </cell>
          <cell r="L8">
            <v>35</v>
          </cell>
          <cell r="M8">
            <v>33</v>
          </cell>
          <cell r="N8">
            <v>35</v>
          </cell>
          <cell r="O8">
            <v>41</v>
          </cell>
        </row>
        <row r="9">
          <cell r="B9">
            <v>1135</v>
          </cell>
          <cell r="C9">
            <v>1006</v>
          </cell>
          <cell r="D9">
            <v>1002</v>
          </cell>
          <cell r="E9">
            <v>980</v>
          </cell>
          <cell r="F9">
            <v>887</v>
          </cell>
          <cell r="G9">
            <v>859</v>
          </cell>
          <cell r="H9">
            <v>871</v>
          </cell>
          <cell r="I9">
            <v>878</v>
          </cell>
          <cell r="J9">
            <v>900</v>
          </cell>
          <cell r="K9">
            <v>749</v>
          </cell>
          <cell r="L9">
            <v>651</v>
          </cell>
          <cell r="M9">
            <v>686</v>
          </cell>
          <cell r="N9">
            <v>672</v>
          </cell>
          <cell r="O9">
            <v>565</v>
          </cell>
        </row>
        <row r="10">
          <cell r="B10">
            <v>260</v>
          </cell>
          <cell r="C10">
            <v>237</v>
          </cell>
          <cell r="D10">
            <v>212</v>
          </cell>
          <cell r="E10">
            <v>217</v>
          </cell>
          <cell r="F10">
            <v>240</v>
          </cell>
          <cell r="G10">
            <v>221</v>
          </cell>
          <cell r="H10">
            <v>210</v>
          </cell>
          <cell r="I10">
            <v>220</v>
          </cell>
          <cell r="J10">
            <v>183</v>
          </cell>
          <cell r="K10">
            <v>173</v>
          </cell>
          <cell r="L10">
            <v>171</v>
          </cell>
          <cell r="M10">
            <v>159</v>
          </cell>
          <cell r="N10">
            <v>132</v>
          </cell>
          <cell r="O10">
            <v>137</v>
          </cell>
        </row>
        <row r="11">
          <cell r="B11">
            <v>508</v>
          </cell>
          <cell r="C11">
            <v>456</v>
          </cell>
          <cell r="D11">
            <v>458</v>
          </cell>
          <cell r="E11">
            <v>350</v>
          </cell>
          <cell r="F11">
            <v>372</v>
          </cell>
          <cell r="G11">
            <v>326</v>
          </cell>
          <cell r="H11">
            <v>289</v>
          </cell>
          <cell r="I11">
            <v>290</v>
          </cell>
          <cell r="J11">
            <v>285</v>
          </cell>
          <cell r="K11">
            <v>265</v>
          </cell>
          <cell r="L11">
            <v>289</v>
          </cell>
          <cell r="M11">
            <v>259</v>
          </cell>
          <cell r="N11">
            <v>250</v>
          </cell>
          <cell r="O11">
            <v>213</v>
          </cell>
        </row>
        <row r="12">
          <cell r="B12">
            <v>685</v>
          </cell>
          <cell r="C12">
            <v>634</v>
          </cell>
          <cell r="D12">
            <v>478</v>
          </cell>
          <cell r="E12">
            <v>411</v>
          </cell>
          <cell r="F12">
            <v>427</v>
          </cell>
          <cell r="G12">
            <v>341</v>
          </cell>
          <cell r="H12">
            <v>265</v>
          </cell>
          <cell r="I12">
            <v>263</v>
          </cell>
          <cell r="J12">
            <v>246</v>
          </cell>
          <cell r="K12">
            <v>171</v>
          </cell>
          <cell r="L12">
            <v>171</v>
          </cell>
          <cell r="M12">
            <v>170</v>
          </cell>
          <cell r="N12">
            <v>154</v>
          </cell>
          <cell r="O12">
            <v>133</v>
          </cell>
        </row>
        <row r="13">
          <cell r="B13">
            <v>225</v>
          </cell>
          <cell r="C13">
            <v>220</v>
          </cell>
          <cell r="D13">
            <v>127</v>
          </cell>
          <cell r="E13">
            <v>181</v>
          </cell>
          <cell r="F13">
            <v>135</v>
          </cell>
          <cell r="G13">
            <v>76</v>
          </cell>
          <cell r="H13">
            <v>83</v>
          </cell>
          <cell r="I13">
            <v>91</v>
          </cell>
          <cell r="J13">
            <v>154</v>
          </cell>
          <cell r="K13">
            <v>199</v>
          </cell>
          <cell r="L13">
            <v>206</v>
          </cell>
          <cell r="M13">
            <v>98</v>
          </cell>
          <cell r="N13">
            <v>68</v>
          </cell>
          <cell r="O13">
            <v>63</v>
          </cell>
        </row>
        <row r="14">
          <cell r="B14">
            <v>2596</v>
          </cell>
          <cell r="C14">
            <v>2304</v>
          </cell>
          <cell r="D14">
            <v>2079</v>
          </cell>
          <cell r="E14">
            <v>1847</v>
          </cell>
          <cell r="F14">
            <v>1937</v>
          </cell>
        </row>
        <row r="15">
          <cell r="B15">
            <v>728</v>
          </cell>
          <cell r="C15">
            <v>822</v>
          </cell>
          <cell r="D15">
            <v>858</v>
          </cell>
          <cell r="E15">
            <v>833</v>
          </cell>
          <cell r="F15">
            <v>963</v>
          </cell>
          <cell r="G15">
            <v>983</v>
          </cell>
          <cell r="H15">
            <v>933</v>
          </cell>
          <cell r="I15">
            <v>583</v>
          </cell>
          <cell r="J15">
            <v>525</v>
          </cell>
          <cell r="K15">
            <v>527</v>
          </cell>
          <cell r="L15">
            <v>459</v>
          </cell>
          <cell r="M15">
            <v>278</v>
          </cell>
          <cell r="N15">
            <v>96</v>
          </cell>
          <cell r="O15">
            <v>83</v>
          </cell>
        </row>
        <row r="16">
          <cell r="B16">
            <v>277</v>
          </cell>
          <cell r="C16">
            <v>371</v>
          </cell>
          <cell r="D16">
            <v>267</v>
          </cell>
          <cell r="E16">
            <v>247</v>
          </cell>
          <cell r="F16">
            <v>182</v>
          </cell>
          <cell r="G16">
            <v>167</v>
          </cell>
          <cell r="H16">
            <v>500</v>
          </cell>
          <cell r="I16">
            <v>383</v>
          </cell>
          <cell r="J16">
            <v>357</v>
          </cell>
          <cell r="K16">
            <v>264</v>
          </cell>
          <cell r="L16">
            <v>151</v>
          </cell>
          <cell r="M16">
            <v>124</v>
          </cell>
          <cell r="N16">
            <v>83</v>
          </cell>
          <cell r="O16">
            <v>70</v>
          </cell>
        </row>
        <row r="17">
          <cell r="B17">
            <v>19</v>
          </cell>
          <cell r="C17">
            <v>15</v>
          </cell>
          <cell r="D17">
            <v>11</v>
          </cell>
          <cell r="E17">
            <v>14</v>
          </cell>
          <cell r="F17">
            <v>16</v>
          </cell>
          <cell r="G17">
            <v>14</v>
          </cell>
          <cell r="H17">
            <v>11</v>
          </cell>
          <cell r="I17">
            <v>8</v>
          </cell>
          <cell r="J17">
            <v>12</v>
          </cell>
          <cell r="K17">
            <v>12</v>
          </cell>
          <cell r="L17">
            <v>11</v>
          </cell>
          <cell r="M17">
            <v>12</v>
          </cell>
          <cell r="N17">
            <v>9</v>
          </cell>
          <cell r="O17">
            <v>6</v>
          </cell>
        </row>
        <row r="18">
          <cell r="B18">
            <v>477</v>
          </cell>
          <cell r="C18">
            <v>566</v>
          </cell>
          <cell r="D18">
            <v>494</v>
          </cell>
        </row>
        <row r="19">
          <cell r="B19">
            <v>170</v>
          </cell>
          <cell r="C19">
            <v>84</v>
          </cell>
          <cell r="D19">
            <v>75</v>
          </cell>
          <cell r="E19">
            <v>503</v>
          </cell>
          <cell r="F19">
            <v>598</v>
          </cell>
          <cell r="G19">
            <v>564</v>
          </cell>
          <cell r="H19">
            <v>456</v>
          </cell>
          <cell r="I19">
            <v>539</v>
          </cell>
          <cell r="J19">
            <v>567</v>
          </cell>
          <cell r="K19">
            <v>569</v>
          </cell>
          <cell r="L19">
            <v>566</v>
          </cell>
          <cell r="M19">
            <v>623</v>
          </cell>
          <cell r="N19">
            <v>487</v>
          </cell>
          <cell r="O19">
            <v>435</v>
          </cell>
        </row>
        <row r="20">
          <cell r="B20">
            <v>542</v>
          </cell>
          <cell r="C20">
            <v>538</v>
          </cell>
          <cell r="D20">
            <v>596</v>
          </cell>
          <cell r="E20">
            <v>553</v>
          </cell>
          <cell r="F20">
            <v>551</v>
          </cell>
          <cell r="G20">
            <v>513</v>
          </cell>
          <cell r="H20">
            <v>372</v>
          </cell>
          <cell r="I20">
            <v>396</v>
          </cell>
          <cell r="J20">
            <v>376</v>
          </cell>
          <cell r="K20">
            <v>238</v>
          </cell>
          <cell r="L20">
            <v>266</v>
          </cell>
          <cell r="M20">
            <v>268</v>
          </cell>
          <cell r="N20">
            <v>278</v>
          </cell>
          <cell r="O20">
            <v>266</v>
          </cell>
        </row>
        <row r="21">
          <cell r="B21">
            <v>2845</v>
          </cell>
          <cell r="C21">
            <v>2904</v>
          </cell>
          <cell r="D21">
            <v>2366</v>
          </cell>
          <cell r="E21">
            <v>1968</v>
          </cell>
          <cell r="F21">
            <v>1852</v>
          </cell>
          <cell r="G21">
            <v>1641</v>
          </cell>
          <cell r="H21">
            <v>1351</v>
          </cell>
          <cell r="I21">
            <v>1300</v>
          </cell>
          <cell r="J21">
            <v>1324</v>
          </cell>
          <cell r="K21">
            <v>1203</v>
          </cell>
          <cell r="L21">
            <v>1142</v>
          </cell>
          <cell r="M21">
            <v>1014</v>
          </cell>
          <cell r="N21">
            <v>1082</v>
          </cell>
          <cell r="O21">
            <v>993</v>
          </cell>
        </row>
        <row r="22">
          <cell r="B22">
            <v>3650</v>
          </cell>
          <cell r="C22">
            <v>3626</v>
          </cell>
          <cell r="D22">
            <v>3203</v>
          </cell>
          <cell r="E22">
            <v>2808</v>
          </cell>
          <cell r="F22">
            <v>3209</v>
          </cell>
          <cell r="G22">
            <v>2763</v>
          </cell>
          <cell r="H22">
            <v>2573</v>
          </cell>
          <cell r="I22">
            <v>2440</v>
          </cell>
          <cell r="J22">
            <v>2203</v>
          </cell>
          <cell r="K22">
            <v>1994</v>
          </cell>
          <cell r="L22">
            <v>1862</v>
          </cell>
          <cell r="M22">
            <v>1754</v>
          </cell>
          <cell r="N22">
            <v>1711</v>
          </cell>
          <cell r="O22">
            <v>1609</v>
          </cell>
        </row>
        <row r="23">
          <cell r="B23">
            <v>188</v>
          </cell>
          <cell r="C23">
            <v>170</v>
          </cell>
          <cell r="D23">
            <v>147</v>
          </cell>
          <cell r="E23">
            <v>111</v>
          </cell>
          <cell r="F23">
            <v>178</v>
          </cell>
          <cell r="G23">
            <v>170</v>
          </cell>
          <cell r="H23">
            <v>81</v>
          </cell>
          <cell r="I23">
            <v>71</v>
          </cell>
          <cell r="J23">
            <v>53</v>
          </cell>
          <cell r="K23">
            <v>12</v>
          </cell>
          <cell r="L23">
            <v>3</v>
          </cell>
          <cell r="M23">
            <v>12</v>
          </cell>
          <cell r="N23">
            <v>5</v>
          </cell>
          <cell r="O23">
            <v>7</v>
          </cell>
        </row>
        <row r="24">
          <cell r="B24">
            <v>236</v>
          </cell>
          <cell r="C24">
            <v>126</v>
          </cell>
          <cell r="D24">
            <v>68</v>
          </cell>
          <cell r="E24">
            <v>63</v>
          </cell>
          <cell r="F24">
            <v>106</v>
          </cell>
          <cell r="G24">
            <v>129</v>
          </cell>
          <cell r="H24">
            <v>107</v>
          </cell>
          <cell r="I24">
            <v>146</v>
          </cell>
          <cell r="J24">
            <v>77</v>
          </cell>
          <cell r="K24">
            <v>94</v>
          </cell>
          <cell r="L24">
            <v>72</v>
          </cell>
          <cell r="M24">
            <v>88</v>
          </cell>
          <cell r="N24">
            <v>46</v>
          </cell>
          <cell r="O24">
            <v>32</v>
          </cell>
        </row>
        <row r="25">
          <cell r="B25">
            <v>191</v>
          </cell>
          <cell r="C25">
            <v>229</v>
          </cell>
          <cell r="D25">
            <v>196</v>
          </cell>
        </row>
        <row r="26">
          <cell r="B26">
            <v>378</v>
          </cell>
          <cell r="C26">
            <v>376</v>
          </cell>
          <cell r="D26">
            <v>420</v>
          </cell>
          <cell r="E26">
            <v>441</v>
          </cell>
          <cell r="F26">
            <v>521</v>
          </cell>
          <cell r="G26">
            <v>380</v>
          </cell>
          <cell r="H26">
            <v>257</v>
          </cell>
          <cell r="I26">
            <v>259</v>
          </cell>
          <cell r="J26">
            <v>277</v>
          </cell>
          <cell r="K26">
            <v>183</v>
          </cell>
          <cell r="L26">
            <v>202</v>
          </cell>
          <cell r="M26">
            <v>142</v>
          </cell>
          <cell r="N26">
            <v>140</v>
          </cell>
          <cell r="O26">
            <v>57</v>
          </cell>
        </row>
        <row r="27">
          <cell r="B27">
            <v>60</v>
          </cell>
          <cell r="C27">
            <v>103</v>
          </cell>
          <cell r="D27">
            <v>6</v>
          </cell>
          <cell r="E27">
            <v>81</v>
          </cell>
          <cell r="F27">
            <v>13</v>
          </cell>
          <cell r="G27">
            <v>12</v>
          </cell>
          <cell r="H27">
            <v>66</v>
          </cell>
          <cell r="I27">
            <v>11</v>
          </cell>
          <cell r="J27">
            <v>12</v>
          </cell>
          <cell r="K27">
            <v>7</v>
          </cell>
          <cell r="L27">
            <v>45</v>
          </cell>
          <cell r="M27">
            <v>31</v>
          </cell>
          <cell r="N27">
            <v>0</v>
          </cell>
          <cell r="O27">
            <v>30</v>
          </cell>
        </row>
        <row r="28">
          <cell r="B28">
            <v>415</v>
          </cell>
          <cell r="C28">
            <v>394</v>
          </cell>
          <cell r="D28">
            <v>308</v>
          </cell>
          <cell r="E28">
            <v>263</v>
          </cell>
          <cell r="F28">
            <v>243</v>
          </cell>
          <cell r="G28">
            <v>280</v>
          </cell>
          <cell r="H28">
            <v>208</v>
          </cell>
          <cell r="I28">
            <v>192</v>
          </cell>
          <cell r="J28">
            <v>188</v>
          </cell>
          <cell r="K28">
            <v>113</v>
          </cell>
          <cell r="L28">
            <v>108</v>
          </cell>
          <cell r="M28">
            <v>104</v>
          </cell>
          <cell r="N28">
            <v>90</v>
          </cell>
          <cell r="O28">
            <v>93</v>
          </cell>
        </row>
        <row r="31">
          <cell r="B31">
            <v>633</v>
          </cell>
          <cell r="C31">
            <v>620</v>
          </cell>
          <cell r="D31">
            <v>470</v>
          </cell>
          <cell r="E31">
            <v>339</v>
          </cell>
          <cell r="F31">
            <v>314</v>
          </cell>
          <cell r="G31">
            <v>232</v>
          </cell>
          <cell r="H31">
            <v>159</v>
          </cell>
          <cell r="I31">
            <v>152</v>
          </cell>
          <cell r="J31">
            <v>125</v>
          </cell>
          <cell r="K31">
            <v>134</v>
          </cell>
          <cell r="L31">
            <v>146</v>
          </cell>
          <cell r="M31">
            <v>148</v>
          </cell>
          <cell r="N31">
            <v>113</v>
          </cell>
          <cell r="O31">
            <v>86</v>
          </cell>
        </row>
        <row r="32">
          <cell r="B32">
            <v>201</v>
          </cell>
          <cell r="C32">
            <v>175</v>
          </cell>
          <cell r="D32">
            <v>268</v>
          </cell>
          <cell r="E32">
            <v>305</v>
          </cell>
          <cell r="F32">
            <v>283</v>
          </cell>
          <cell r="G32">
            <v>231</v>
          </cell>
          <cell r="H32">
            <v>215</v>
          </cell>
          <cell r="I32">
            <v>295</v>
          </cell>
          <cell r="J32">
            <v>273</v>
          </cell>
          <cell r="K32">
            <v>154</v>
          </cell>
          <cell r="L32">
            <v>132</v>
          </cell>
          <cell r="M32">
            <v>121</v>
          </cell>
          <cell r="N32">
            <v>195</v>
          </cell>
          <cell r="O32">
            <v>171</v>
          </cell>
        </row>
        <row r="33">
          <cell r="B33">
            <v>661</v>
          </cell>
          <cell r="C33">
            <v>566</v>
          </cell>
          <cell r="D33">
            <v>340</v>
          </cell>
          <cell r="E33">
            <v>313</v>
          </cell>
          <cell r="F33">
            <v>203</v>
          </cell>
          <cell r="G33">
            <v>194</v>
          </cell>
          <cell r="H33">
            <v>197</v>
          </cell>
          <cell r="I33">
            <v>171</v>
          </cell>
          <cell r="J33">
            <v>119</v>
          </cell>
          <cell r="K33">
            <v>120</v>
          </cell>
          <cell r="L33">
            <v>220</v>
          </cell>
          <cell r="M33">
            <v>136</v>
          </cell>
          <cell r="N33">
            <v>190</v>
          </cell>
          <cell r="O33">
            <v>173</v>
          </cell>
        </row>
        <row r="34">
          <cell r="B34">
            <v>635</v>
          </cell>
          <cell r="C34">
            <v>501</v>
          </cell>
          <cell r="D34">
            <v>423</v>
          </cell>
          <cell r="E34">
            <v>381</v>
          </cell>
          <cell r="F34">
            <v>451</v>
          </cell>
          <cell r="G34">
            <v>569</v>
          </cell>
          <cell r="H34">
            <v>208</v>
          </cell>
          <cell r="I34">
            <v>170</v>
          </cell>
          <cell r="J34">
            <v>164</v>
          </cell>
          <cell r="K34">
            <v>36</v>
          </cell>
          <cell r="L34">
            <v>34</v>
          </cell>
          <cell r="M34">
            <v>1</v>
          </cell>
          <cell r="N34">
            <v>0</v>
          </cell>
        </row>
        <row r="35">
          <cell r="B35">
            <v>799</v>
          </cell>
          <cell r="C35">
            <v>865</v>
          </cell>
          <cell r="D35">
            <v>808</v>
          </cell>
          <cell r="E35">
            <v>802</v>
          </cell>
          <cell r="F35">
            <v>652</v>
          </cell>
          <cell r="G35">
            <v>499</v>
          </cell>
          <cell r="H35">
            <v>516</v>
          </cell>
          <cell r="I35">
            <v>513</v>
          </cell>
          <cell r="J35">
            <v>486</v>
          </cell>
          <cell r="K35">
            <v>342</v>
          </cell>
          <cell r="L35">
            <v>350</v>
          </cell>
          <cell r="M35">
            <v>351</v>
          </cell>
          <cell r="N35">
            <v>405</v>
          </cell>
          <cell r="O35">
            <v>342</v>
          </cell>
        </row>
        <row r="36">
          <cell r="B36">
            <v>1</v>
          </cell>
          <cell r="E36">
            <v>5</v>
          </cell>
          <cell r="F36">
            <v>3</v>
          </cell>
          <cell r="G36">
            <v>0</v>
          </cell>
          <cell r="H36">
            <v>0</v>
          </cell>
          <cell r="I36">
            <v>2</v>
          </cell>
          <cell r="J36">
            <v>2</v>
          </cell>
          <cell r="K36">
            <v>1</v>
          </cell>
        </row>
        <row r="37">
          <cell r="B37">
            <v>578</v>
          </cell>
          <cell r="C37">
            <v>311</v>
          </cell>
          <cell r="D37">
            <v>267</v>
          </cell>
          <cell r="E37">
            <v>131</v>
          </cell>
          <cell r="F37">
            <v>66</v>
          </cell>
          <cell r="G37">
            <v>57</v>
          </cell>
          <cell r="H37">
            <v>72</v>
          </cell>
          <cell r="I37">
            <v>148</v>
          </cell>
          <cell r="J37">
            <v>145</v>
          </cell>
          <cell r="K37">
            <v>68</v>
          </cell>
          <cell r="L37">
            <v>65</v>
          </cell>
          <cell r="M37">
            <v>54</v>
          </cell>
          <cell r="N37">
            <v>45</v>
          </cell>
          <cell r="O37">
            <v>78</v>
          </cell>
        </row>
        <row r="38">
          <cell r="B38">
            <v>77</v>
          </cell>
          <cell r="C38">
            <v>33</v>
          </cell>
          <cell r="D38">
            <v>81</v>
          </cell>
          <cell r="E38">
            <v>17</v>
          </cell>
          <cell r="F38">
            <v>38</v>
          </cell>
          <cell r="G38">
            <v>22</v>
          </cell>
          <cell r="H38">
            <v>25</v>
          </cell>
          <cell r="I38">
            <v>32</v>
          </cell>
          <cell r="J38">
            <v>16</v>
          </cell>
          <cell r="K38">
            <v>4</v>
          </cell>
          <cell r="L38">
            <v>16</v>
          </cell>
          <cell r="M38">
            <v>36</v>
          </cell>
          <cell r="N38">
            <v>37</v>
          </cell>
          <cell r="O38">
            <v>39</v>
          </cell>
        </row>
        <row r="39">
          <cell r="B39">
            <v>2497</v>
          </cell>
          <cell r="C39">
            <v>2445</v>
          </cell>
          <cell r="D39">
            <v>2302</v>
          </cell>
          <cell r="E39">
            <v>1801</v>
          </cell>
          <cell r="F39">
            <v>1521</v>
          </cell>
          <cell r="G39">
            <v>1395</v>
          </cell>
          <cell r="H39">
            <v>1544</v>
          </cell>
          <cell r="I39">
            <v>1244</v>
          </cell>
          <cell r="J39">
            <v>1098</v>
          </cell>
          <cell r="K39">
            <v>956</v>
          </cell>
          <cell r="L39">
            <v>902</v>
          </cell>
          <cell r="M39">
            <v>936</v>
          </cell>
          <cell r="N39">
            <v>746</v>
          </cell>
          <cell r="O39">
            <v>726</v>
          </cell>
        </row>
        <row r="40">
          <cell r="B40">
            <v>35</v>
          </cell>
          <cell r="C40">
            <v>15</v>
          </cell>
          <cell r="D40">
            <v>81</v>
          </cell>
          <cell r="E40">
            <v>14</v>
          </cell>
          <cell r="F40">
            <v>43</v>
          </cell>
          <cell r="G40">
            <v>32</v>
          </cell>
          <cell r="H40">
            <v>3</v>
          </cell>
          <cell r="I40">
            <v>46</v>
          </cell>
          <cell r="J40">
            <v>74</v>
          </cell>
          <cell r="K40">
            <v>80</v>
          </cell>
          <cell r="L40">
            <v>11</v>
          </cell>
          <cell r="M40">
            <v>26</v>
          </cell>
          <cell r="N40">
            <v>127</v>
          </cell>
          <cell r="O40">
            <v>65</v>
          </cell>
        </row>
        <row r="41">
          <cell r="B41">
            <v>548</v>
          </cell>
          <cell r="C41">
            <v>513</v>
          </cell>
          <cell r="D41">
            <v>501</v>
          </cell>
          <cell r="E41">
            <v>536</v>
          </cell>
          <cell r="F41">
            <v>590</v>
          </cell>
          <cell r="G41">
            <v>517</v>
          </cell>
          <cell r="H41">
            <v>285</v>
          </cell>
          <cell r="I41">
            <v>302</v>
          </cell>
          <cell r="J41">
            <v>258</v>
          </cell>
          <cell r="K41">
            <v>228</v>
          </cell>
          <cell r="L41">
            <v>193</v>
          </cell>
          <cell r="M41">
            <v>196</v>
          </cell>
          <cell r="N41">
            <v>172</v>
          </cell>
          <cell r="O41">
            <v>164</v>
          </cell>
        </row>
        <row r="42">
          <cell r="B42">
            <v>22460</v>
          </cell>
          <cell r="C42">
            <v>21719</v>
          </cell>
        </row>
        <row r="52">
          <cell r="B52">
            <v>13122</v>
          </cell>
          <cell r="C52">
            <v>13157</v>
          </cell>
          <cell r="D52">
            <v>10166</v>
          </cell>
          <cell r="E52">
            <v>8052</v>
          </cell>
          <cell r="F52">
            <v>9197</v>
          </cell>
          <cell r="G52">
            <v>6498</v>
          </cell>
          <cell r="H52">
            <v>4868</v>
          </cell>
          <cell r="I52">
            <v>4797</v>
          </cell>
          <cell r="J52">
            <v>4456</v>
          </cell>
          <cell r="K52">
            <v>3069</v>
          </cell>
          <cell r="L52">
            <v>2865</v>
          </cell>
          <cell r="M52">
            <v>2406</v>
          </cell>
          <cell r="N52">
            <v>2024</v>
          </cell>
          <cell r="O52">
            <v>2260</v>
          </cell>
        </row>
        <row r="54">
          <cell r="B54">
            <v>82</v>
          </cell>
          <cell r="C54">
            <v>1</v>
          </cell>
          <cell r="D54">
            <v>4</v>
          </cell>
          <cell r="E54">
            <v>29</v>
          </cell>
          <cell r="F54">
            <v>9</v>
          </cell>
          <cell r="G54">
            <v>9</v>
          </cell>
          <cell r="H54">
            <v>6</v>
          </cell>
          <cell r="I54">
            <v>5</v>
          </cell>
          <cell r="J54">
            <v>1</v>
          </cell>
          <cell r="K54">
            <v>-2</v>
          </cell>
          <cell r="L54">
            <v>-1</v>
          </cell>
          <cell r="M54">
            <v>-2</v>
          </cell>
          <cell r="N54">
            <v>4</v>
          </cell>
          <cell r="O54">
            <v>0</v>
          </cell>
        </row>
      </sheetData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53E78-A848-4EDF-86AF-971C018100EE}">
  <dimension ref="A10:Z114"/>
  <sheetViews>
    <sheetView zoomScale="80" zoomScaleNormal="80" workbookViewId="0">
      <selection activeCell="T17" sqref="T17"/>
    </sheetView>
  </sheetViews>
  <sheetFormatPr baseColWidth="10" defaultColWidth="8.83203125" defaultRowHeight="15" x14ac:dyDescent="0.2"/>
  <cols>
    <col min="1" max="1" width="86" customWidth="1"/>
    <col min="2" max="2" width="45.83203125" bestFit="1" customWidth="1"/>
    <col min="11" max="12" width="10.33203125" bestFit="1" customWidth="1"/>
    <col min="13" max="14" width="9.33203125" bestFit="1" customWidth="1"/>
    <col min="19" max="19" width="41.5" bestFit="1" customWidth="1"/>
    <col min="20" max="20" width="13.1640625" bestFit="1" customWidth="1"/>
    <col min="21" max="21" width="15.83203125" bestFit="1" customWidth="1"/>
    <col min="22" max="22" width="7.5" bestFit="1" customWidth="1"/>
    <col min="23" max="23" width="7.83203125" bestFit="1" customWidth="1"/>
    <col min="24" max="24" width="12.6640625" bestFit="1" customWidth="1"/>
    <col min="25" max="25" width="11.6640625" bestFit="1" customWidth="1"/>
    <col min="26" max="26" width="9.83203125" bestFit="1" customWidth="1"/>
  </cols>
  <sheetData>
    <row r="10" spans="1:26" x14ac:dyDescent="0.2">
      <c r="A10" s="19" t="s">
        <v>135</v>
      </c>
      <c r="B10" s="6" t="s">
        <v>23</v>
      </c>
      <c r="C10" s="20">
        <v>2009</v>
      </c>
      <c r="D10" s="20">
        <v>2010</v>
      </c>
      <c r="E10" s="20">
        <v>2011</v>
      </c>
      <c r="F10" s="20">
        <v>2012</v>
      </c>
      <c r="G10" s="20">
        <v>2013</v>
      </c>
      <c r="H10" s="20">
        <v>2014</v>
      </c>
      <c r="I10" s="20">
        <v>2015</v>
      </c>
      <c r="J10" s="20">
        <v>2016</v>
      </c>
      <c r="K10" s="20">
        <v>2017</v>
      </c>
      <c r="L10" s="20">
        <v>2018</v>
      </c>
      <c r="M10" s="20">
        <v>2019</v>
      </c>
      <c r="N10" s="20">
        <v>2020</v>
      </c>
      <c r="O10" s="20">
        <v>2021</v>
      </c>
      <c r="P10" s="20">
        <v>2022</v>
      </c>
      <c r="Q10" s="20">
        <v>2023</v>
      </c>
      <c r="S10" s="2"/>
      <c r="T10" s="53" t="s">
        <v>23</v>
      </c>
      <c r="U10" s="33"/>
      <c r="V10" s="33"/>
      <c r="W10" s="33"/>
      <c r="X10" s="33"/>
      <c r="Y10" s="33"/>
      <c r="Z10" s="33"/>
    </row>
    <row r="11" spans="1:26" x14ac:dyDescent="0.2">
      <c r="A11" s="64" t="s">
        <v>136</v>
      </c>
      <c r="B11" t="s">
        <v>133</v>
      </c>
      <c r="C11" s="60">
        <f>X17</f>
        <v>531.6</v>
      </c>
      <c r="D11" s="60">
        <f>X20</f>
        <v>1302.0999999999999</v>
      </c>
      <c r="E11" s="60">
        <f>X25</f>
        <v>2443</v>
      </c>
      <c r="F11" s="60">
        <f>X30</f>
        <v>3300</v>
      </c>
      <c r="G11" s="60">
        <f>X35</f>
        <v>4061</v>
      </c>
      <c r="H11" s="60">
        <f>X41</f>
        <v>5057</v>
      </c>
      <c r="I11" s="60">
        <f>X46</f>
        <v>5586</v>
      </c>
      <c r="J11" s="60">
        <f>X54</f>
        <v>6499</v>
      </c>
      <c r="K11" s="60">
        <f>X61</f>
        <v>6961</v>
      </c>
      <c r="L11" s="60">
        <f>X67</f>
        <v>7427</v>
      </c>
      <c r="M11" s="60">
        <f>X74</f>
        <v>7050</v>
      </c>
      <c r="N11" s="60">
        <f>X81</f>
        <v>7636</v>
      </c>
      <c r="O11" s="60">
        <f>X89</f>
        <v>8250</v>
      </c>
      <c r="P11" s="60">
        <f>X97</f>
        <v>7977</v>
      </c>
      <c r="Q11" s="60">
        <f>X105</f>
        <v>8561</v>
      </c>
      <c r="S11" s="2"/>
      <c r="T11" s="54" t="s">
        <v>76</v>
      </c>
      <c r="U11" s="226" t="s">
        <v>26</v>
      </c>
      <c r="V11" s="226"/>
      <c r="W11" s="226"/>
      <c r="X11" s="54" t="s">
        <v>83</v>
      </c>
      <c r="Y11" s="54" t="s">
        <v>88</v>
      </c>
      <c r="Z11" s="3" t="s">
        <v>30</v>
      </c>
    </row>
    <row r="12" spans="1:26" x14ac:dyDescent="0.2">
      <c r="A12" s="64" t="s">
        <v>137</v>
      </c>
      <c r="B12" s="2" t="s">
        <v>91</v>
      </c>
      <c r="C12" s="60">
        <f>W19</f>
        <v>13</v>
      </c>
      <c r="S12" s="2"/>
      <c r="T12" s="54" t="s">
        <v>77</v>
      </c>
      <c r="U12" s="3"/>
      <c r="V12" s="3"/>
      <c r="W12" s="3"/>
      <c r="X12" s="54" t="s">
        <v>84</v>
      </c>
      <c r="Y12" s="54" t="s">
        <v>89</v>
      </c>
      <c r="Z12" s="3"/>
    </row>
    <row r="13" spans="1:26" x14ac:dyDescent="0.2">
      <c r="A13" s="64" t="s">
        <v>138</v>
      </c>
      <c r="B13" s="2" t="s">
        <v>69</v>
      </c>
      <c r="E13" s="60">
        <f>W28</f>
        <v>-301</v>
      </c>
      <c r="F13" s="60">
        <f>W33</f>
        <v>-497</v>
      </c>
      <c r="G13" s="60">
        <f>W38</f>
        <v>-101</v>
      </c>
      <c r="H13" s="60">
        <f>W44</f>
        <v>-887</v>
      </c>
      <c r="I13" s="60">
        <f>W49</f>
        <v>-605</v>
      </c>
      <c r="J13" s="60">
        <f>X57</f>
        <v>-1050</v>
      </c>
      <c r="K13" s="21">
        <v>-1031</v>
      </c>
      <c r="L13" s="21">
        <v>-1751</v>
      </c>
      <c r="M13" s="21">
        <v>-946</v>
      </c>
      <c r="N13" s="21">
        <v>-147</v>
      </c>
      <c r="O13" s="11">
        <v>-3143</v>
      </c>
      <c r="P13" s="11">
        <v>-1840</v>
      </c>
      <c r="Q13" s="2">
        <v>-846</v>
      </c>
      <c r="S13" s="2"/>
      <c r="T13" s="3"/>
      <c r="U13" s="54" t="s">
        <v>78</v>
      </c>
      <c r="V13" s="54" t="s">
        <v>80</v>
      </c>
      <c r="W13" s="54" t="s">
        <v>81</v>
      </c>
      <c r="X13" s="54" t="s">
        <v>85</v>
      </c>
      <c r="Y13" s="54" t="s">
        <v>87</v>
      </c>
      <c r="Z13" s="3"/>
    </row>
    <row r="14" spans="1:26" x14ac:dyDescent="0.2">
      <c r="A14" s="64" t="s">
        <v>139</v>
      </c>
      <c r="B14" s="2" t="s">
        <v>104</v>
      </c>
      <c r="I14" s="60">
        <f>W52</f>
        <v>-15</v>
      </c>
      <c r="J14">
        <f>W59</f>
        <v>-1</v>
      </c>
      <c r="O14" s="2">
        <v>-14</v>
      </c>
      <c r="P14" s="2">
        <v>-3</v>
      </c>
      <c r="Q14" s="2"/>
      <c r="S14" s="2"/>
      <c r="T14" s="3"/>
      <c r="U14" s="54" t="s">
        <v>79</v>
      </c>
      <c r="V14" s="54" t="s">
        <v>79</v>
      </c>
      <c r="W14" s="54" t="s">
        <v>82</v>
      </c>
      <c r="X14" s="54" t="s">
        <v>86</v>
      </c>
      <c r="Y14" s="3"/>
      <c r="Z14" s="3"/>
    </row>
    <row r="15" spans="1:26" x14ac:dyDescent="0.2">
      <c r="A15" s="64" t="s">
        <v>140</v>
      </c>
      <c r="B15" s="2" t="s">
        <v>96</v>
      </c>
      <c r="D15" s="60">
        <f>W24</f>
        <v>-2.2000000000000002</v>
      </c>
      <c r="E15" s="60">
        <f>W29</f>
        <v>1</v>
      </c>
      <c r="F15" s="60">
        <f>W34</f>
        <v>4</v>
      </c>
      <c r="I15" s="60">
        <f>W53</f>
        <v>-1</v>
      </c>
      <c r="O15" s="2"/>
      <c r="P15" s="2">
        <v>-3</v>
      </c>
      <c r="Q15" s="2">
        <v>-1</v>
      </c>
      <c r="S15" s="2"/>
      <c r="T15" s="33"/>
      <c r="U15" s="33"/>
      <c r="V15" s="33"/>
      <c r="W15" s="33"/>
      <c r="X15" s="55" t="s">
        <v>87</v>
      </c>
      <c r="Y15" s="33"/>
      <c r="Z15" s="33"/>
    </row>
    <row r="16" spans="1:26" x14ac:dyDescent="0.2">
      <c r="A16" s="64" t="s">
        <v>141</v>
      </c>
      <c r="B16" s="14" t="s">
        <v>122</v>
      </c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14"/>
      <c r="P16" s="14"/>
      <c r="Q16" s="14">
        <v>-76</v>
      </c>
      <c r="S16" s="2"/>
      <c r="T16" s="2"/>
      <c r="U16" s="2"/>
      <c r="V16" s="2"/>
      <c r="W16" s="2"/>
      <c r="X16" s="2"/>
      <c r="Y16" s="2"/>
      <c r="Z16" s="2"/>
    </row>
    <row r="17" spans="1:26" x14ac:dyDescent="0.2">
      <c r="B17" s="63" t="s">
        <v>134</v>
      </c>
      <c r="C17" s="51">
        <f>SUM(C12:C16)</f>
        <v>13</v>
      </c>
      <c r="D17" s="51">
        <f t="shared" ref="D17:Q17" si="0">SUM(D12:D16)</f>
        <v>-2.2000000000000002</v>
      </c>
      <c r="E17" s="51">
        <f t="shared" si="0"/>
        <v>-300</v>
      </c>
      <c r="F17" s="51">
        <f t="shared" si="0"/>
        <v>-493</v>
      </c>
      <c r="G17" s="51">
        <f t="shared" si="0"/>
        <v>-101</v>
      </c>
      <c r="H17" s="51">
        <f t="shared" si="0"/>
        <v>-887</v>
      </c>
      <c r="I17" s="51">
        <f t="shared" si="0"/>
        <v>-621</v>
      </c>
      <c r="J17" s="51">
        <f t="shared" si="0"/>
        <v>-1051</v>
      </c>
      <c r="K17" s="51">
        <f t="shared" si="0"/>
        <v>-1031</v>
      </c>
      <c r="L17" s="51">
        <f t="shared" si="0"/>
        <v>-1751</v>
      </c>
      <c r="M17" s="51">
        <f t="shared" si="0"/>
        <v>-946</v>
      </c>
      <c r="N17" s="51">
        <f t="shared" si="0"/>
        <v>-147</v>
      </c>
      <c r="O17" s="51">
        <f t="shared" si="0"/>
        <v>-3157</v>
      </c>
      <c r="P17" s="51">
        <f t="shared" si="0"/>
        <v>-1846</v>
      </c>
      <c r="Q17" s="51">
        <f t="shared" si="0"/>
        <v>-923</v>
      </c>
      <c r="S17" s="47" t="s">
        <v>90</v>
      </c>
      <c r="T17" s="48">
        <v>59</v>
      </c>
      <c r="U17" s="48">
        <v>-126.3</v>
      </c>
      <c r="V17" s="48">
        <v>40.299999999999997</v>
      </c>
      <c r="W17" s="48">
        <v>558.6</v>
      </c>
      <c r="X17" s="48">
        <f>SUM(T17:W17)</f>
        <v>531.6</v>
      </c>
      <c r="Y17" s="48">
        <v>0</v>
      </c>
      <c r="Z17" s="48">
        <f>X17+Y17</f>
        <v>531.6</v>
      </c>
    </row>
    <row r="18" spans="1:26" x14ac:dyDescent="0.2">
      <c r="S18" s="2" t="s">
        <v>95</v>
      </c>
      <c r="T18" s="7"/>
      <c r="U18" s="7">
        <v>33.5</v>
      </c>
      <c r="V18" s="7">
        <v>-79.400000000000006</v>
      </c>
      <c r="W18" s="7">
        <v>803.4</v>
      </c>
      <c r="X18" s="7">
        <f t="shared" ref="X18:X39" si="1">SUM(T18:W18)</f>
        <v>757.5</v>
      </c>
      <c r="Y18" s="7"/>
      <c r="Z18" s="7">
        <f t="shared" ref="Z18:Z39" si="2">X18+Y18</f>
        <v>757.5</v>
      </c>
    </row>
    <row r="19" spans="1:26" x14ac:dyDescent="0.2">
      <c r="A19" s="64" t="s">
        <v>148</v>
      </c>
      <c r="B19" t="s">
        <v>142</v>
      </c>
      <c r="C19" s="21">
        <v>757.5</v>
      </c>
      <c r="D19" s="21">
        <v>1142</v>
      </c>
      <c r="E19" s="21">
        <v>1157</v>
      </c>
      <c r="F19" s="21">
        <v>1254</v>
      </c>
      <c r="G19" s="21">
        <v>1097</v>
      </c>
      <c r="H19" s="21">
        <v>1416</v>
      </c>
      <c r="I19" s="21">
        <v>1534</v>
      </c>
      <c r="J19" s="21">
        <v>1513</v>
      </c>
      <c r="K19" s="21">
        <v>1497</v>
      </c>
      <c r="L19" s="21">
        <v>1374</v>
      </c>
      <c r="M19" s="21">
        <v>1531</v>
      </c>
      <c r="N19" s="21">
        <v>757</v>
      </c>
      <c r="O19" s="21">
        <v>2876</v>
      </c>
      <c r="P19" s="21">
        <v>2350</v>
      </c>
      <c r="Q19" s="21">
        <v>1555</v>
      </c>
      <c r="S19" s="2" t="s">
        <v>91</v>
      </c>
      <c r="T19" s="7"/>
      <c r="U19" s="7"/>
      <c r="V19" s="7"/>
      <c r="W19" s="7">
        <v>13</v>
      </c>
      <c r="X19" s="7">
        <f t="shared" si="1"/>
        <v>13</v>
      </c>
      <c r="Y19" s="7"/>
      <c r="Z19" s="7">
        <f t="shared" si="2"/>
        <v>13</v>
      </c>
    </row>
    <row r="20" spans="1:26" x14ac:dyDescent="0.2">
      <c r="A20" s="64" t="s">
        <v>147</v>
      </c>
      <c r="B20" t="s">
        <v>114</v>
      </c>
      <c r="M20">
        <v>1</v>
      </c>
      <c r="N20">
        <v>4</v>
      </c>
      <c r="O20">
        <v>8</v>
      </c>
      <c r="P20">
        <v>80</v>
      </c>
      <c r="Q20">
        <v>63</v>
      </c>
      <c r="S20" s="44" t="s">
        <v>92</v>
      </c>
      <c r="T20" s="46">
        <f>SUM(T17:T19)</f>
        <v>59</v>
      </c>
      <c r="U20" s="46">
        <v>-92</v>
      </c>
      <c r="V20" s="46">
        <f>SUM(V17:V19)</f>
        <v>-39.100000000000009</v>
      </c>
      <c r="W20" s="46">
        <f>SUM(W17:W19)</f>
        <v>1375</v>
      </c>
      <c r="X20" s="46">
        <f>SUM(X17:X19)</f>
        <v>1302.0999999999999</v>
      </c>
      <c r="Y20" s="46">
        <f>SUM(Y17:Y19)</f>
        <v>0</v>
      </c>
      <c r="Z20" s="46">
        <f>SUM(Z17:Z19)</f>
        <v>1302.0999999999999</v>
      </c>
    </row>
    <row r="21" spans="1:26" x14ac:dyDescent="0.2">
      <c r="B21" s="63" t="s">
        <v>143</v>
      </c>
      <c r="C21" s="51">
        <f>SUM(C19:C20)</f>
        <v>757.5</v>
      </c>
      <c r="D21" s="51">
        <f t="shared" ref="D21:Q21" si="3">SUM(D19:D20)</f>
        <v>1142</v>
      </c>
      <c r="E21" s="51">
        <f t="shared" si="3"/>
        <v>1157</v>
      </c>
      <c r="F21" s="51">
        <f t="shared" si="3"/>
        <v>1254</v>
      </c>
      <c r="G21" s="51">
        <f t="shared" si="3"/>
        <v>1097</v>
      </c>
      <c r="H21" s="51">
        <f t="shared" si="3"/>
        <v>1416</v>
      </c>
      <c r="I21" s="51">
        <f t="shared" si="3"/>
        <v>1534</v>
      </c>
      <c r="J21" s="51">
        <f t="shared" si="3"/>
        <v>1513</v>
      </c>
      <c r="K21" s="51">
        <f t="shared" si="3"/>
        <v>1497</v>
      </c>
      <c r="L21" s="51">
        <f t="shared" si="3"/>
        <v>1374</v>
      </c>
      <c r="M21" s="51">
        <f t="shared" si="3"/>
        <v>1532</v>
      </c>
      <c r="N21" s="51">
        <f t="shared" si="3"/>
        <v>761</v>
      </c>
      <c r="O21" s="51">
        <f t="shared" si="3"/>
        <v>2884</v>
      </c>
      <c r="P21" s="51">
        <f t="shared" si="3"/>
        <v>2430</v>
      </c>
      <c r="Q21" s="51">
        <f t="shared" si="3"/>
        <v>1618</v>
      </c>
      <c r="S21" s="3"/>
      <c r="T21" s="25"/>
      <c r="U21" s="25"/>
      <c r="V21" s="25"/>
      <c r="W21" s="25"/>
      <c r="X21" s="25"/>
      <c r="Y21" s="25"/>
      <c r="Z21" s="25"/>
    </row>
    <row r="22" spans="1:26" x14ac:dyDescent="0.2">
      <c r="S22" s="2" t="s">
        <v>95</v>
      </c>
      <c r="T22" s="25"/>
      <c r="U22" s="26">
        <v>139</v>
      </c>
      <c r="V22" s="26">
        <v>12.9</v>
      </c>
      <c r="W22" s="26">
        <v>989.9</v>
      </c>
      <c r="X22" s="26">
        <f>SUM(T22:W22)</f>
        <v>1141.8</v>
      </c>
      <c r="Y22" s="26">
        <v>0</v>
      </c>
      <c r="Z22" s="26">
        <f>X22+Y22</f>
        <v>1141.8</v>
      </c>
    </row>
    <row r="23" spans="1:26" x14ac:dyDescent="0.2">
      <c r="A23" t="s">
        <v>149</v>
      </c>
      <c r="B23" s="61" t="s">
        <v>145</v>
      </c>
      <c r="C23" s="51">
        <f>C11+C21+C17</f>
        <v>1302.0999999999999</v>
      </c>
      <c r="D23" s="51">
        <f t="shared" ref="D23:Q23" si="4">D11+D21+D17</f>
        <v>2441.9</v>
      </c>
      <c r="E23" s="51">
        <f t="shared" si="4"/>
        <v>3300</v>
      </c>
      <c r="F23" s="51">
        <f t="shared" si="4"/>
        <v>4061</v>
      </c>
      <c r="G23" s="51">
        <f t="shared" si="4"/>
        <v>5057</v>
      </c>
      <c r="H23" s="51">
        <f t="shared" si="4"/>
        <v>5586</v>
      </c>
      <c r="I23" s="51">
        <f t="shared" si="4"/>
        <v>6499</v>
      </c>
      <c r="J23" s="51">
        <f t="shared" si="4"/>
        <v>6961</v>
      </c>
      <c r="K23" s="51">
        <f t="shared" si="4"/>
        <v>7427</v>
      </c>
      <c r="L23" s="51">
        <f t="shared" si="4"/>
        <v>7050</v>
      </c>
      <c r="M23" s="51">
        <f t="shared" si="4"/>
        <v>7636</v>
      </c>
      <c r="N23" s="51">
        <f t="shared" si="4"/>
        <v>8250</v>
      </c>
      <c r="O23" s="51">
        <f t="shared" si="4"/>
        <v>7977</v>
      </c>
      <c r="P23" s="51">
        <f t="shared" si="4"/>
        <v>8561</v>
      </c>
      <c r="Q23" s="51">
        <f t="shared" si="4"/>
        <v>9256</v>
      </c>
      <c r="S23" s="2" t="s">
        <v>93</v>
      </c>
      <c r="T23" s="26">
        <v>-0.6</v>
      </c>
      <c r="U23" s="26"/>
      <c r="V23" s="26"/>
      <c r="W23" s="26">
        <v>0.6</v>
      </c>
      <c r="X23" s="26"/>
      <c r="Y23" s="26"/>
      <c r="Z23" s="26">
        <f t="shared" ref="Z23:Z24" si="5">X23+Y23</f>
        <v>0</v>
      </c>
    </row>
    <row r="24" spans="1:26" x14ac:dyDescent="0.2">
      <c r="S24" s="2" t="s">
        <v>96</v>
      </c>
      <c r="T24" s="7"/>
      <c r="U24" s="7"/>
      <c r="V24" s="7"/>
      <c r="W24" s="7">
        <v>-2.2000000000000002</v>
      </c>
      <c r="X24" s="7">
        <f t="shared" si="1"/>
        <v>-2.2000000000000002</v>
      </c>
      <c r="Y24" s="7"/>
      <c r="Z24" s="26">
        <f t="shared" si="5"/>
        <v>-2.2000000000000002</v>
      </c>
    </row>
    <row r="25" spans="1:26" x14ac:dyDescent="0.2">
      <c r="A25" t="s">
        <v>146</v>
      </c>
      <c r="B25" s="19" t="s">
        <v>144</v>
      </c>
      <c r="C25" s="66">
        <f>C21/((C11+C23)/2)</f>
        <v>0.82619839668429962</v>
      </c>
      <c r="D25" s="66">
        <f t="shared" ref="D25:Q25" si="6">D21/((D11+D23)/2)</f>
        <v>0.6100427350427351</v>
      </c>
      <c r="E25" s="66">
        <f t="shared" si="6"/>
        <v>0.40292530036566254</v>
      </c>
      <c r="F25" s="66">
        <f t="shared" si="6"/>
        <v>0.34071457682380113</v>
      </c>
      <c r="G25" s="66">
        <f t="shared" si="6"/>
        <v>0.24062294362798858</v>
      </c>
      <c r="H25" s="66">
        <f t="shared" si="6"/>
        <v>0.26609038804848256</v>
      </c>
      <c r="I25" s="66">
        <f t="shared" si="6"/>
        <v>0.25386843194042202</v>
      </c>
      <c r="J25" s="66">
        <f t="shared" si="6"/>
        <v>0.22481426448736999</v>
      </c>
      <c r="K25" s="66">
        <f t="shared" si="6"/>
        <v>0.20809007506255212</v>
      </c>
      <c r="L25" s="66">
        <f t="shared" si="6"/>
        <v>0.18981833252745733</v>
      </c>
      <c r="M25" s="66">
        <f t="shared" si="6"/>
        <v>0.20863407326705707</v>
      </c>
      <c r="N25" s="66">
        <f t="shared" si="6"/>
        <v>9.5807629359184188E-2</v>
      </c>
      <c r="O25" s="66">
        <f t="shared" si="6"/>
        <v>0.35545695445861836</v>
      </c>
      <c r="P25" s="66">
        <f t="shared" si="6"/>
        <v>0.29386866610230983</v>
      </c>
      <c r="Q25" s="66">
        <f t="shared" si="6"/>
        <v>0.18162429140708311</v>
      </c>
      <c r="S25" s="44" t="s">
        <v>94</v>
      </c>
      <c r="T25" s="46">
        <f>SUM(T20:T24)</f>
        <v>58.4</v>
      </c>
      <c r="U25" s="46">
        <f t="shared" ref="U25:Y25" si="7">SUM(U20:U24)</f>
        <v>47</v>
      </c>
      <c r="V25" s="46">
        <f t="shared" si="7"/>
        <v>-26.20000000000001</v>
      </c>
      <c r="W25" s="46">
        <v>2364</v>
      </c>
      <c r="X25" s="46">
        <v>2443</v>
      </c>
      <c r="Y25" s="46">
        <f t="shared" si="7"/>
        <v>0</v>
      </c>
      <c r="Z25" s="46">
        <v>2443</v>
      </c>
    </row>
    <row r="26" spans="1:26" x14ac:dyDescent="0.2">
      <c r="S26" s="2"/>
      <c r="T26" s="24"/>
      <c r="U26" s="24"/>
      <c r="V26" s="24"/>
      <c r="W26" s="24"/>
      <c r="X26" s="24"/>
      <c r="Y26" s="24"/>
      <c r="Z26" s="24"/>
    </row>
    <row r="27" spans="1:26" x14ac:dyDescent="0.2">
      <c r="S27" s="2" t="s">
        <v>95</v>
      </c>
      <c r="T27" s="7"/>
      <c r="U27" s="7">
        <v>45</v>
      </c>
      <c r="V27" s="7">
        <v>-62</v>
      </c>
      <c r="W27" s="7">
        <v>1174</v>
      </c>
      <c r="X27" s="7">
        <f t="shared" si="1"/>
        <v>1157</v>
      </c>
      <c r="Y27" s="7">
        <v>4</v>
      </c>
      <c r="Z27" s="7">
        <f t="shared" si="2"/>
        <v>1161</v>
      </c>
    </row>
    <row r="28" spans="1:26" x14ac:dyDescent="0.2">
      <c r="S28" s="2" t="s">
        <v>69</v>
      </c>
      <c r="T28" s="7"/>
      <c r="U28" s="7"/>
      <c r="V28" s="7"/>
      <c r="W28" s="7">
        <v>-301</v>
      </c>
      <c r="X28" s="7">
        <f t="shared" si="1"/>
        <v>-301</v>
      </c>
      <c r="Y28" s="7"/>
      <c r="Z28" s="7">
        <f t="shared" si="2"/>
        <v>-301</v>
      </c>
    </row>
    <row r="29" spans="1:26" x14ac:dyDescent="0.2">
      <c r="S29" s="2" t="s">
        <v>96</v>
      </c>
      <c r="T29" s="7"/>
      <c r="U29" s="7"/>
      <c r="V29" s="7"/>
      <c r="W29" s="7">
        <v>1</v>
      </c>
      <c r="X29" s="7">
        <f t="shared" si="1"/>
        <v>1</v>
      </c>
      <c r="Y29" s="7"/>
      <c r="Z29" s="7">
        <f t="shared" si="2"/>
        <v>1</v>
      </c>
    </row>
    <row r="30" spans="1:26" x14ac:dyDescent="0.2">
      <c r="S30" s="44" t="s">
        <v>97</v>
      </c>
      <c r="T30" s="46">
        <f>SUM(T25:T29)</f>
        <v>58.4</v>
      </c>
      <c r="U30" s="46">
        <f t="shared" ref="U30:Z30" si="8">SUM(U25:U29)</f>
        <v>92</v>
      </c>
      <c r="V30" s="46">
        <f t="shared" si="8"/>
        <v>-88.200000000000017</v>
      </c>
      <c r="W30" s="46">
        <f t="shared" si="8"/>
        <v>3238</v>
      </c>
      <c r="X30" s="46">
        <f t="shared" si="8"/>
        <v>3300</v>
      </c>
      <c r="Y30" s="46">
        <v>4</v>
      </c>
      <c r="Z30" s="46">
        <f t="shared" si="8"/>
        <v>3304</v>
      </c>
    </row>
    <row r="31" spans="1:26" x14ac:dyDescent="0.2">
      <c r="S31" s="2"/>
      <c r="T31" s="24"/>
      <c r="U31" s="24"/>
      <c r="V31" s="24"/>
      <c r="W31" s="24"/>
      <c r="X31" s="24"/>
      <c r="Y31" s="24"/>
      <c r="Z31" s="24"/>
    </row>
    <row r="32" spans="1:26" x14ac:dyDescent="0.2">
      <c r="S32" s="2" t="s">
        <v>95</v>
      </c>
      <c r="T32" s="24"/>
      <c r="U32" s="7">
        <v>9</v>
      </c>
      <c r="V32" s="7">
        <v>100</v>
      </c>
      <c r="W32" s="7">
        <v>1145</v>
      </c>
      <c r="X32" s="7">
        <f t="shared" si="1"/>
        <v>1254</v>
      </c>
      <c r="Y32" s="7">
        <v>-2</v>
      </c>
      <c r="Z32" s="7">
        <f t="shared" si="2"/>
        <v>1252</v>
      </c>
    </row>
    <row r="33" spans="19:26" x14ac:dyDescent="0.2">
      <c r="S33" s="2" t="s">
        <v>69</v>
      </c>
      <c r="T33" s="24"/>
      <c r="U33" s="7"/>
      <c r="V33" s="7"/>
      <c r="W33" s="7">
        <v>-497</v>
      </c>
      <c r="X33" s="7">
        <f t="shared" si="1"/>
        <v>-497</v>
      </c>
      <c r="Y33" s="7"/>
      <c r="Z33" s="7">
        <f t="shared" si="2"/>
        <v>-497</v>
      </c>
    </row>
    <row r="34" spans="19:26" x14ac:dyDescent="0.2">
      <c r="S34" s="2" t="s">
        <v>96</v>
      </c>
      <c r="T34" s="24"/>
      <c r="U34" s="7"/>
      <c r="V34" s="7"/>
      <c r="W34" s="7">
        <v>4</v>
      </c>
      <c r="X34" s="7">
        <f t="shared" si="1"/>
        <v>4</v>
      </c>
      <c r="Y34" s="7">
        <v>-4</v>
      </c>
      <c r="Z34" s="7">
        <f t="shared" si="2"/>
        <v>0</v>
      </c>
    </row>
    <row r="35" spans="19:26" x14ac:dyDescent="0.2">
      <c r="S35" s="44" t="s">
        <v>98</v>
      </c>
      <c r="T35" s="46">
        <f>SUM(T30:T34)</f>
        <v>58.4</v>
      </c>
      <c r="U35" s="46">
        <f t="shared" ref="U35:Z35" si="9">SUM(U30:U34)</f>
        <v>101</v>
      </c>
      <c r="V35" s="46">
        <f t="shared" si="9"/>
        <v>11.799999999999983</v>
      </c>
      <c r="W35" s="46">
        <f t="shared" si="9"/>
        <v>3890</v>
      </c>
      <c r="X35" s="46">
        <f t="shared" si="9"/>
        <v>4061</v>
      </c>
      <c r="Y35" s="46">
        <f t="shared" si="9"/>
        <v>-2</v>
      </c>
      <c r="Z35" s="46">
        <f t="shared" si="9"/>
        <v>4059</v>
      </c>
    </row>
    <row r="36" spans="19:26" x14ac:dyDescent="0.2">
      <c r="S36" s="2"/>
      <c r="T36" s="24"/>
      <c r="U36" s="24"/>
      <c r="V36" s="24"/>
      <c r="W36" s="24"/>
      <c r="X36" s="24"/>
      <c r="Y36" s="24"/>
      <c r="Z36" s="24"/>
    </row>
    <row r="37" spans="19:26" x14ac:dyDescent="0.2">
      <c r="S37" s="2" t="s">
        <v>95</v>
      </c>
      <c r="T37" s="24"/>
      <c r="U37" s="7">
        <v>-212</v>
      </c>
      <c r="V37" s="7">
        <v>20</v>
      </c>
      <c r="W37" s="7">
        <v>1289</v>
      </c>
      <c r="X37" s="7">
        <f t="shared" si="1"/>
        <v>1097</v>
      </c>
      <c r="Y37" s="7">
        <v>1</v>
      </c>
      <c r="Z37" s="7">
        <f t="shared" si="2"/>
        <v>1098</v>
      </c>
    </row>
    <row r="38" spans="19:26" x14ac:dyDescent="0.2">
      <c r="S38" s="2" t="s">
        <v>69</v>
      </c>
      <c r="T38" s="24"/>
      <c r="U38" s="7"/>
      <c r="V38" s="7"/>
      <c r="W38" s="7">
        <v>-101</v>
      </c>
      <c r="X38" s="7">
        <f t="shared" si="1"/>
        <v>-101</v>
      </c>
      <c r="Y38" s="7"/>
      <c r="Z38" s="7">
        <f t="shared" si="2"/>
        <v>-101</v>
      </c>
    </row>
    <row r="39" spans="19:26" x14ac:dyDescent="0.2">
      <c r="S39" s="2" t="s">
        <v>93</v>
      </c>
      <c r="T39" s="7">
        <v>-1</v>
      </c>
      <c r="U39" s="7"/>
      <c r="V39" s="7"/>
      <c r="W39" s="7">
        <v>1</v>
      </c>
      <c r="X39" s="7">
        <f t="shared" si="1"/>
        <v>0</v>
      </c>
      <c r="Y39" s="7"/>
      <c r="Z39" s="7">
        <f t="shared" si="2"/>
        <v>0</v>
      </c>
    </row>
    <row r="40" spans="19:26" x14ac:dyDescent="0.2">
      <c r="S40" s="2" t="s">
        <v>96</v>
      </c>
      <c r="T40" s="7"/>
      <c r="U40" s="7"/>
      <c r="V40" s="7"/>
      <c r="W40" s="7"/>
      <c r="X40" s="7"/>
      <c r="Y40" s="7"/>
      <c r="Z40" s="7"/>
    </row>
    <row r="41" spans="19:26" x14ac:dyDescent="0.2">
      <c r="S41" s="44" t="s">
        <v>99</v>
      </c>
      <c r="T41" s="46">
        <f>SUM(T35:T40)</f>
        <v>57.4</v>
      </c>
      <c r="U41" s="46">
        <f t="shared" ref="U41:Z41" si="10">SUM(U35:U40)</f>
        <v>-111</v>
      </c>
      <c r="V41" s="46">
        <f t="shared" si="10"/>
        <v>31.799999999999983</v>
      </c>
      <c r="W41" s="46">
        <f t="shared" si="10"/>
        <v>5079</v>
      </c>
      <c r="X41" s="46">
        <f t="shared" si="10"/>
        <v>5057</v>
      </c>
      <c r="Y41" s="46">
        <f t="shared" si="10"/>
        <v>-1</v>
      </c>
      <c r="Z41" s="46">
        <f t="shared" si="10"/>
        <v>5056</v>
      </c>
    </row>
    <row r="42" spans="19:26" x14ac:dyDescent="0.2">
      <c r="S42" s="2"/>
      <c r="T42" s="7"/>
      <c r="U42" s="7"/>
      <c r="V42" s="7"/>
      <c r="W42" s="7"/>
      <c r="X42" s="7"/>
      <c r="Y42" s="7"/>
      <c r="Z42" s="7"/>
    </row>
    <row r="43" spans="19:26" x14ac:dyDescent="0.2">
      <c r="S43" s="2" t="s">
        <v>95</v>
      </c>
      <c r="T43" s="7"/>
      <c r="U43" s="7">
        <v>186</v>
      </c>
      <c r="V43" s="7">
        <v>-84</v>
      </c>
      <c r="W43" s="7">
        <v>1314</v>
      </c>
      <c r="X43" s="7">
        <f>SUM(T43:W43)</f>
        <v>1416</v>
      </c>
      <c r="Y43" s="7">
        <v>1</v>
      </c>
      <c r="Z43" s="7">
        <f>X43+Y43</f>
        <v>1417</v>
      </c>
    </row>
    <row r="44" spans="19:26" x14ac:dyDescent="0.2">
      <c r="S44" s="2" t="s">
        <v>69</v>
      </c>
      <c r="T44" s="7"/>
      <c r="U44" s="7"/>
      <c r="V44" s="7"/>
      <c r="W44" s="7">
        <v>-887</v>
      </c>
      <c r="X44" s="7">
        <f>SUM(T44:W44)</f>
        <v>-887</v>
      </c>
      <c r="Y44" s="7"/>
      <c r="Z44" s="7">
        <f>X44+Y44</f>
        <v>-887</v>
      </c>
    </row>
    <row r="45" spans="19:26" x14ac:dyDescent="0.2">
      <c r="S45" s="2" t="s">
        <v>96</v>
      </c>
      <c r="T45" s="7"/>
      <c r="U45" s="7"/>
      <c r="V45" s="7"/>
      <c r="W45" s="7"/>
      <c r="X45" s="7"/>
      <c r="Y45" s="7">
        <v>-2</v>
      </c>
      <c r="Z45" s="7">
        <f>X45+Y45</f>
        <v>-2</v>
      </c>
    </row>
    <row r="46" spans="19:26" x14ac:dyDescent="0.2">
      <c r="S46" s="44" t="s">
        <v>100</v>
      </c>
      <c r="T46" s="46">
        <f>T41+SUM(T43:T45)</f>
        <v>57.4</v>
      </c>
      <c r="U46" s="46">
        <f t="shared" ref="U46:Z46" si="11">U41+SUM(U43:U45)</f>
        <v>75</v>
      </c>
      <c r="V46" s="46">
        <f t="shared" si="11"/>
        <v>-52.200000000000017</v>
      </c>
      <c r="W46" s="46">
        <f t="shared" si="11"/>
        <v>5506</v>
      </c>
      <c r="X46" s="46">
        <f t="shared" si="11"/>
        <v>5586</v>
      </c>
      <c r="Y46" s="46">
        <f t="shared" si="11"/>
        <v>-2</v>
      </c>
      <c r="Z46" s="46">
        <f t="shared" si="11"/>
        <v>5584</v>
      </c>
    </row>
    <row r="47" spans="19:26" x14ac:dyDescent="0.2">
      <c r="S47" s="2"/>
      <c r="T47" s="24"/>
      <c r="U47" s="24"/>
      <c r="V47" s="24"/>
      <c r="W47" s="24"/>
      <c r="X47" s="24"/>
      <c r="Y47" s="24"/>
      <c r="Z47" s="24"/>
    </row>
    <row r="48" spans="19:26" x14ac:dyDescent="0.2">
      <c r="S48" s="2" t="s">
        <v>95</v>
      </c>
      <c r="T48" s="24"/>
      <c r="U48" s="7">
        <v>98</v>
      </c>
      <c r="V48" s="7">
        <v>7</v>
      </c>
      <c r="W48" s="7">
        <v>1429</v>
      </c>
      <c r="X48" s="7">
        <v>1534</v>
      </c>
      <c r="Y48" s="7">
        <v>3</v>
      </c>
      <c r="Z48" s="7">
        <v>1537</v>
      </c>
    </row>
    <row r="49" spans="19:26" x14ac:dyDescent="0.2">
      <c r="S49" s="2" t="s">
        <v>69</v>
      </c>
      <c r="T49" s="24"/>
      <c r="U49" s="24"/>
      <c r="V49" s="24"/>
      <c r="W49" s="7">
        <v>-605</v>
      </c>
      <c r="X49" s="7">
        <v>-605</v>
      </c>
      <c r="Y49" s="7"/>
      <c r="Z49" s="7">
        <v>-605</v>
      </c>
    </row>
    <row r="50" spans="19:26" x14ac:dyDescent="0.2">
      <c r="S50" s="2" t="s">
        <v>93</v>
      </c>
      <c r="T50" s="7">
        <v>-3</v>
      </c>
      <c r="U50" s="7"/>
      <c r="V50" s="7"/>
      <c r="W50" s="7">
        <v>3</v>
      </c>
      <c r="X50" s="24"/>
      <c r="Y50" s="24"/>
      <c r="Z50" s="24"/>
    </row>
    <row r="51" spans="19:26" x14ac:dyDescent="0.2">
      <c r="S51" s="39" t="s">
        <v>107</v>
      </c>
      <c r="T51" s="24"/>
      <c r="U51" s="24"/>
      <c r="V51" s="24"/>
      <c r="W51" s="24"/>
      <c r="X51" s="24"/>
      <c r="Y51" s="7">
        <v>578</v>
      </c>
      <c r="Z51" s="7">
        <v>578</v>
      </c>
    </row>
    <row r="52" spans="19:26" x14ac:dyDescent="0.2">
      <c r="S52" s="2" t="s">
        <v>104</v>
      </c>
      <c r="T52" s="40"/>
      <c r="U52" s="40"/>
      <c r="V52" s="40"/>
      <c r="W52" s="29">
        <v>-15</v>
      </c>
      <c r="X52" s="29">
        <v>-15</v>
      </c>
      <c r="Y52" s="7">
        <v>-578</v>
      </c>
      <c r="Z52" s="7">
        <v>-593</v>
      </c>
    </row>
    <row r="53" spans="19:26" x14ac:dyDescent="0.2">
      <c r="S53" s="2" t="s">
        <v>96</v>
      </c>
      <c r="T53" s="24"/>
      <c r="U53" s="24"/>
      <c r="V53" s="24"/>
      <c r="W53" s="7">
        <v>-1</v>
      </c>
      <c r="X53" s="7">
        <v>-1</v>
      </c>
      <c r="Y53" s="7"/>
      <c r="Z53" s="7">
        <v>-1</v>
      </c>
    </row>
    <row r="54" spans="19:26" x14ac:dyDescent="0.2">
      <c r="S54" s="44" t="s">
        <v>105</v>
      </c>
      <c r="T54" s="46">
        <f>SUM(T46:T53)</f>
        <v>54.4</v>
      </c>
      <c r="U54" s="46">
        <f t="shared" ref="U54:Z54" si="12">SUM(U46:U53)</f>
        <v>173</v>
      </c>
      <c r="V54" s="46">
        <f t="shared" si="12"/>
        <v>-45.200000000000017</v>
      </c>
      <c r="W54" s="46">
        <f t="shared" si="12"/>
        <v>6317</v>
      </c>
      <c r="X54" s="46">
        <f t="shared" si="12"/>
        <v>6499</v>
      </c>
      <c r="Y54" s="46">
        <f t="shared" si="12"/>
        <v>1</v>
      </c>
      <c r="Z54" s="46">
        <f t="shared" si="12"/>
        <v>6500</v>
      </c>
    </row>
    <row r="55" spans="19:26" x14ac:dyDescent="0.2">
      <c r="S55" s="2"/>
      <c r="T55" s="24"/>
      <c r="U55" s="24"/>
      <c r="V55" s="24"/>
      <c r="W55" s="24"/>
      <c r="X55" s="24"/>
      <c r="Y55" s="24"/>
      <c r="Z55" s="24"/>
    </row>
    <row r="56" spans="19:26" x14ac:dyDescent="0.2">
      <c r="S56" s="2" t="s">
        <v>95</v>
      </c>
      <c r="T56" s="24"/>
      <c r="U56" s="7">
        <v>40</v>
      </c>
      <c r="V56" s="7">
        <v>20</v>
      </c>
      <c r="W56" s="7">
        <v>1453</v>
      </c>
      <c r="X56" s="7">
        <f>SUM(T56:W56)</f>
        <v>1513</v>
      </c>
      <c r="Y56" s="7">
        <v>5</v>
      </c>
      <c r="Z56" s="7">
        <f>X56+Y56</f>
        <v>1518</v>
      </c>
    </row>
    <row r="57" spans="19:26" x14ac:dyDescent="0.2">
      <c r="S57" s="2" t="s">
        <v>69</v>
      </c>
      <c r="T57" s="24"/>
      <c r="U57" s="24"/>
      <c r="V57" s="24"/>
      <c r="W57" s="7">
        <v>-1050</v>
      </c>
      <c r="X57" s="7">
        <f t="shared" ref="X57:X59" si="13">SUM(T57:W57)</f>
        <v>-1050</v>
      </c>
      <c r="Y57" s="7"/>
      <c r="Z57" s="7">
        <f>X57+Y57</f>
        <v>-1050</v>
      </c>
    </row>
    <row r="58" spans="19:26" x14ac:dyDescent="0.2">
      <c r="S58" s="2" t="s">
        <v>93</v>
      </c>
      <c r="T58" s="24">
        <v>-1</v>
      </c>
      <c r="U58" s="24"/>
      <c r="V58" s="24"/>
      <c r="W58" s="24">
        <v>1</v>
      </c>
      <c r="X58" s="7">
        <f t="shared" si="13"/>
        <v>0</v>
      </c>
      <c r="Y58" s="24"/>
      <c r="Z58" s="7">
        <f>X58+Y58</f>
        <v>0</v>
      </c>
    </row>
    <row r="59" spans="19:26" x14ac:dyDescent="0.2">
      <c r="S59" s="2" t="s">
        <v>104</v>
      </c>
      <c r="T59" s="2"/>
      <c r="U59" s="2"/>
      <c r="V59" s="2"/>
      <c r="W59" s="2">
        <v>-1</v>
      </c>
      <c r="X59" s="7">
        <f t="shared" si="13"/>
        <v>-1</v>
      </c>
      <c r="Y59" s="2">
        <v>2</v>
      </c>
      <c r="Z59" s="7">
        <f>X59+Y59</f>
        <v>1</v>
      </c>
    </row>
    <row r="60" spans="19:26" x14ac:dyDescent="0.2">
      <c r="S60" s="2" t="s">
        <v>96</v>
      </c>
      <c r="T60" s="2"/>
      <c r="U60" s="2"/>
      <c r="V60" s="2"/>
      <c r="W60" s="2"/>
      <c r="X60" s="2"/>
      <c r="Y60" s="2">
        <v>-3</v>
      </c>
      <c r="Z60" s="7">
        <f>X60+Y60</f>
        <v>-3</v>
      </c>
    </row>
    <row r="61" spans="19:26" x14ac:dyDescent="0.2">
      <c r="S61" s="44" t="s">
        <v>109</v>
      </c>
      <c r="T61" s="45">
        <f>SUM(T54:T60)</f>
        <v>53.4</v>
      </c>
      <c r="U61" s="45">
        <f t="shared" ref="U61:Z61" si="14">SUM(U54:U60)</f>
        <v>213</v>
      </c>
      <c r="V61" s="45">
        <f t="shared" si="14"/>
        <v>-25.200000000000017</v>
      </c>
      <c r="W61" s="45">
        <f t="shared" si="14"/>
        <v>6720</v>
      </c>
      <c r="X61" s="45">
        <f t="shared" si="14"/>
        <v>6961</v>
      </c>
      <c r="Y61" s="45">
        <f t="shared" si="14"/>
        <v>5</v>
      </c>
      <c r="Z61" s="45">
        <f t="shared" si="14"/>
        <v>6966</v>
      </c>
    </row>
    <row r="62" spans="19:26" x14ac:dyDescent="0.2">
      <c r="S62" s="2"/>
      <c r="T62" s="2"/>
      <c r="U62" s="2"/>
      <c r="V62" s="2"/>
      <c r="W62" s="2"/>
      <c r="X62" s="2"/>
      <c r="Y62" s="2"/>
      <c r="Z62" s="2"/>
    </row>
    <row r="63" spans="19:26" x14ac:dyDescent="0.2">
      <c r="S63" s="2" t="s">
        <v>95</v>
      </c>
      <c r="T63" s="7"/>
      <c r="U63" s="7">
        <v>-340</v>
      </c>
      <c r="V63" s="7">
        <v>77</v>
      </c>
      <c r="W63" s="7">
        <v>1760</v>
      </c>
      <c r="X63" s="7">
        <f>SUM(T63:W63)</f>
        <v>1497</v>
      </c>
      <c r="Y63" s="7">
        <v>5</v>
      </c>
      <c r="Z63" s="7">
        <f>X63+Y63</f>
        <v>1502</v>
      </c>
    </row>
    <row r="64" spans="19:26" x14ac:dyDescent="0.2">
      <c r="S64" s="2" t="s">
        <v>69</v>
      </c>
      <c r="T64" s="7"/>
      <c r="U64" s="7"/>
      <c r="V64" s="7"/>
      <c r="W64" s="7">
        <v>-1031</v>
      </c>
      <c r="X64" s="7">
        <f t="shared" ref="X64" si="15">SUM(T64:W64)</f>
        <v>-1031</v>
      </c>
      <c r="Y64" s="7"/>
      <c r="Z64" s="7">
        <f t="shared" ref="Z64:Z66" si="16">X64+Y64</f>
        <v>-1031</v>
      </c>
    </row>
    <row r="65" spans="19:26" x14ac:dyDescent="0.2">
      <c r="S65" s="2" t="s">
        <v>93</v>
      </c>
      <c r="T65" s="7">
        <v>-1</v>
      </c>
      <c r="U65" s="7"/>
      <c r="V65" s="7"/>
      <c r="W65" s="7">
        <v>1</v>
      </c>
      <c r="X65" s="7"/>
      <c r="Y65" s="7"/>
      <c r="Z65" s="7"/>
    </row>
    <row r="66" spans="19:26" x14ac:dyDescent="0.2">
      <c r="S66" s="2" t="s">
        <v>96</v>
      </c>
      <c r="T66" s="7"/>
      <c r="U66" s="7"/>
      <c r="V66" s="7"/>
      <c r="W66" s="7"/>
      <c r="X66" s="7"/>
      <c r="Y66" s="7">
        <v>-4</v>
      </c>
      <c r="Z66" s="7">
        <f t="shared" si="16"/>
        <v>-4</v>
      </c>
    </row>
    <row r="67" spans="19:26" x14ac:dyDescent="0.2">
      <c r="S67" s="44" t="s">
        <v>111</v>
      </c>
      <c r="T67" s="46">
        <f>SUM(T61:T66)</f>
        <v>52.4</v>
      </c>
      <c r="U67" s="46">
        <f t="shared" ref="U67:Z67" si="17">SUM(U61:U66)</f>
        <v>-127</v>
      </c>
      <c r="V67" s="46">
        <f t="shared" si="17"/>
        <v>51.799999999999983</v>
      </c>
      <c r="W67" s="46">
        <f t="shared" si="17"/>
        <v>7450</v>
      </c>
      <c r="X67" s="46">
        <f t="shared" si="17"/>
        <v>7427</v>
      </c>
      <c r="Y67" s="46">
        <f t="shared" si="17"/>
        <v>6</v>
      </c>
      <c r="Z67" s="46">
        <f t="shared" si="17"/>
        <v>7433</v>
      </c>
    </row>
    <row r="68" spans="19:26" x14ac:dyDescent="0.2">
      <c r="S68" s="2"/>
      <c r="T68" s="7"/>
      <c r="U68" s="7"/>
      <c r="V68" s="7"/>
      <c r="W68" s="7"/>
      <c r="X68" s="7"/>
      <c r="Y68" s="7"/>
      <c r="Z68" s="7"/>
    </row>
    <row r="69" spans="19:26" x14ac:dyDescent="0.2">
      <c r="S69" s="2" t="s">
        <v>113</v>
      </c>
      <c r="T69" s="7"/>
      <c r="U69" s="7"/>
      <c r="V69" s="7"/>
      <c r="W69" s="7">
        <v>-407</v>
      </c>
      <c r="X69" s="7">
        <f>SUM(T69:W69)</f>
        <v>-407</v>
      </c>
      <c r="Y69" s="7"/>
      <c r="Z69" s="7">
        <f>X69+Y69</f>
        <v>-407</v>
      </c>
    </row>
    <row r="70" spans="19:26" x14ac:dyDescent="0.2">
      <c r="S70" s="2" t="s">
        <v>95</v>
      </c>
      <c r="T70" s="2"/>
      <c r="U70" s="2">
        <v>39</v>
      </c>
      <c r="V70" s="2">
        <v>-65</v>
      </c>
      <c r="W70" s="2">
        <v>1807</v>
      </c>
      <c r="X70" s="7">
        <f>SUM(T70:W70)</f>
        <v>1781</v>
      </c>
      <c r="Y70" s="2">
        <v>7</v>
      </c>
      <c r="Z70" s="7">
        <f>X70+Y70</f>
        <v>1788</v>
      </c>
    </row>
    <row r="71" spans="19:26" x14ac:dyDescent="0.2">
      <c r="S71" s="2" t="s">
        <v>69</v>
      </c>
      <c r="T71" s="2"/>
      <c r="U71" s="2"/>
      <c r="V71" s="2"/>
      <c r="W71" s="2">
        <v>-1751</v>
      </c>
      <c r="X71" s="7">
        <f>SUM(T71:W71)</f>
        <v>-1751</v>
      </c>
      <c r="Y71" s="2"/>
      <c r="Z71" s="7">
        <f>X71+Y71</f>
        <v>-1751</v>
      </c>
    </row>
    <row r="72" spans="19:26" x14ac:dyDescent="0.2">
      <c r="S72" s="2" t="s">
        <v>93</v>
      </c>
      <c r="T72" s="2">
        <v>-2</v>
      </c>
      <c r="U72" s="2"/>
      <c r="V72" s="2"/>
      <c r="W72" s="2">
        <v>2</v>
      </c>
      <c r="X72" s="7"/>
      <c r="Y72" s="2"/>
      <c r="Z72" s="7"/>
    </row>
    <row r="73" spans="19:26" x14ac:dyDescent="0.2">
      <c r="S73" s="2" t="s">
        <v>96</v>
      </c>
      <c r="T73" s="2"/>
      <c r="U73" s="2"/>
      <c r="V73" s="2"/>
      <c r="W73" s="2"/>
      <c r="X73" s="2"/>
      <c r="Y73" s="2">
        <v>-4</v>
      </c>
      <c r="Z73" s="7">
        <f t="shared" ref="Z73" si="18">X73+Y73</f>
        <v>-4</v>
      </c>
    </row>
    <row r="74" spans="19:26" x14ac:dyDescent="0.2">
      <c r="S74" s="44" t="s">
        <v>112</v>
      </c>
      <c r="T74" s="45">
        <f>SUM(T67:T73)</f>
        <v>50.4</v>
      </c>
      <c r="U74" s="45">
        <f t="shared" ref="U74:Z74" si="19">SUM(U67:U73)</f>
        <v>-88</v>
      </c>
      <c r="V74" s="45">
        <f t="shared" si="19"/>
        <v>-13.200000000000017</v>
      </c>
      <c r="W74" s="45">
        <f t="shared" si="19"/>
        <v>7101</v>
      </c>
      <c r="X74" s="45">
        <f t="shared" si="19"/>
        <v>7050</v>
      </c>
      <c r="Y74" s="45">
        <f t="shared" si="19"/>
        <v>9</v>
      </c>
      <c r="Z74" s="45">
        <f t="shared" si="19"/>
        <v>7059</v>
      </c>
    </row>
    <row r="75" spans="19:26" x14ac:dyDescent="0.2">
      <c r="S75" s="2"/>
      <c r="T75" s="2"/>
      <c r="U75" s="2"/>
      <c r="V75" s="2"/>
      <c r="W75" s="2"/>
      <c r="X75" s="2"/>
      <c r="Y75" s="2"/>
      <c r="Z75" s="2"/>
    </row>
    <row r="76" spans="19:26" x14ac:dyDescent="0.2">
      <c r="S76" s="2" t="s">
        <v>95</v>
      </c>
      <c r="T76" s="2"/>
      <c r="U76" s="7">
        <v>122</v>
      </c>
      <c r="V76" s="7">
        <v>-8</v>
      </c>
      <c r="W76" s="7">
        <v>1417</v>
      </c>
      <c r="X76" s="7">
        <f>SUM(T76:W76)</f>
        <v>1531</v>
      </c>
      <c r="Y76" s="7">
        <v>5</v>
      </c>
      <c r="Z76" s="7">
        <f>X76+Y76</f>
        <v>1536</v>
      </c>
    </row>
    <row r="77" spans="19:26" x14ac:dyDescent="0.2">
      <c r="S77" s="2" t="s">
        <v>69</v>
      </c>
      <c r="T77" s="2"/>
      <c r="U77" s="7"/>
      <c r="V77" s="7"/>
      <c r="W77" s="7">
        <v>-946</v>
      </c>
      <c r="X77" s="7">
        <f t="shared" ref="X77:X78" si="20">SUM(T77:W77)</f>
        <v>-946</v>
      </c>
      <c r="Y77" s="7"/>
      <c r="Z77" s="7">
        <f t="shared" ref="Z77:Z80" si="21">X77+Y77</f>
        <v>-946</v>
      </c>
    </row>
    <row r="78" spans="19:26" x14ac:dyDescent="0.2">
      <c r="S78" s="39" t="s">
        <v>114</v>
      </c>
      <c r="T78" s="2"/>
      <c r="U78" s="7"/>
      <c r="V78" s="7"/>
      <c r="W78" s="7">
        <v>1</v>
      </c>
      <c r="X78" s="7">
        <f t="shared" si="20"/>
        <v>1</v>
      </c>
      <c r="Y78" s="7"/>
      <c r="Z78" s="7">
        <f t="shared" si="21"/>
        <v>1</v>
      </c>
    </row>
    <row r="79" spans="19:26" x14ac:dyDescent="0.2">
      <c r="S79" s="2" t="s">
        <v>93</v>
      </c>
      <c r="T79" s="2">
        <v>-1</v>
      </c>
      <c r="U79" s="7"/>
      <c r="V79" s="7"/>
      <c r="W79" s="7">
        <v>1</v>
      </c>
      <c r="X79" s="7"/>
      <c r="Y79" s="7"/>
      <c r="Z79" s="7"/>
    </row>
    <row r="80" spans="19:26" x14ac:dyDescent="0.2">
      <c r="S80" s="14" t="s">
        <v>104</v>
      </c>
      <c r="T80" s="14"/>
      <c r="U80" s="15"/>
      <c r="V80" s="15"/>
      <c r="W80" s="15"/>
      <c r="X80" s="15"/>
      <c r="Y80" s="15">
        <v>-5</v>
      </c>
      <c r="Z80" s="15">
        <f t="shared" si="21"/>
        <v>-5</v>
      </c>
    </row>
    <row r="81" spans="19:26" x14ac:dyDescent="0.2">
      <c r="S81" s="49" t="s">
        <v>115</v>
      </c>
      <c r="T81" s="45">
        <f>SUM(T74:T80)</f>
        <v>49.4</v>
      </c>
      <c r="U81" s="45">
        <f t="shared" ref="U81:Z81" si="22">SUM(U74:U80)</f>
        <v>34</v>
      </c>
      <c r="V81" s="45">
        <f t="shared" si="22"/>
        <v>-21.200000000000017</v>
      </c>
      <c r="W81" s="45">
        <f t="shared" si="22"/>
        <v>7574</v>
      </c>
      <c r="X81" s="45">
        <f t="shared" si="22"/>
        <v>7636</v>
      </c>
      <c r="Y81" s="45">
        <f t="shared" si="22"/>
        <v>9</v>
      </c>
      <c r="Z81" s="45">
        <f t="shared" si="22"/>
        <v>7645</v>
      </c>
    </row>
    <row r="82" spans="19:26" x14ac:dyDescent="0.2">
      <c r="S82" s="2"/>
      <c r="T82" s="2"/>
      <c r="U82" s="2"/>
      <c r="V82" s="2"/>
      <c r="W82" s="2"/>
      <c r="X82" s="2"/>
      <c r="Y82" s="2"/>
      <c r="Z82" s="2"/>
    </row>
    <row r="83" spans="19:26" x14ac:dyDescent="0.2">
      <c r="S83" s="2" t="s">
        <v>95</v>
      </c>
      <c r="T83" s="2"/>
      <c r="U83" s="2">
        <v>-448</v>
      </c>
      <c r="V83" s="2">
        <v>76</v>
      </c>
      <c r="W83" s="7">
        <v>1129</v>
      </c>
      <c r="X83" s="2">
        <f>SUM(T83:W83)</f>
        <v>757</v>
      </c>
      <c r="Y83" s="2">
        <v>13</v>
      </c>
      <c r="Z83" s="2">
        <f>X83+Y83</f>
        <v>770</v>
      </c>
    </row>
    <row r="84" spans="19:26" x14ac:dyDescent="0.2">
      <c r="S84" s="2" t="s">
        <v>69</v>
      </c>
      <c r="T84" s="2"/>
      <c r="U84" s="2"/>
      <c r="V84" s="2"/>
      <c r="W84" s="2">
        <v>-147</v>
      </c>
      <c r="X84" s="2">
        <f>SUM(T84:W84)</f>
        <v>-147</v>
      </c>
      <c r="Y84" s="2"/>
      <c r="Z84" s="2">
        <f>X84+Y84</f>
        <v>-147</v>
      </c>
    </row>
    <row r="85" spans="19:26" x14ac:dyDescent="0.2">
      <c r="S85" s="39" t="s">
        <v>114</v>
      </c>
      <c r="T85" s="2"/>
      <c r="U85" s="2"/>
      <c r="V85" s="2"/>
      <c r="W85" s="2">
        <v>4</v>
      </c>
      <c r="X85" s="2">
        <f>SUM(T85:W85)</f>
        <v>4</v>
      </c>
      <c r="Y85" s="2"/>
      <c r="Z85" s="2">
        <f>X85+Y85</f>
        <v>4</v>
      </c>
    </row>
    <row r="86" spans="19:26" x14ac:dyDescent="0.2">
      <c r="S86" s="2" t="s">
        <v>93</v>
      </c>
      <c r="T86" s="2">
        <v>-1</v>
      </c>
      <c r="U86" s="2"/>
      <c r="V86" s="2"/>
      <c r="W86" s="2">
        <v>1</v>
      </c>
      <c r="X86" s="2"/>
      <c r="Y86" s="2"/>
      <c r="Z86" s="2"/>
    </row>
    <row r="87" spans="19:26" x14ac:dyDescent="0.2">
      <c r="S87" s="2" t="s">
        <v>104</v>
      </c>
      <c r="T87" s="2"/>
      <c r="U87" s="2"/>
      <c r="V87" s="2"/>
      <c r="W87" s="2"/>
      <c r="X87" s="2"/>
      <c r="Y87" s="2">
        <v>-3</v>
      </c>
      <c r="Z87" s="2">
        <f t="shared" ref="Z87:Z88" si="23">X87+Y87</f>
        <v>-3</v>
      </c>
    </row>
    <row r="88" spans="19:26" x14ac:dyDescent="0.2">
      <c r="S88" s="14" t="s">
        <v>122</v>
      </c>
      <c r="T88" s="2"/>
      <c r="U88" s="2"/>
      <c r="V88" s="2"/>
      <c r="W88" s="2"/>
      <c r="X88" s="2"/>
      <c r="Y88" s="2">
        <v>10</v>
      </c>
      <c r="Z88" s="2">
        <f t="shared" si="23"/>
        <v>10</v>
      </c>
    </row>
    <row r="89" spans="19:26" x14ac:dyDescent="0.2">
      <c r="S89" s="49" t="s">
        <v>121</v>
      </c>
      <c r="T89" s="45">
        <f>SUM(T81:T88)</f>
        <v>48.4</v>
      </c>
      <c r="U89" s="45">
        <f t="shared" ref="U89:Z89" si="24">SUM(U81:U88)</f>
        <v>-414</v>
      </c>
      <c r="V89" s="45">
        <f t="shared" si="24"/>
        <v>54.799999999999983</v>
      </c>
      <c r="W89" s="45">
        <f t="shared" si="24"/>
        <v>8561</v>
      </c>
      <c r="X89" s="45">
        <f t="shared" si="24"/>
        <v>8250</v>
      </c>
      <c r="Y89" s="45">
        <f t="shared" si="24"/>
        <v>29</v>
      </c>
      <c r="Z89" s="45">
        <f t="shared" si="24"/>
        <v>8279</v>
      </c>
    </row>
    <row r="90" spans="19:26" x14ac:dyDescent="0.2">
      <c r="S90" s="2"/>
      <c r="T90" s="2"/>
      <c r="U90" s="2"/>
      <c r="V90" s="2"/>
      <c r="W90" s="2"/>
      <c r="X90" s="2"/>
      <c r="Y90" s="2"/>
      <c r="Z90" s="2"/>
    </row>
    <row r="91" spans="19:26" x14ac:dyDescent="0.2">
      <c r="S91" s="2" t="s">
        <v>95</v>
      </c>
      <c r="T91" s="2"/>
      <c r="U91" s="2">
        <v>422</v>
      </c>
      <c r="V91" s="2">
        <v>-109</v>
      </c>
      <c r="W91" s="7">
        <v>2563</v>
      </c>
      <c r="X91" s="7">
        <f>SUM(T91:W91)</f>
        <v>2876</v>
      </c>
      <c r="Y91" s="7">
        <v>15</v>
      </c>
      <c r="Z91" s="7">
        <f>X91+Y91</f>
        <v>2891</v>
      </c>
    </row>
    <row r="92" spans="19:26" x14ac:dyDescent="0.2">
      <c r="S92" s="2" t="s">
        <v>69</v>
      </c>
      <c r="T92" s="2"/>
      <c r="U92" s="2"/>
      <c r="V92" s="2"/>
      <c r="W92" s="7">
        <v>-3143</v>
      </c>
      <c r="X92" s="7">
        <f t="shared" ref="X92:X95" si="25">SUM(T92:W92)</f>
        <v>-3143</v>
      </c>
      <c r="Y92" s="7"/>
      <c r="Z92" s="7">
        <f t="shared" ref="Z92:Z95" si="26">X92+Y92</f>
        <v>-3143</v>
      </c>
    </row>
    <row r="93" spans="19:26" x14ac:dyDescent="0.2">
      <c r="S93" s="39" t="s">
        <v>114</v>
      </c>
      <c r="T93" s="2"/>
      <c r="U93" s="2"/>
      <c r="V93" s="2"/>
      <c r="W93" s="2">
        <v>8</v>
      </c>
      <c r="X93" s="2">
        <f t="shared" si="25"/>
        <v>8</v>
      </c>
      <c r="Y93" s="2"/>
      <c r="Z93" s="2">
        <f t="shared" si="26"/>
        <v>8</v>
      </c>
    </row>
    <row r="94" spans="19:26" x14ac:dyDescent="0.2">
      <c r="S94" s="2" t="s">
        <v>93</v>
      </c>
      <c r="T94" s="2"/>
      <c r="U94" s="2"/>
      <c r="V94" s="2"/>
      <c r="W94" s="2"/>
      <c r="X94" s="2"/>
      <c r="Y94" s="2"/>
      <c r="Z94" s="2"/>
    </row>
    <row r="95" spans="19:26" x14ac:dyDescent="0.2">
      <c r="S95" s="2" t="s">
        <v>104</v>
      </c>
      <c r="T95" s="2"/>
      <c r="U95" s="2"/>
      <c r="V95" s="2"/>
      <c r="W95" s="2">
        <v>-14</v>
      </c>
      <c r="X95" s="2">
        <f t="shared" si="25"/>
        <v>-14</v>
      </c>
      <c r="Y95" s="2">
        <v>-40</v>
      </c>
      <c r="Z95" s="2">
        <f t="shared" si="26"/>
        <v>-54</v>
      </c>
    </row>
    <row r="96" spans="19:26" x14ac:dyDescent="0.2">
      <c r="S96" s="14" t="s">
        <v>122</v>
      </c>
      <c r="T96" s="2"/>
      <c r="U96" s="2"/>
      <c r="V96" s="2"/>
      <c r="W96" s="2"/>
      <c r="X96" s="2"/>
      <c r="Y96" s="2"/>
      <c r="Z96" s="2"/>
    </row>
    <row r="97" spans="19:26" x14ac:dyDescent="0.2">
      <c r="S97" s="49" t="s">
        <v>124</v>
      </c>
      <c r="T97" s="45">
        <f>SUM(T89:T96)</f>
        <v>48.4</v>
      </c>
      <c r="U97" s="45">
        <f>SUM(U89:U96)</f>
        <v>8</v>
      </c>
      <c r="V97" s="45">
        <f>SUM(V89:V96)</f>
        <v>-54.200000000000017</v>
      </c>
      <c r="W97" s="45">
        <f>SUM(W89:W96)</f>
        <v>7975</v>
      </c>
      <c r="X97" s="45">
        <f>SUM(X89:X96)</f>
        <v>7977</v>
      </c>
      <c r="Y97" s="45">
        <f t="shared" ref="Y97:Z97" si="27">SUM(Y89:Y96)</f>
        <v>4</v>
      </c>
      <c r="Z97" s="45">
        <f t="shared" si="27"/>
        <v>7981</v>
      </c>
    </row>
    <row r="98" spans="19:26" x14ac:dyDescent="0.2">
      <c r="S98" s="2"/>
      <c r="T98" s="2"/>
      <c r="U98" s="2"/>
      <c r="V98" s="2"/>
      <c r="W98" s="2"/>
      <c r="X98" s="2"/>
      <c r="Y98" s="2"/>
      <c r="Z98" s="2"/>
    </row>
    <row r="99" spans="19:26" x14ac:dyDescent="0.2">
      <c r="S99" s="2" t="s">
        <v>95</v>
      </c>
      <c r="T99" s="2"/>
      <c r="U99" s="2">
        <v>63</v>
      </c>
      <c r="V99" s="2">
        <v>127</v>
      </c>
      <c r="W99" s="7">
        <v>2160</v>
      </c>
      <c r="X99" s="7">
        <v>2350</v>
      </c>
      <c r="Y99" s="7">
        <v>2</v>
      </c>
      <c r="Z99" s="7">
        <f>X99+Y99</f>
        <v>2352</v>
      </c>
    </row>
    <row r="100" spans="19:26" x14ac:dyDescent="0.2">
      <c r="S100" s="2" t="s">
        <v>69</v>
      </c>
      <c r="T100" s="2"/>
      <c r="U100" s="2"/>
      <c r="V100" s="2"/>
      <c r="W100" s="7">
        <v>-1840</v>
      </c>
      <c r="X100" s="7">
        <f t="shared" ref="X100:X101" si="28">SUM(T100:W100)</f>
        <v>-1840</v>
      </c>
      <c r="Y100" s="7"/>
      <c r="Z100" s="7">
        <f t="shared" ref="Z100:Z101" si="29">X100+Y100</f>
        <v>-1840</v>
      </c>
    </row>
    <row r="101" spans="19:26" x14ac:dyDescent="0.2">
      <c r="S101" s="39" t="s">
        <v>114</v>
      </c>
      <c r="T101" s="2"/>
      <c r="U101" s="2"/>
      <c r="V101" s="2"/>
      <c r="W101" s="2">
        <v>80</v>
      </c>
      <c r="X101" s="2">
        <f t="shared" si="28"/>
        <v>80</v>
      </c>
      <c r="Y101" s="2"/>
      <c r="Z101" s="2">
        <f t="shared" si="29"/>
        <v>80</v>
      </c>
    </row>
    <row r="102" spans="19:26" x14ac:dyDescent="0.2">
      <c r="S102" s="2" t="s">
        <v>93</v>
      </c>
      <c r="T102" s="2">
        <v>-2</v>
      </c>
      <c r="U102" s="2"/>
      <c r="V102" s="2"/>
      <c r="W102" s="2">
        <v>2</v>
      </c>
      <c r="X102" s="2"/>
      <c r="Y102" s="2"/>
      <c r="Z102" s="2"/>
    </row>
    <row r="103" spans="19:26" x14ac:dyDescent="0.2">
      <c r="S103" s="2" t="s">
        <v>104</v>
      </c>
      <c r="T103" s="2"/>
      <c r="U103" s="2"/>
      <c r="V103" s="2"/>
      <c r="W103" s="2">
        <v>-3</v>
      </c>
      <c r="X103" s="2">
        <f t="shared" ref="X103" si="30">SUM(T103:W103)</f>
        <v>-3</v>
      </c>
      <c r="Y103" s="2">
        <v>-8</v>
      </c>
      <c r="Z103" s="2">
        <f t="shared" ref="Z103" si="31">X103+Y103</f>
        <v>-11</v>
      </c>
    </row>
    <row r="104" spans="19:26" x14ac:dyDescent="0.2">
      <c r="S104" s="14" t="s">
        <v>127</v>
      </c>
      <c r="T104" s="2"/>
      <c r="U104" s="2"/>
      <c r="V104" s="2"/>
      <c r="W104" s="2">
        <v>-3</v>
      </c>
      <c r="X104" s="2">
        <v>-3</v>
      </c>
      <c r="Y104" s="2">
        <v>3</v>
      </c>
      <c r="Z104" s="2"/>
    </row>
    <row r="105" spans="19:26" x14ac:dyDescent="0.2">
      <c r="S105" s="49" t="s">
        <v>126</v>
      </c>
      <c r="T105" s="45">
        <f>SUM(T97:T104)</f>
        <v>46.4</v>
      </c>
      <c r="U105" s="45">
        <f>SUM(U97:U104)</f>
        <v>71</v>
      </c>
      <c r="V105" s="45">
        <f>SUM(V97:V104)</f>
        <v>72.799999999999983</v>
      </c>
      <c r="W105" s="45">
        <f>SUM(W97:W104)</f>
        <v>8371</v>
      </c>
      <c r="X105" s="45">
        <f>SUM(X97:X104)</f>
        <v>8561</v>
      </c>
      <c r="Y105" s="45">
        <f t="shared" ref="Y105:Z105" si="32">SUM(Y97:Y104)</f>
        <v>1</v>
      </c>
      <c r="Z105" s="45">
        <f t="shared" si="32"/>
        <v>8562</v>
      </c>
    </row>
    <row r="106" spans="19:26" x14ac:dyDescent="0.2">
      <c r="S106" s="2"/>
      <c r="T106" s="2"/>
      <c r="U106" s="2"/>
      <c r="V106" s="2"/>
      <c r="W106" s="2"/>
      <c r="X106" s="2"/>
      <c r="Y106" s="2"/>
      <c r="Z106" s="2"/>
    </row>
    <row r="107" spans="19:26" x14ac:dyDescent="0.2">
      <c r="S107" s="2" t="s">
        <v>95</v>
      </c>
      <c r="T107" s="2"/>
      <c r="U107" s="2">
        <v>-174</v>
      </c>
      <c r="V107" s="2">
        <v>-51</v>
      </c>
      <c r="W107" s="7">
        <v>1780</v>
      </c>
      <c r="X107" s="7">
        <f>SUM(T107:W107)</f>
        <v>1555</v>
      </c>
      <c r="Y107" s="7">
        <v>3</v>
      </c>
      <c r="Z107" s="7">
        <f>X107+Y107</f>
        <v>1558</v>
      </c>
    </row>
    <row r="108" spans="19:26" x14ac:dyDescent="0.2">
      <c r="S108" s="2" t="s">
        <v>69</v>
      </c>
      <c r="T108" s="2"/>
      <c r="U108" s="2"/>
      <c r="V108" s="2"/>
      <c r="W108" s="7">
        <v>-846</v>
      </c>
      <c r="X108" s="7">
        <f t="shared" ref="X108:X113" si="33">SUM(T108:W108)</f>
        <v>-846</v>
      </c>
      <c r="Y108" s="7"/>
      <c r="Z108" s="7">
        <f t="shared" ref="Z108:Z109" si="34">X108+Y108</f>
        <v>-846</v>
      </c>
    </row>
    <row r="109" spans="19:26" x14ac:dyDescent="0.2">
      <c r="S109" s="39" t="s">
        <v>114</v>
      </c>
      <c r="T109" s="2"/>
      <c r="U109" s="2"/>
      <c r="V109" s="2"/>
      <c r="W109" s="2">
        <v>63</v>
      </c>
      <c r="X109" s="2">
        <f t="shared" si="33"/>
        <v>63</v>
      </c>
      <c r="Y109" s="2"/>
      <c r="Z109" s="2">
        <f t="shared" si="34"/>
        <v>63</v>
      </c>
    </row>
    <row r="110" spans="19:26" x14ac:dyDescent="0.2">
      <c r="S110" s="2" t="s">
        <v>93</v>
      </c>
      <c r="T110" s="2">
        <v>-1</v>
      </c>
      <c r="U110" s="2"/>
      <c r="V110" s="2"/>
      <c r="W110" s="2">
        <v>1</v>
      </c>
      <c r="X110" s="2"/>
      <c r="Y110" s="2"/>
      <c r="Z110" s="2"/>
    </row>
    <row r="111" spans="19:26" x14ac:dyDescent="0.2">
      <c r="S111" s="2" t="s">
        <v>104</v>
      </c>
      <c r="T111" s="2"/>
      <c r="U111" s="2"/>
      <c r="V111" s="2"/>
      <c r="W111" s="2"/>
      <c r="X111" s="2"/>
      <c r="Y111" s="2">
        <v>-3</v>
      </c>
      <c r="Z111" s="2">
        <f t="shared" ref="Z111:Z112" si="35">X111+Y111</f>
        <v>-3</v>
      </c>
    </row>
    <row r="112" spans="19:26" x14ac:dyDescent="0.2">
      <c r="S112" s="2" t="s">
        <v>122</v>
      </c>
      <c r="T112" s="2"/>
      <c r="U112" s="2"/>
      <c r="V112" s="2"/>
      <c r="W112" s="2">
        <v>-76</v>
      </c>
      <c r="X112" s="2">
        <f t="shared" si="33"/>
        <v>-76</v>
      </c>
      <c r="Y112" s="2">
        <v>80</v>
      </c>
      <c r="Z112" s="2">
        <f t="shared" si="35"/>
        <v>4</v>
      </c>
    </row>
    <row r="113" spans="19:26" x14ac:dyDescent="0.2">
      <c r="S113" s="14" t="s">
        <v>127</v>
      </c>
      <c r="T113" s="2"/>
      <c r="U113" s="2"/>
      <c r="V113" s="2"/>
      <c r="W113" s="2">
        <v>-1</v>
      </c>
      <c r="X113" s="2">
        <f t="shared" si="33"/>
        <v>-1</v>
      </c>
      <c r="Y113" s="2">
        <v>1</v>
      </c>
      <c r="Z113" s="2"/>
    </row>
    <row r="114" spans="19:26" x14ac:dyDescent="0.2">
      <c r="S114" s="49" t="s">
        <v>132</v>
      </c>
      <c r="T114" s="45">
        <f>SUM(T105:T113)</f>
        <v>45.4</v>
      </c>
      <c r="U114" s="45">
        <f>SUM(U105:U113)</f>
        <v>-103</v>
      </c>
      <c r="V114" s="45">
        <f>SUM(V105:V113)</f>
        <v>21.799999999999983</v>
      </c>
      <c r="W114" s="45">
        <f>SUM(W105:W113)</f>
        <v>9292</v>
      </c>
      <c r="X114" s="45">
        <f>SUM(X105:X113)</f>
        <v>9256</v>
      </c>
      <c r="Y114" s="45">
        <f t="shared" ref="Y114:Z114" si="36">SUM(Y105:Y113)</f>
        <v>82</v>
      </c>
      <c r="Z114" s="45">
        <f t="shared" si="36"/>
        <v>9338</v>
      </c>
    </row>
  </sheetData>
  <mergeCells count="1">
    <mergeCell ref="U11:W1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6F321-AD24-4572-88B6-80C596D44079}">
  <dimension ref="A1:AR66"/>
  <sheetViews>
    <sheetView tabSelected="1" zoomScale="90" zoomScaleNormal="90" workbookViewId="0">
      <selection activeCell="J46" sqref="J46"/>
    </sheetView>
  </sheetViews>
  <sheetFormatPr baseColWidth="10" defaultColWidth="8.83203125" defaultRowHeight="15" x14ac:dyDescent="0.2"/>
  <cols>
    <col min="1" max="1" width="69.83203125" style="64" bestFit="1" customWidth="1"/>
    <col min="2" max="2" width="48.5" bestFit="1" customWidth="1"/>
    <col min="12" max="12" width="39.33203125" bestFit="1" customWidth="1"/>
    <col min="13" max="23" width="7.33203125" bestFit="1" customWidth="1"/>
    <col min="24" max="26" width="6.33203125" bestFit="1" customWidth="1"/>
    <col min="29" max="29" width="55.1640625" bestFit="1" customWidth="1"/>
    <col min="30" max="40" width="7.33203125" bestFit="1" customWidth="1"/>
    <col min="41" max="44" width="6.33203125" bestFit="1" customWidth="1"/>
  </cols>
  <sheetData>
    <row r="1" spans="1:44" x14ac:dyDescent="0.2">
      <c r="A1"/>
    </row>
    <row r="2" spans="1:44" x14ac:dyDescent="0.2">
      <c r="A2"/>
      <c r="L2" s="6" t="s">
        <v>23</v>
      </c>
      <c r="M2" s="44">
        <v>2023</v>
      </c>
      <c r="N2" s="44">
        <v>2022</v>
      </c>
      <c r="O2" s="44">
        <v>2021</v>
      </c>
      <c r="P2" s="44">
        <v>2020</v>
      </c>
      <c r="Q2" s="44">
        <v>2019</v>
      </c>
      <c r="R2" s="44">
        <v>2018</v>
      </c>
      <c r="S2" s="44">
        <v>2017</v>
      </c>
      <c r="T2" s="44">
        <v>2016</v>
      </c>
      <c r="U2" s="44">
        <v>2015</v>
      </c>
      <c r="V2" s="44">
        <v>2014</v>
      </c>
      <c r="W2" s="44">
        <v>2013</v>
      </c>
      <c r="X2" s="44">
        <v>2012</v>
      </c>
      <c r="Y2" s="44">
        <v>2011</v>
      </c>
      <c r="Z2" s="44">
        <v>2010</v>
      </c>
      <c r="AA2" s="44">
        <v>2009</v>
      </c>
      <c r="AB2" s="2"/>
      <c r="AC2" s="6" t="s">
        <v>23</v>
      </c>
      <c r="AD2" s="44">
        <v>2023</v>
      </c>
      <c r="AE2" s="44">
        <v>2022</v>
      </c>
      <c r="AF2" s="44">
        <v>2021</v>
      </c>
      <c r="AG2" s="44">
        <v>2020</v>
      </c>
      <c r="AH2" s="44">
        <v>2019</v>
      </c>
      <c r="AI2" s="44">
        <v>2018</v>
      </c>
      <c r="AJ2" s="44">
        <v>2017</v>
      </c>
      <c r="AK2" s="44">
        <v>2016</v>
      </c>
      <c r="AL2" s="44">
        <v>2015</v>
      </c>
      <c r="AM2" s="44">
        <v>2014</v>
      </c>
      <c r="AN2" s="44">
        <v>2013</v>
      </c>
      <c r="AO2" s="44">
        <v>2012</v>
      </c>
      <c r="AP2" s="44">
        <v>2011</v>
      </c>
      <c r="AQ2" s="44">
        <v>2010</v>
      </c>
      <c r="AR2" s="44">
        <v>2009</v>
      </c>
    </row>
    <row r="3" spans="1:44" x14ac:dyDescent="0.2">
      <c r="A3"/>
      <c r="L3" s="3" t="s">
        <v>0</v>
      </c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7"/>
      <c r="Y3" s="7"/>
      <c r="Z3" s="7"/>
      <c r="AA3" s="7"/>
      <c r="AB3" s="2"/>
      <c r="AC3" s="3" t="s">
        <v>24</v>
      </c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2"/>
      <c r="AP3" s="2"/>
      <c r="AQ3" s="2"/>
      <c r="AR3" s="2"/>
    </row>
    <row r="4" spans="1:44" x14ac:dyDescent="0.2">
      <c r="A4"/>
      <c r="L4" s="2" t="s">
        <v>1</v>
      </c>
      <c r="M4" s="7">
        <v>12381</v>
      </c>
      <c r="N4" s="7">
        <v>11488</v>
      </c>
      <c r="O4" s="7">
        <v>9471</v>
      </c>
      <c r="P4" s="7">
        <v>8320</v>
      </c>
      <c r="Q4" s="7">
        <v>7826</v>
      </c>
      <c r="R4" s="7">
        <v>7211</v>
      </c>
      <c r="S4" s="7">
        <v>6339</v>
      </c>
      <c r="T4" s="7">
        <v>6276</v>
      </c>
      <c r="U4" s="7">
        <v>5660</v>
      </c>
      <c r="V4" s="7">
        <v>3831</v>
      </c>
      <c r="W4" s="29">
        <v>3545</v>
      </c>
      <c r="X4" s="7">
        <v>2568</v>
      </c>
      <c r="Y4" s="7">
        <v>1976</v>
      </c>
      <c r="Z4" s="7">
        <v>1660</v>
      </c>
      <c r="AA4" s="7">
        <v>786</v>
      </c>
      <c r="AB4" s="2"/>
      <c r="AC4" s="2" t="s">
        <v>25</v>
      </c>
      <c r="AD4" s="2">
        <v>45</v>
      </c>
      <c r="AE4" s="2">
        <v>46</v>
      </c>
      <c r="AF4" s="2">
        <v>48</v>
      </c>
      <c r="AG4" s="2">
        <v>48</v>
      </c>
      <c r="AH4" s="2">
        <v>49</v>
      </c>
      <c r="AI4" s="7">
        <v>50</v>
      </c>
      <c r="AJ4" s="7">
        <v>52</v>
      </c>
      <c r="AK4" s="7">
        <v>53</v>
      </c>
      <c r="AL4" s="7">
        <v>54</v>
      </c>
      <c r="AM4" s="7">
        <v>57</v>
      </c>
      <c r="AN4" s="2">
        <v>57</v>
      </c>
      <c r="AO4" s="7">
        <v>58</v>
      </c>
      <c r="AP4" s="7">
        <v>58</v>
      </c>
      <c r="AQ4" s="7">
        <v>58</v>
      </c>
      <c r="AR4" s="7">
        <v>59</v>
      </c>
    </row>
    <row r="5" spans="1:44" x14ac:dyDescent="0.2">
      <c r="A5"/>
      <c r="L5" s="2" t="s">
        <v>2</v>
      </c>
      <c r="M5" s="7">
        <v>15</v>
      </c>
      <c r="N5" s="7">
        <v>19</v>
      </c>
      <c r="O5" s="7">
        <v>21</v>
      </c>
      <c r="P5" s="7">
        <v>12</v>
      </c>
      <c r="Q5" s="7">
        <v>21</v>
      </c>
      <c r="R5" s="7">
        <v>35</v>
      </c>
      <c r="S5" s="7">
        <v>40</v>
      </c>
      <c r="T5" s="7">
        <v>51</v>
      </c>
      <c r="U5" s="7">
        <v>22</v>
      </c>
      <c r="V5" s="7">
        <v>28</v>
      </c>
      <c r="W5" s="2">
        <v>35</v>
      </c>
      <c r="X5" s="7">
        <v>47</v>
      </c>
      <c r="Y5" s="7">
        <v>44</v>
      </c>
      <c r="Z5" s="7">
        <v>53</v>
      </c>
      <c r="AA5" s="7">
        <v>47</v>
      </c>
      <c r="AB5" s="2"/>
      <c r="AC5" s="14" t="s">
        <v>26</v>
      </c>
      <c r="AD5" s="15">
        <v>9211</v>
      </c>
      <c r="AE5" s="15">
        <v>8515</v>
      </c>
      <c r="AF5" s="15">
        <v>7929</v>
      </c>
      <c r="AG5" s="15">
        <v>8202</v>
      </c>
      <c r="AH5" s="15">
        <v>7587</v>
      </c>
      <c r="AI5" s="15">
        <v>7000</v>
      </c>
      <c r="AJ5" s="15">
        <v>7375</v>
      </c>
      <c r="AK5" s="15">
        <v>6908</v>
      </c>
      <c r="AL5" s="15">
        <v>6445</v>
      </c>
      <c r="AM5" s="15">
        <v>5529</v>
      </c>
      <c r="AN5" s="31">
        <v>5000</v>
      </c>
      <c r="AO5" s="15">
        <v>4003</v>
      </c>
      <c r="AP5" s="15">
        <v>3242</v>
      </c>
      <c r="AQ5" s="15">
        <v>2385</v>
      </c>
      <c r="AR5" s="15">
        <v>1243</v>
      </c>
    </row>
    <row r="6" spans="1:44" x14ac:dyDescent="0.2">
      <c r="A6"/>
      <c r="L6" s="2" t="s">
        <v>3</v>
      </c>
      <c r="M6" s="7">
        <v>812</v>
      </c>
      <c r="N6" s="7">
        <v>815</v>
      </c>
      <c r="O6" s="7">
        <v>551</v>
      </c>
      <c r="P6" s="7">
        <v>489</v>
      </c>
      <c r="Q6" s="7">
        <v>508</v>
      </c>
      <c r="R6" s="7">
        <v>439</v>
      </c>
      <c r="S6" s="7">
        <v>407</v>
      </c>
      <c r="T6" s="7">
        <v>289</v>
      </c>
      <c r="U6" s="7">
        <v>275</v>
      </c>
      <c r="V6" s="7">
        <v>37</v>
      </c>
      <c r="W6" s="2">
        <v>35</v>
      </c>
      <c r="X6" s="7">
        <v>33</v>
      </c>
      <c r="Y6" s="7">
        <v>35</v>
      </c>
      <c r="Z6" s="7">
        <v>41</v>
      </c>
      <c r="AA6" s="7">
        <v>22</v>
      </c>
      <c r="AB6" s="2"/>
      <c r="AC6" s="2" t="s">
        <v>28</v>
      </c>
      <c r="AD6" s="7">
        <f>SUM(AD4:AD5)</f>
        <v>9256</v>
      </c>
      <c r="AE6" s="7">
        <f>AE4+AE5</f>
        <v>8561</v>
      </c>
      <c r="AF6" s="7">
        <f>AF4+AF5</f>
        <v>7977</v>
      </c>
      <c r="AG6" s="7">
        <f>AG4+AG5</f>
        <v>8250</v>
      </c>
      <c r="AH6" s="7">
        <f>AH4+AH5</f>
        <v>7636</v>
      </c>
      <c r="AI6" s="7">
        <f>AI4+AI5</f>
        <v>7050</v>
      </c>
      <c r="AJ6" s="7">
        <f>SUM(AJ4:AJ5)</f>
        <v>7427</v>
      </c>
      <c r="AK6" s="7">
        <f>AK4+AK5</f>
        <v>6961</v>
      </c>
      <c r="AL6" s="7">
        <f>AL4+AL5</f>
        <v>6499</v>
      </c>
      <c r="AM6" s="7">
        <f>AM4+AM5</f>
        <v>5586</v>
      </c>
      <c r="AN6" s="29">
        <f>AN4+AN5</f>
        <v>5057</v>
      </c>
      <c r="AO6" s="7">
        <f>SUM(AO4:AO5)</f>
        <v>4061</v>
      </c>
      <c r="AP6" s="7">
        <f t="shared" ref="AP6:AR6" si="0">SUM(AP4:AP5)</f>
        <v>3300</v>
      </c>
      <c r="AQ6" s="7">
        <f t="shared" si="0"/>
        <v>2443</v>
      </c>
      <c r="AR6" s="7">
        <f t="shared" si="0"/>
        <v>1302</v>
      </c>
    </row>
    <row r="7" spans="1:44" x14ac:dyDescent="0.2">
      <c r="A7"/>
      <c r="L7" s="2" t="s">
        <v>106</v>
      </c>
      <c r="M7" s="2">
        <v>332</v>
      </c>
      <c r="N7" s="2">
        <v>260</v>
      </c>
      <c r="O7" s="2">
        <v>274</v>
      </c>
      <c r="P7" s="2">
        <v>283</v>
      </c>
      <c r="Q7" s="2">
        <v>221</v>
      </c>
      <c r="R7" s="2">
        <v>181</v>
      </c>
      <c r="S7" s="2">
        <v>106</v>
      </c>
      <c r="T7" s="2">
        <v>152</v>
      </c>
      <c r="U7" s="2">
        <v>20</v>
      </c>
      <c r="V7" s="2">
        <v>107</v>
      </c>
      <c r="W7" s="2"/>
      <c r="X7" s="2"/>
      <c r="Y7" s="2"/>
      <c r="Z7" s="2"/>
      <c r="AA7" s="2"/>
      <c r="AB7" s="2"/>
      <c r="AC7" s="2" t="s">
        <v>29</v>
      </c>
      <c r="AD7" s="2">
        <v>82</v>
      </c>
      <c r="AE7" s="2">
        <v>1</v>
      </c>
      <c r="AF7" s="2">
        <v>4</v>
      </c>
      <c r="AG7" s="2">
        <v>29</v>
      </c>
      <c r="AH7" s="2">
        <v>9</v>
      </c>
      <c r="AI7" s="7">
        <v>9</v>
      </c>
      <c r="AJ7" s="7">
        <v>6</v>
      </c>
      <c r="AK7" s="7">
        <v>5</v>
      </c>
      <c r="AL7" s="7">
        <v>1</v>
      </c>
      <c r="AM7" s="7">
        <v>-2</v>
      </c>
      <c r="AN7" s="2">
        <v>-1</v>
      </c>
      <c r="AO7" s="7">
        <v>-2</v>
      </c>
      <c r="AP7" s="7">
        <v>4</v>
      </c>
      <c r="AQ7" s="7"/>
      <c r="AR7" s="7"/>
    </row>
    <row r="8" spans="1:44" ht="16" thickBot="1" x14ac:dyDescent="0.25">
      <c r="A8"/>
      <c r="L8" s="4" t="s">
        <v>4</v>
      </c>
      <c r="M8" s="8">
        <f>SUM(M4:M7)</f>
        <v>13540</v>
      </c>
      <c r="N8" s="8">
        <f>SUM(N4:N7)</f>
        <v>12582</v>
      </c>
      <c r="O8" s="8">
        <f>SUM(O4:O7)</f>
        <v>10317</v>
      </c>
      <c r="P8" s="8">
        <f t="shared" ref="P8:V8" si="1">SUM(P4:P7)</f>
        <v>9104</v>
      </c>
      <c r="Q8" s="8">
        <f t="shared" si="1"/>
        <v>8576</v>
      </c>
      <c r="R8" s="8">
        <f t="shared" si="1"/>
        <v>7866</v>
      </c>
      <c r="S8" s="8">
        <f t="shared" si="1"/>
        <v>6892</v>
      </c>
      <c r="T8" s="8">
        <f t="shared" si="1"/>
        <v>6768</v>
      </c>
      <c r="U8" s="8">
        <f t="shared" si="1"/>
        <v>5977</v>
      </c>
      <c r="V8" s="8">
        <f t="shared" si="1"/>
        <v>4003</v>
      </c>
      <c r="W8" s="27">
        <f>SUM(W4:W6)</f>
        <v>3615</v>
      </c>
      <c r="X8" s="8">
        <f>SUM(X3:X6)</f>
        <v>2648</v>
      </c>
      <c r="Y8" s="8">
        <f>SUM(Y3:Y6)</f>
        <v>2055</v>
      </c>
      <c r="Z8" s="8">
        <f>SUM(Z3:Z6)</f>
        <v>1754</v>
      </c>
      <c r="AA8" s="8">
        <f>SUM(AA3:AA6)</f>
        <v>855</v>
      </c>
      <c r="AB8" s="2"/>
      <c r="AC8" s="4" t="s">
        <v>30</v>
      </c>
      <c r="AD8" s="17">
        <f t="shared" ref="AD8:AI8" si="2">AD6+AD7</f>
        <v>9338</v>
      </c>
      <c r="AE8" s="17">
        <f t="shared" si="2"/>
        <v>8562</v>
      </c>
      <c r="AF8" s="17">
        <f t="shared" si="2"/>
        <v>7981</v>
      </c>
      <c r="AG8" s="17">
        <f t="shared" si="2"/>
        <v>8279</v>
      </c>
      <c r="AH8" s="17">
        <f t="shared" si="2"/>
        <v>7645</v>
      </c>
      <c r="AI8" s="8">
        <f t="shared" si="2"/>
        <v>7059</v>
      </c>
      <c r="AJ8" s="8">
        <f>SUM(AJ6:AJ7)</f>
        <v>7433</v>
      </c>
      <c r="AK8" s="8">
        <f>AK6+AK7</f>
        <v>6966</v>
      </c>
      <c r="AL8" s="8">
        <f>AL6+AL7</f>
        <v>6500</v>
      </c>
      <c r="AM8" s="8">
        <f>AM6+AM7</f>
        <v>5584</v>
      </c>
      <c r="AN8" s="17">
        <f>AN6+AN7</f>
        <v>5056</v>
      </c>
      <c r="AO8" s="8">
        <f>SUM(AO6+AO7)</f>
        <v>4059</v>
      </c>
      <c r="AP8" s="8">
        <f t="shared" ref="AP8:AR8" si="3">SUM(AP6+AP7)</f>
        <v>3304</v>
      </c>
      <c r="AQ8" s="8">
        <f t="shared" si="3"/>
        <v>2443</v>
      </c>
      <c r="AR8" s="8">
        <f t="shared" si="3"/>
        <v>1302</v>
      </c>
    </row>
    <row r="9" spans="1:44" x14ac:dyDescent="0.2">
      <c r="A9" s="62" t="s">
        <v>135</v>
      </c>
      <c r="B9" s="6" t="s">
        <v>23</v>
      </c>
      <c r="C9" s="67">
        <v>2023</v>
      </c>
      <c r="D9" s="67">
        <v>2022</v>
      </c>
      <c r="L9" s="2"/>
      <c r="M9" s="2"/>
      <c r="N9" s="2"/>
      <c r="O9" s="2"/>
      <c r="P9" s="2"/>
      <c r="Q9" s="2"/>
      <c r="R9" s="7"/>
      <c r="S9" s="7"/>
      <c r="T9" s="7"/>
      <c r="U9" s="7"/>
      <c r="V9" s="7"/>
      <c r="W9" s="2"/>
      <c r="X9" s="7"/>
      <c r="Y9" s="7"/>
      <c r="Z9" s="7"/>
      <c r="AA9" s="7"/>
      <c r="AB9" s="2"/>
      <c r="AC9" s="2"/>
      <c r="AD9" s="2"/>
      <c r="AE9" s="2"/>
      <c r="AF9" s="2"/>
      <c r="AG9" s="2"/>
      <c r="AH9" s="2"/>
      <c r="AI9" s="7"/>
      <c r="AJ9" s="7"/>
      <c r="AK9" s="7"/>
      <c r="AL9" s="7"/>
      <c r="AM9" s="7"/>
      <c r="AN9" s="2"/>
      <c r="AO9" s="7"/>
      <c r="AP9" s="7"/>
      <c r="AQ9" s="7"/>
      <c r="AR9" s="7"/>
    </row>
    <row r="10" spans="1:44" x14ac:dyDescent="0.2">
      <c r="A10" s="64" t="s">
        <v>151</v>
      </c>
      <c r="B10" s="19" t="s">
        <v>150</v>
      </c>
      <c r="L10" s="2" t="s">
        <v>5</v>
      </c>
      <c r="M10" s="7">
        <v>1135</v>
      </c>
      <c r="N10" s="7">
        <v>1006</v>
      </c>
      <c r="O10" s="7">
        <v>1002</v>
      </c>
      <c r="P10" s="2">
        <v>980</v>
      </c>
      <c r="Q10" s="2">
        <v>887</v>
      </c>
      <c r="R10" s="7">
        <v>859</v>
      </c>
      <c r="S10" s="7">
        <v>871</v>
      </c>
      <c r="T10" s="7">
        <v>878</v>
      </c>
      <c r="U10" s="7">
        <v>900</v>
      </c>
      <c r="V10" s="7">
        <v>749</v>
      </c>
      <c r="W10" s="2">
        <v>651</v>
      </c>
      <c r="X10" s="7">
        <v>686</v>
      </c>
      <c r="Y10" s="7">
        <v>672</v>
      </c>
      <c r="Z10" s="7">
        <v>565</v>
      </c>
      <c r="AA10" s="7">
        <v>547</v>
      </c>
      <c r="AB10" s="2"/>
      <c r="AC10" s="2" t="s">
        <v>118</v>
      </c>
      <c r="AD10" s="7">
        <v>10171</v>
      </c>
      <c r="AE10" s="7">
        <v>6098</v>
      </c>
      <c r="AF10" s="7">
        <v>2795</v>
      </c>
      <c r="AG10" s="7">
        <v>3499</v>
      </c>
      <c r="AH10" s="7">
        <v>2512</v>
      </c>
      <c r="AI10" s="7">
        <v>2164</v>
      </c>
      <c r="AJ10" s="7">
        <v>2307</v>
      </c>
      <c r="AK10" s="7">
        <v>1960</v>
      </c>
      <c r="AL10" s="7">
        <v>2080</v>
      </c>
      <c r="AM10" s="7">
        <v>9</v>
      </c>
      <c r="AN10" s="2">
        <v>81</v>
      </c>
      <c r="AO10" s="7">
        <v>76</v>
      </c>
      <c r="AP10" s="7">
        <v>1011</v>
      </c>
      <c r="AQ10" s="7">
        <v>1045</v>
      </c>
      <c r="AR10" s="7">
        <v>385</v>
      </c>
    </row>
    <row r="11" spans="1:44" x14ac:dyDescent="0.2">
      <c r="B11" t="str">
        <f>L4</f>
        <v>Goodwill</v>
      </c>
      <c r="C11" s="60">
        <f>M4</f>
        <v>12381</v>
      </c>
      <c r="D11" s="60">
        <f>N4</f>
        <v>11488</v>
      </c>
      <c r="L11" s="2" t="s">
        <v>6</v>
      </c>
      <c r="M11" s="2">
        <v>260</v>
      </c>
      <c r="N11" s="2">
        <v>237</v>
      </c>
      <c r="O11" s="2">
        <v>212</v>
      </c>
      <c r="P11" s="2">
        <v>217</v>
      </c>
      <c r="Q11" s="2">
        <v>240</v>
      </c>
      <c r="R11" s="7">
        <v>221</v>
      </c>
      <c r="S11" s="7">
        <v>210</v>
      </c>
      <c r="T11" s="7">
        <v>220</v>
      </c>
      <c r="U11" s="7">
        <v>183</v>
      </c>
      <c r="V11" s="7">
        <v>173</v>
      </c>
      <c r="W11" s="2">
        <v>171</v>
      </c>
      <c r="X11" s="7">
        <v>159</v>
      </c>
      <c r="Y11" s="7">
        <v>132</v>
      </c>
      <c r="Z11" s="7">
        <v>137</v>
      </c>
      <c r="AA11" s="7">
        <v>140</v>
      </c>
      <c r="AB11" s="2"/>
      <c r="AC11" s="2" t="s">
        <v>117</v>
      </c>
      <c r="AD11" s="7">
        <v>2045</v>
      </c>
      <c r="AE11" s="7">
        <v>1766</v>
      </c>
      <c r="AF11" s="7">
        <v>1610</v>
      </c>
      <c r="AG11" s="7">
        <v>1437</v>
      </c>
      <c r="AH11" s="7">
        <v>1546</v>
      </c>
      <c r="AI11" s="2"/>
      <c r="AJ11" s="2"/>
      <c r="AK11" s="2"/>
      <c r="AL11" s="2"/>
      <c r="AM11" s="2"/>
      <c r="AN11" s="2"/>
      <c r="AO11" s="2"/>
      <c r="AP11" s="2"/>
      <c r="AQ11" s="2"/>
      <c r="AR11" s="2"/>
    </row>
    <row r="12" spans="1:44" x14ac:dyDescent="0.2">
      <c r="B12" t="str">
        <f t="shared" ref="B12:B14" si="4">L5</f>
        <v>Patenter og licenser</v>
      </c>
      <c r="C12" s="60">
        <f t="shared" ref="C12:D12" si="5">M5</f>
        <v>15</v>
      </c>
      <c r="D12" s="60">
        <f t="shared" si="5"/>
        <v>19</v>
      </c>
      <c r="L12" s="2" t="s">
        <v>7</v>
      </c>
      <c r="M12" s="2">
        <v>508</v>
      </c>
      <c r="N12" s="2">
        <v>456</v>
      </c>
      <c r="O12" s="2">
        <v>458</v>
      </c>
      <c r="P12" s="2">
        <v>350</v>
      </c>
      <c r="Q12" s="2">
        <v>372</v>
      </c>
      <c r="R12" s="7">
        <v>326</v>
      </c>
      <c r="S12" s="7">
        <v>289</v>
      </c>
      <c r="T12" s="7">
        <v>290</v>
      </c>
      <c r="U12" s="7">
        <v>285</v>
      </c>
      <c r="V12" s="7">
        <v>265</v>
      </c>
      <c r="W12" s="2">
        <v>289</v>
      </c>
      <c r="X12" s="7">
        <v>259</v>
      </c>
      <c r="Y12" s="7">
        <v>250</v>
      </c>
      <c r="Z12" s="7">
        <v>213</v>
      </c>
      <c r="AA12" s="7">
        <v>178</v>
      </c>
      <c r="AB12" s="2"/>
      <c r="AC12" s="2" t="s">
        <v>27</v>
      </c>
      <c r="AD12" s="2">
        <v>633</v>
      </c>
      <c r="AE12" s="2">
        <v>620</v>
      </c>
      <c r="AF12" s="2">
        <v>470</v>
      </c>
      <c r="AG12" s="2">
        <v>339</v>
      </c>
      <c r="AH12" s="2">
        <v>314</v>
      </c>
      <c r="AI12" s="7">
        <v>232</v>
      </c>
      <c r="AJ12" s="7">
        <v>159</v>
      </c>
      <c r="AK12" s="7">
        <v>152</v>
      </c>
      <c r="AL12" s="7">
        <v>125</v>
      </c>
      <c r="AM12" s="7">
        <v>134</v>
      </c>
      <c r="AN12" s="2">
        <v>146</v>
      </c>
      <c r="AO12" s="7">
        <v>148</v>
      </c>
      <c r="AP12" s="7">
        <v>113</v>
      </c>
      <c r="AQ12" s="7">
        <v>86</v>
      </c>
      <c r="AR12" s="7">
        <v>58</v>
      </c>
    </row>
    <row r="13" spans="1:44" x14ac:dyDescent="0.2">
      <c r="B13" t="str">
        <f t="shared" si="4"/>
        <v>Andre immaterielle aktiver</v>
      </c>
      <c r="C13" s="60">
        <f t="shared" ref="C13:D13" si="6">M6</f>
        <v>812</v>
      </c>
      <c r="D13" s="60">
        <f t="shared" si="6"/>
        <v>815</v>
      </c>
      <c r="L13" s="2" t="s">
        <v>8</v>
      </c>
      <c r="M13" s="2">
        <v>685</v>
      </c>
      <c r="N13" s="2">
        <v>634</v>
      </c>
      <c r="O13" s="2">
        <v>478</v>
      </c>
      <c r="P13" s="2">
        <v>411</v>
      </c>
      <c r="Q13" s="2">
        <v>427</v>
      </c>
      <c r="R13" s="7">
        <v>341</v>
      </c>
      <c r="S13" s="7">
        <v>265</v>
      </c>
      <c r="T13" s="7">
        <v>263</v>
      </c>
      <c r="U13" s="7">
        <v>246</v>
      </c>
      <c r="V13" s="7">
        <v>171</v>
      </c>
      <c r="W13" s="2">
        <v>171</v>
      </c>
      <c r="X13" s="7">
        <v>170</v>
      </c>
      <c r="Y13" s="7">
        <v>154</v>
      </c>
      <c r="Z13" s="7">
        <v>133</v>
      </c>
      <c r="AA13" s="7">
        <v>89</v>
      </c>
      <c r="AB13" s="2"/>
      <c r="AC13" s="2" t="s">
        <v>31</v>
      </c>
      <c r="AD13" s="2">
        <v>201</v>
      </c>
      <c r="AE13" s="2">
        <v>175</v>
      </c>
      <c r="AF13" s="2">
        <v>268</v>
      </c>
      <c r="AG13" s="2">
        <v>305</v>
      </c>
      <c r="AH13" s="2">
        <v>283</v>
      </c>
      <c r="AI13" s="7">
        <v>231</v>
      </c>
      <c r="AJ13" s="7">
        <v>215</v>
      </c>
      <c r="AK13" s="7">
        <v>295</v>
      </c>
      <c r="AL13" s="7">
        <v>273</v>
      </c>
      <c r="AM13" s="7">
        <v>154</v>
      </c>
      <c r="AN13" s="2">
        <v>132</v>
      </c>
      <c r="AO13" s="7">
        <v>121</v>
      </c>
      <c r="AP13" s="7">
        <v>195</v>
      </c>
      <c r="AQ13" s="7">
        <v>171</v>
      </c>
      <c r="AR13" s="7">
        <v>135</v>
      </c>
    </row>
    <row r="14" spans="1:44" x14ac:dyDescent="0.2">
      <c r="B14" t="str">
        <f t="shared" si="4"/>
        <v>Forudbetalinger og aktiver under udførelse</v>
      </c>
      <c r="C14" s="60">
        <f t="shared" ref="C14:D14" si="7">M7</f>
        <v>332</v>
      </c>
      <c r="D14" s="60">
        <f t="shared" si="7"/>
        <v>260</v>
      </c>
      <c r="L14" s="2" t="s">
        <v>106</v>
      </c>
      <c r="M14" s="2">
        <v>225</v>
      </c>
      <c r="N14" s="2">
        <v>220</v>
      </c>
      <c r="O14" s="2">
        <v>127</v>
      </c>
      <c r="P14" s="2">
        <v>181</v>
      </c>
      <c r="Q14" s="2">
        <v>135</v>
      </c>
      <c r="R14" s="29">
        <v>76</v>
      </c>
      <c r="S14" s="29">
        <v>83</v>
      </c>
      <c r="T14" s="29">
        <v>91</v>
      </c>
      <c r="U14" s="29">
        <v>154</v>
      </c>
      <c r="V14" s="29">
        <v>199</v>
      </c>
      <c r="W14" s="2">
        <v>206</v>
      </c>
      <c r="X14" s="7">
        <v>98</v>
      </c>
      <c r="Y14" s="7">
        <v>68</v>
      </c>
      <c r="Z14" s="7">
        <v>63</v>
      </c>
      <c r="AA14" s="7">
        <v>23</v>
      </c>
      <c r="AB14" s="2"/>
      <c r="AC14" s="2" t="s">
        <v>32</v>
      </c>
      <c r="AD14" s="2">
        <v>661</v>
      </c>
      <c r="AE14" s="2">
        <v>566</v>
      </c>
      <c r="AF14" s="2">
        <v>340</v>
      </c>
      <c r="AG14" s="2">
        <v>313</v>
      </c>
      <c r="AH14" s="2">
        <v>203</v>
      </c>
      <c r="AI14" s="7">
        <v>194</v>
      </c>
      <c r="AJ14" s="7">
        <v>197</v>
      </c>
      <c r="AK14" s="7">
        <v>171</v>
      </c>
      <c r="AL14" s="7">
        <v>119</v>
      </c>
      <c r="AM14" s="7">
        <v>120</v>
      </c>
      <c r="AN14" s="2">
        <v>220</v>
      </c>
      <c r="AO14" s="7">
        <v>136</v>
      </c>
      <c r="AP14" s="7">
        <v>190</v>
      </c>
      <c r="AQ14" s="7">
        <v>173</v>
      </c>
      <c r="AR14" s="7">
        <v>42</v>
      </c>
    </row>
    <row r="15" spans="1:44" ht="16" thickBot="1" x14ac:dyDescent="0.25">
      <c r="A15" s="64" t="s">
        <v>153</v>
      </c>
      <c r="B15" s="2" t="s">
        <v>5</v>
      </c>
      <c r="C15" s="60">
        <f>M10</f>
        <v>1135</v>
      </c>
      <c r="D15" s="60">
        <f>N10</f>
        <v>1006</v>
      </c>
      <c r="L15" s="4" t="s">
        <v>9</v>
      </c>
      <c r="M15" s="8">
        <f t="shared" ref="M15:R15" si="8">SUM(M10:M14)</f>
        <v>2813</v>
      </c>
      <c r="N15" s="8">
        <f t="shared" si="8"/>
        <v>2553</v>
      </c>
      <c r="O15" s="8">
        <f t="shared" si="8"/>
        <v>2277</v>
      </c>
      <c r="P15" s="8">
        <f t="shared" si="8"/>
        <v>2139</v>
      </c>
      <c r="Q15" s="8">
        <f t="shared" si="8"/>
        <v>2061</v>
      </c>
      <c r="R15" s="8">
        <f t="shared" si="8"/>
        <v>1823</v>
      </c>
      <c r="S15" s="8">
        <f t="shared" ref="S15:AA15" si="9">SUM(S10:S14)</f>
        <v>1718</v>
      </c>
      <c r="T15" s="8">
        <f t="shared" si="9"/>
        <v>1742</v>
      </c>
      <c r="U15" s="8">
        <f t="shared" si="9"/>
        <v>1768</v>
      </c>
      <c r="V15" s="8">
        <f t="shared" si="9"/>
        <v>1557</v>
      </c>
      <c r="W15" s="27">
        <f t="shared" si="9"/>
        <v>1488</v>
      </c>
      <c r="X15" s="8">
        <f t="shared" si="9"/>
        <v>1372</v>
      </c>
      <c r="Y15" s="8">
        <f t="shared" si="9"/>
        <v>1276</v>
      </c>
      <c r="Z15" s="8">
        <f t="shared" si="9"/>
        <v>1111</v>
      </c>
      <c r="AA15" s="8">
        <f t="shared" si="9"/>
        <v>977</v>
      </c>
      <c r="AB15" s="2"/>
      <c r="AC15" s="2" t="s">
        <v>20</v>
      </c>
      <c r="AD15" s="2">
        <v>635</v>
      </c>
      <c r="AE15" s="2">
        <v>501</v>
      </c>
      <c r="AF15" s="2">
        <v>423</v>
      </c>
      <c r="AG15" s="2">
        <v>381</v>
      </c>
      <c r="AH15" s="2">
        <v>451</v>
      </c>
      <c r="AI15" s="2">
        <v>569</v>
      </c>
      <c r="AJ15" s="2">
        <v>208</v>
      </c>
      <c r="AK15" s="2">
        <v>170</v>
      </c>
      <c r="AL15" s="2">
        <v>164</v>
      </c>
      <c r="AM15" s="2">
        <v>36</v>
      </c>
      <c r="AN15" s="2">
        <v>34</v>
      </c>
      <c r="AO15" s="2">
        <v>1</v>
      </c>
      <c r="AP15" s="2"/>
      <c r="AQ15" s="2"/>
      <c r="AR15" s="2"/>
    </row>
    <row r="16" spans="1:44" ht="16" thickBot="1" x14ac:dyDescent="0.25">
      <c r="A16" s="64" t="s">
        <v>154</v>
      </c>
      <c r="B16" s="2" t="s">
        <v>6</v>
      </c>
      <c r="C16" s="60">
        <f t="shared" ref="C16:D16" si="10">M11</f>
        <v>260</v>
      </c>
      <c r="D16" s="60">
        <f t="shared" si="10"/>
        <v>237</v>
      </c>
      <c r="L16" s="2"/>
      <c r="M16" s="2"/>
      <c r="N16" s="2"/>
      <c r="O16" s="2"/>
      <c r="P16" s="2"/>
      <c r="Q16" s="2"/>
      <c r="R16" s="7"/>
      <c r="S16" s="7"/>
      <c r="T16" s="7"/>
      <c r="U16" s="7"/>
      <c r="V16" s="7"/>
      <c r="W16" s="2"/>
      <c r="X16" s="7"/>
      <c r="Y16" s="7"/>
      <c r="Z16" s="7"/>
      <c r="AA16" s="7"/>
      <c r="AB16" s="2"/>
      <c r="AC16" s="4" t="s">
        <v>33</v>
      </c>
      <c r="AD16" s="17">
        <f>SUM(AD10:AD15)</f>
        <v>14346</v>
      </c>
      <c r="AE16" s="17">
        <f>SUM(AE10:AE15)</f>
        <v>9726</v>
      </c>
      <c r="AF16" s="17">
        <f>SUM(AF10:AF15)</f>
        <v>5906</v>
      </c>
      <c r="AG16" s="17">
        <f>SUM(AG10:AG15)</f>
        <v>6274</v>
      </c>
      <c r="AH16" s="17">
        <f t="shared" ref="AH16:AO16" si="11">SUM(AH10:AH15)</f>
        <v>5309</v>
      </c>
      <c r="AI16" s="8">
        <f t="shared" si="11"/>
        <v>3390</v>
      </c>
      <c r="AJ16" s="8">
        <f t="shared" si="11"/>
        <v>3086</v>
      </c>
      <c r="AK16" s="8">
        <f t="shared" si="11"/>
        <v>2748</v>
      </c>
      <c r="AL16" s="8">
        <f t="shared" si="11"/>
        <v>2761</v>
      </c>
      <c r="AM16" s="8">
        <f t="shared" si="11"/>
        <v>453</v>
      </c>
      <c r="AN16" s="4">
        <f t="shared" si="11"/>
        <v>613</v>
      </c>
      <c r="AO16" s="8">
        <f t="shared" si="11"/>
        <v>482</v>
      </c>
      <c r="AP16" s="8">
        <f>SUM(AP10:AP14)</f>
        <v>1509</v>
      </c>
      <c r="AQ16" s="8">
        <f>SUM(AQ10:AQ14)</f>
        <v>1475</v>
      </c>
      <c r="AR16" s="8">
        <f>SUM(AR10:AR14)</f>
        <v>620</v>
      </c>
    </row>
    <row r="17" spans="2:44" x14ac:dyDescent="0.2">
      <c r="B17" s="2" t="s">
        <v>7</v>
      </c>
      <c r="C17" s="60">
        <f t="shared" ref="C17:D17" si="12">M12</f>
        <v>508</v>
      </c>
      <c r="D17" s="60">
        <f t="shared" si="12"/>
        <v>456</v>
      </c>
      <c r="L17" s="2" t="s">
        <v>116</v>
      </c>
      <c r="M17" s="7">
        <v>2596</v>
      </c>
      <c r="N17" s="7">
        <v>2304</v>
      </c>
      <c r="O17" s="7">
        <v>2079</v>
      </c>
      <c r="P17" s="7">
        <v>1847</v>
      </c>
      <c r="Q17" s="7">
        <v>1937</v>
      </c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7"/>
      <c r="AJ17" s="7"/>
      <c r="AK17" s="7"/>
      <c r="AL17" s="7"/>
      <c r="AM17" s="7"/>
      <c r="AN17" s="2"/>
      <c r="AO17" s="7"/>
      <c r="AP17" s="7"/>
      <c r="AQ17" s="7"/>
      <c r="AR17" s="7"/>
    </row>
    <row r="18" spans="2:44" x14ac:dyDescent="0.2">
      <c r="B18" s="2" t="s">
        <v>8</v>
      </c>
      <c r="C18" s="60">
        <f t="shared" ref="C18:D18" si="13">M13</f>
        <v>685</v>
      </c>
      <c r="D18" s="60">
        <f t="shared" si="13"/>
        <v>634</v>
      </c>
      <c r="L18" s="2" t="s">
        <v>10</v>
      </c>
      <c r="M18" s="2">
        <v>728</v>
      </c>
      <c r="N18" s="2">
        <v>822</v>
      </c>
      <c r="O18" s="2">
        <v>858</v>
      </c>
      <c r="P18" s="2">
        <v>833</v>
      </c>
      <c r="Q18" s="2">
        <v>963</v>
      </c>
      <c r="R18" s="7">
        <v>983</v>
      </c>
      <c r="S18" s="7">
        <v>933</v>
      </c>
      <c r="T18" s="7">
        <v>583</v>
      </c>
      <c r="U18" s="7">
        <v>525</v>
      </c>
      <c r="V18" s="7">
        <v>527</v>
      </c>
      <c r="W18" s="2">
        <v>459</v>
      </c>
      <c r="X18" s="7">
        <v>278</v>
      </c>
      <c r="Y18" s="7">
        <v>96</v>
      </c>
      <c r="Z18" s="7">
        <v>83</v>
      </c>
      <c r="AA18" s="7">
        <v>14</v>
      </c>
      <c r="AB18" s="2"/>
      <c r="AC18" s="2" t="s">
        <v>118</v>
      </c>
      <c r="AD18" s="7">
        <v>1597</v>
      </c>
      <c r="AE18" s="7">
        <v>6598</v>
      </c>
      <c r="AF18" s="7">
        <v>6422</v>
      </c>
      <c r="AG18" s="7">
        <v>3612</v>
      </c>
      <c r="AH18" s="7">
        <v>5513</v>
      </c>
      <c r="AI18" s="7">
        <v>4964</v>
      </c>
      <c r="AJ18" s="7">
        <v>3258</v>
      </c>
      <c r="AK18" s="7">
        <v>3547</v>
      </c>
      <c r="AL18" s="7">
        <v>3050</v>
      </c>
      <c r="AM18" s="7">
        <v>3503</v>
      </c>
      <c r="AN18" s="29">
        <v>3112</v>
      </c>
      <c r="AO18" s="7">
        <v>2637</v>
      </c>
      <c r="AP18" s="7">
        <v>1301</v>
      </c>
      <c r="AQ18" s="7">
        <v>1454</v>
      </c>
      <c r="AR18" s="7">
        <v>1618</v>
      </c>
    </row>
    <row r="19" spans="2:44" x14ac:dyDescent="0.2">
      <c r="B19" s="2" t="s">
        <v>106</v>
      </c>
      <c r="C19" s="60">
        <f t="shared" ref="C19:D19" si="14">M14</f>
        <v>225</v>
      </c>
      <c r="D19" s="60">
        <f t="shared" si="14"/>
        <v>220</v>
      </c>
      <c r="L19" s="2" t="s">
        <v>11</v>
      </c>
      <c r="M19" s="2">
        <v>277</v>
      </c>
      <c r="N19" s="2">
        <v>371</v>
      </c>
      <c r="O19" s="2">
        <v>267</v>
      </c>
      <c r="P19" s="2">
        <v>247</v>
      </c>
      <c r="Q19" s="2">
        <v>182</v>
      </c>
      <c r="R19" s="7">
        <v>167</v>
      </c>
      <c r="S19" s="7">
        <v>500</v>
      </c>
      <c r="T19" s="7">
        <v>383</v>
      </c>
      <c r="U19" s="7">
        <v>357</v>
      </c>
      <c r="V19" s="7">
        <v>264</v>
      </c>
      <c r="W19" s="2">
        <v>151</v>
      </c>
      <c r="X19" s="7">
        <v>124</v>
      </c>
      <c r="Y19" s="7">
        <v>83</v>
      </c>
      <c r="Z19" s="7">
        <v>70</v>
      </c>
      <c r="AA19" s="7"/>
      <c r="AB19" s="2"/>
      <c r="AC19" s="2" t="s">
        <v>117</v>
      </c>
      <c r="AD19" s="2">
        <v>641</v>
      </c>
      <c r="AE19" s="2">
        <v>614</v>
      </c>
      <c r="AF19" s="2">
        <v>511</v>
      </c>
      <c r="AG19" s="2">
        <v>456</v>
      </c>
      <c r="AH19" s="2">
        <v>418</v>
      </c>
      <c r="AI19" s="2"/>
      <c r="AJ19" s="2"/>
      <c r="AK19" s="2"/>
      <c r="AL19" s="2"/>
      <c r="AM19" s="2"/>
      <c r="AN19" s="2"/>
      <c r="AO19" s="2"/>
      <c r="AP19" s="2"/>
      <c r="AQ19" s="2"/>
      <c r="AR19" s="2"/>
    </row>
    <row r="20" spans="2:44" x14ac:dyDescent="0.2">
      <c r="B20" s="2" t="s">
        <v>116</v>
      </c>
      <c r="C20" s="60">
        <f>M17</f>
        <v>2596</v>
      </c>
      <c r="D20" s="60">
        <f>N17</f>
        <v>2304</v>
      </c>
      <c r="L20" s="2" t="s">
        <v>12</v>
      </c>
      <c r="M20" s="2">
        <v>19</v>
      </c>
      <c r="N20" s="2">
        <v>15</v>
      </c>
      <c r="O20" s="2">
        <v>11</v>
      </c>
      <c r="P20" s="2">
        <v>14</v>
      </c>
      <c r="Q20" s="2">
        <v>16</v>
      </c>
      <c r="R20" s="7">
        <v>14</v>
      </c>
      <c r="S20" s="7">
        <v>11</v>
      </c>
      <c r="T20" s="7">
        <v>8</v>
      </c>
      <c r="U20" s="7">
        <v>12</v>
      </c>
      <c r="V20" s="7">
        <v>12</v>
      </c>
      <c r="W20" s="2">
        <v>11</v>
      </c>
      <c r="X20" s="7">
        <v>12</v>
      </c>
      <c r="Y20" s="7">
        <v>9</v>
      </c>
      <c r="Z20" s="7">
        <v>6</v>
      </c>
      <c r="AA20" s="7">
        <v>10</v>
      </c>
      <c r="AB20" s="2"/>
      <c r="AC20" s="2" t="s">
        <v>34</v>
      </c>
      <c r="AD20" s="2">
        <v>799</v>
      </c>
      <c r="AE20" s="2">
        <v>865</v>
      </c>
      <c r="AF20" s="2">
        <v>808</v>
      </c>
      <c r="AG20" s="2">
        <v>802</v>
      </c>
      <c r="AH20" s="2">
        <v>652</v>
      </c>
      <c r="AI20" s="7">
        <v>499</v>
      </c>
      <c r="AJ20" s="7">
        <v>516</v>
      </c>
      <c r="AK20" s="7">
        <v>513</v>
      </c>
      <c r="AL20" s="7">
        <v>486</v>
      </c>
      <c r="AM20" s="7">
        <v>342</v>
      </c>
      <c r="AN20" s="2">
        <v>350</v>
      </c>
      <c r="AO20" s="7">
        <v>351</v>
      </c>
      <c r="AP20" s="7">
        <v>405</v>
      </c>
      <c r="AQ20" s="7">
        <v>342</v>
      </c>
      <c r="AR20" s="7">
        <v>222</v>
      </c>
    </row>
    <row r="21" spans="2:44" x14ac:dyDescent="0.2">
      <c r="B21" s="2" t="s">
        <v>10</v>
      </c>
      <c r="C21" s="60">
        <f t="shared" ref="C21:D21" si="15">M18</f>
        <v>728</v>
      </c>
      <c r="D21" s="60">
        <f t="shared" si="15"/>
        <v>822</v>
      </c>
      <c r="L21" s="2" t="s">
        <v>125</v>
      </c>
      <c r="M21" s="2">
        <v>477</v>
      </c>
      <c r="N21" s="2">
        <v>566</v>
      </c>
      <c r="O21" s="2">
        <v>494</v>
      </c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 t="s">
        <v>102</v>
      </c>
      <c r="AD21" s="2">
        <v>1</v>
      </c>
      <c r="AE21" s="2"/>
      <c r="AF21" s="2"/>
      <c r="AG21" s="2">
        <v>5</v>
      </c>
      <c r="AH21" s="2">
        <v>3</v>
      </c>
      <c r="AI21" s="2"/>
      <c r="AJ21" s="2"/>
      <c r="AK21" s="2">
        <v>2</v>
      </c>
      <c r="AL21" s="2">
        <v>2</v>
      </c>
      <c r="AM21" s="2">
        <v>1</v>
      </c>
      <c r="AN21" s="29"/>
      <c r="AO21" s="7"/>
      <c r="AP21" s="7"/>
      <c r="AQ21" s="7"/>
      <c r="AR21" s="7"/>
    </row>
    <row r="22" spans="2:44" x14ac:dyDescent="0.2">
      <c r="B22" s="2" t="s">
        <v>11</v>
      </c>
      <c r="C22" s="60">
        <f t="shared" ref="C22:D22" si="16">M19</f>
        <v>277</v>
      </c>
      <c r="D22" s="60">
        <f t="shared" si="16"/>
        <v>371</v>
      </c>
      <c r="L22" s="2" t="s">
        <v>13</v>
      </c>
      <c r="M22" s="2">
        <v>170</v>
      </c>
      <c r="N22" s="2">
        <v>84</v>
      </c>
      <c r="O22" s="2">
        <v>75</v>
      </c>
      <c r="P22" s="2">
        <v>503</v>
      </c>
      <c r="Q22" s="2">
        <v>598</v>
      </c>
      <c r="R22" s="7">
        <v>564</v>
      </c>
      <c r="S22" s="7">
        <v>456</v>
      </c>
      <c r="T22" s="7">
        <v>539</v>
      </c>
      <c r="U22" s="7">
        <v>567</v>
      </c>
      <c r="V22" s="7">
        <v>569</v>
      </c>
      <c r="W22" s="2">
        <v>566</v>
      </c>
      <c r="X22" s="7">
        <v>623</v>
      </c>
      <c r="Y22" s="7">
        <v>487</v>
      </c>
      <c r="Z22" s="7">
        <v>435</v>
      </c>
      <c r="AA22" s="7">
        <v>330</v>
      </c>
      <c r="AB22" s="2"/>
      <c r="AC22" s="2" t="s">
        <v>18</v>
      </c>
      <c r="AD22" s="2">
        <v>578</v>
      </c>
      <c r="AE22" s="2">
        <v>311</v>
      </c>
      <c r="AF22" s="2">
        <v>267</v>
      </c>
      <c r="AG22" s="2">
        <v>131</v>
      </c>
      <c r="AH22" s="2">
        <v>66</v>
      </c>
      <c r="AI22" s="7">
        <v>57</v>
      </c>
      <c r="AJ22" s="7">
        <v>72</v>
      </c>
      <c r="AK22" s="7">
        <v>148</v>
      </c>
      <c r="AL22" s="7">
        <v>145</v>
      </c>
      <c r="AM22" s="7">
        <v>68</v>
      </c>
      <c r="AN22" s="2">
        <v>65</v>
      </c>
      <c r="AO22" s="7">
        <v>54</v>
      </c>
      <c r="AP22" s="7">
        <v>45</v>
      </c>
      <c r="AQ22" s="7">
        <v>78</v>
      </c>
      <c r="AR22" s="7">
        <v>34</v>
      </c>
    </row>
    <row r="23" spans="2:44" x14ac:dyDescent="0.2">
      <c r="B23" s="2" t="s">
        <v>12</v>
      </c>
      <c r="C23" s="60">
        <f t="shared" ref="C23:D23" si="17">M20</f>
        <v>19</v>
      </c>
      <c r="D23" s="60">
        <f t="shared" si="17"/>
        <v>15</v>
      </c>
      <c r="L23" s="2" t="s">
        <v>14</v>
      </c>
      <c r="M23" s="2">
        <v>542</v>
      </c>
      <c r="N23" s="2">
        <v>538</v>
      </c>
      <c r="O23" s="2">
        <v>596</v>
      </c>
      <c r="P23" s="2">
        <v>553</v>
      </c>
      <c r="Q23" s="2">
        <v>551</v>
      </c>
      <c r="R23" s="7">
        <v>513</v>
      </c>
      <c r="S23" s="7">
        <v>372</v>
      </c>
      <c r="T23" s="7">
        <v>396</v>
      </c>
      <c r="U23" s="7">
        <v>376</v>
      </c>
      <c r="V23" s="7">
        <v>238</v>
      </c>
      <c r="W23" s="2">
        <v>266</v>
      </c>
      <c r="X23" s="7">
        <v>268</v>
      </c>
      <c r="Y23" s="7">
        <v>278</v>
      </c>
      <c r="Z23" s="7">
        <v>266</v>
      </c>
      <c r="AA23" s="7">
        <v>146</v>
      </c>
      <c r="AB23" s="2"/>
      <c r="AC23" s="2" t="s">
        <v>31</v>
      </c>
      <c r="AD23" s="2">
        <v>77</v>
      </c>
      <c r="AE23" s="2">
        <v>33</v>
      </c>
      <c r="AF23" s="2">
        <v>81</v>
      </c>
      <c r="AG23" s="2">
        <v>17</v>
      </c>
      <c r="AH23" s="2">
        <v>38</v>
      </c>
      <c r="AI23" s="7">
        <v>22</v>
      </c>
      <c r="AJ23" s="7">
        <v>25</v>
      </c>
      <c r="AK23" s="7">
        <v>32</v>
      </c>
      <c r="AL23" s="7">
        <v>16</v>
      </c>
      <c r="AM23" s="7">
        <v>4</v>
      </c>
      <c r="AN23" s="2">
        <v>16</v>
      </c>
      <c r="AO23" s="7">
        <v>36</v>
      </c>
      <c r="AP23" s="7">
        <v>37</v>
      </c>
      <c r="AQ23" s="7">
        <v>39</v>
      </c>
      <c r="AR23" s="7">
        <v>11</v>
      </c>
    </row>
    <row r="24" spans="2:44" ht="16" thickBot="1" x14ac:dyDescent="0.25">
      <c r="B24" s="2" t="s">
        <v>125</v>
      </c>
      <c r="C24" s="60">
        <f t="shared" ref="C24:D24" si="18">M21</f>
        <v>477</v>
      </c>
      <c r="D24" s="60">
        <f t="shared" si="18"/>
        <v>566</v>
      </c>
      <c r="L24" s="4" t="s">
        <v>15</v>
      </c>
      <c r="M24" s="8">
        <f>SUM(M17:M23)</f>
        <v>4809</v>
      </c>
      <c r="N24" s="8">
        <f>SUM(N17:N23)</f>
        <v>4700</v>
      </c>
      <c r="O24" s="8">
        <f>SUM(O17:O23)</f>
        <v>4380</v>
      </c>
      <c r="P24" s="8">
        <f>SUM(P17:P23)</f>
        <v>3997</v>
      </c>
      <c r="Q24" s="8">
        <f>SUM(Q17:Q23)</f>
        <v>4247</v>
      </c>
      <c r="R24" s="8">
        <f t="shared" ref="R24:AA24" si="19">SUM(R18:R23)</f>
        <v>2241</v>
      </c>
      <c r="S24" s="8">
        <f t="shared" si="19"/>
        <v>2272</v>
      </c>
      <c r="T24" s="8">
        <f t="shared" si="19"/>
        <v>1909</v>
      </c>
      <c r="U24" s="8">
        <f t="shared" si="19"/>
        <v>1837</v>
      </c>
      <c r="V24" s="8">
        <f t="shared" si="19"/>
        <v>1610</v>
      </c>
      <c r="W24" s="27">
        <f t="shared" si="19"/>
        <v>1453</v>
      </c>
      <c r="X24" s="8">
        <f t="shared" si="19"/>
        <v>1305</v>
      </c>
      <c r="Y24" s="8">
        <f t="shared" si="19"/>
        <v>953</v>
      </c>
      <c r="Z24" s="8">
        <f t="shared" si="19"/>
        <v>860</v>
      </c>
      <c r="AA24" s="8">
        <f t="shared" si="19"/>
        <v>500</v>
      </c>
      <c r="AB24" s="2"/>
      <c r="AC24" s="2" t="s">
        <v>32</v>
      </c>
      <c r="AD24" s="7">
        <v>2497</v>
      </c>
      <c r="AE24" s="7">
        <v>2445</v>
      </c>
      <c r="AF24" s="7">
        <v>2302</v>
      </c>
      <c r="AG24" s="7">
        <v>1801</v>
      </c>
      <c r="AH24" s="7">
        <v>1521</v>
      </c>
      <c r="AI24" s="7">
        <v>1395</v>
      </c>
      <c r="AJ24" s="7">
        <v>1544</v>
      </c>
      <c r="AK24" s="7">
        <v>1244</v>
      </c>
      <c r="AL24" s="7">
        <v>1098</v>
      </c>
      <c r="AM24" s="7">
        <v>956</v>
      </c>
      <c r="AN24" s="2">
        <v>902</v>
      </c>
      <c r="AO24" s="7">
        <v>936</v>
      </c>
      <c r="AP24" s="7">
        <v>746</v>
      </c>
      <c r="AQ24" s="7">
        <v>726</v>
      </c>
      <c r="AR24" s="7">
        <v>594</v>
      </c>
    </row>
    <row r="25" spans="2:44" x14ac:dyDescent="0.2">
      <c r="B25" s="2" t="s">
        <v>13</v>
      </c>
      <c r="C25" s="60">
        <f t="shared" ref="C25:D25" si="20">M22</f>
        <v>170</v>
      </c>
      <c r="D25" s="60">
        <f t="shared" si="20"/>
        <v>84</v>
      </c>
      <c r="L25" s="2"/>
      <c r="M25" s="2"/>
      <c r="N25" s="2"/>
      <c r="O25" s="2"/>
      <c r="P25" s="2"/>
      <c r="Q25" s="2"/>
      <c r="R25" s="7"/>
      <c r="S25" s="7"/>
      <c r="T25" s="7"/>
      <c r="U25" s="7"/>
      <c r="V25" s="7"/>
      <c r="W25" s="2"/>
      <c r="X25" s="7"/>
      <c r="Y25" s="7"/>
      <c r="Z25" s="7"/>
      <c r="AA25" s="7"/>
      <c r="AB25" s="2"/>
      <c r="AC25" s="2" t="s">
        <v>35</v>
      </c>
      <c r="AD25" s="2">
        <v>35</v>
      </c>
      <c r="AE25" s="2">
        <v>15</v>
      </c>
      <c r="AF25" s="2">
        <v>81</v>
      </c>
      <c r="AG25" s="2">
        <v>14</v>
      </c>
      <c r="AH25" s="2">
        <v>43</v>
      </c>
      <c r="AI25" s="7">
        <v>32</v>
      </c>
      <c r="AJ25" s="7">
        <v>3</v>
      </c>
      <c r="AK25" s="7">
        <v>46</v>
      </c>
      <c r="AL25" s="7">
        <v>74</v>
      </c>
      <c r="AM25" s="7">
        <v>80</v>
      </c>
      <c r="AN25" s="2">
        <v>11</v>
      </c>
      <c r="AO25" s="7">
        <v>26</v>
      </c>
      <c r="AP25" s="7">
        <v>127</v>
      </c>
      <c r="AQ25" s="7">
        <v>65</v>
      </c>
      <c r="AR25" s="7">
        <v>71</v>
      </c>
    </row>
    <row r="26" spans="2:44" ht="16" thickBot="1" x14ac:dyDescent="0.25">
      <c r="B26" s="2" t="s">
        <v>14</v>
      </c>
      <c r="C26" s="60">
        <f t="shared" ref="C26:D26" si="21">M23</f>
        <v>542</v>
      </c>
      <c r="D26" s="60">
        <f t="shared" si="21"/>
        <v>538</v>
      </c>
      <c r="L26" s="5" t="s">
        <v>16</v>
      </c>
      <c r="M26" s="28">
        <f>M8+M15+M24</f>
        <v>21162</v>
      </c>
      <c r="N26" s="28">
        <f t="shared" ref="N26:AA26" si="22">N8+N15+N24</f>
        <v>19835</v>
      </c>
      <c r="O26" s="28">
        <f t="shared" si="22"/>
        <v>16974</v>
      </c>
      <c r="P26" s="28">
        <f t="shared" si="22"/>
        <v>15240</v>
      </c>
      <c r="Q26" s="28">
        <f t="shared" si="22"/>
        <v>14884</v>
      </c>
      <c r="R26" s="9">
        <f t="shared" si="22"/>
        <v>11930</v>
      </c>
      <c r="S26" s="9">
        <f t="shared" si="22"/>
        <v>10882</v>
      </c>
      <c r="T26" s="9">
        <f t="shared" si="22"/>
        <v>10419</v>
      </c>
      <c r="U26" s="9">
        <f t="shared" si="22"/>
        <v>9582</v>
      </c>
      <c r="V26" s="9">
        <f t="shared" si="22"/>
        <v>7170</v>
      </c>
      <c r="W26" s="28">
        <f t="shared" si="22"/>
        <v>6556</v>
      </c>
      <c r="X26" s="9">
        <f t="shared" si="22"/>
        <v>5325</v>
      </c>
      <c r="Y26" s="9">
        <f t="shared" si="22"/>
        <v>4284</v>
      </c>
      <c r="Z26" s="9">
        <f t="shared" si="22"/>
        <v>3725</v>
      </c>
      <c r="AA26" s="9">
        <f t="shared" si="22"/>
        <v>2332</v>
      </c>
      <c r="AB26" s="2"/>
      <c r="AC26" s="2" t="s">
        <v>20</v>
      </c>
      <c r="AD26" s="2">
        <v>548</v>
      </c>
      <c r="AE26" s="2">
        <v>513</v>
      </c>
      <c r="AF26" s="2">
        <v>501</v>
      </c>
      <c r="AG26" s="2">
        <v>536</v>
      </c>
      <c r="AH26" s="2">
        <v>590</v>
      </c>
      <c r="AI26" s="7">
        <v>517</v>
      </c>
      <c r="AJ26" s="7">
        <v>285</v>
      </c>
      <c r="AK26" s="7">
        <v>302</v>
      </c>
      <c r="AL26" s="7">
        <v>258</v>
      </c>
      <c r="AM26" s="7">
        <v>228</v>
      </c>
      <c r="AN26" s="2">
        <v>193</v>
      </c>
      <c r="AO26" s="7">
        <v>196</v>
      </c>
      <c r="AP26" s="7">
        <v>172</v>
      </c>
      <c r="AQ26" s="7">
        <v>164</v>
      </c>
      <c r="AR26" s="7">
        <v>155</v>
      </c>
    </row>
    <row r="27" spans="2:44" x14ac:dyDescent="0.2">
      <c r="B27" s="2" t="s">
        <v>17</v>
      </c>
      <c r="C27" s="60">
        <f>M28</f>
        <v>2845</v>
      </c>
      <c r="D27" s="60">
        <f>N28</f>
        <v>2904</v>
      </c>
      <c r="L27" s="2"/>
      <c r="M27" s="2"/>
      <c r="N27" s="2"/>
      <c r="O27" s="2"/>
      <c r="P27" s="2"/>
      <c r="Q27" s="2"/>
      <c r="R27" s="7"/>
      <c r="S27" s="7"/>
      <c r="T27" s="7"/>
      <c r="U27" s="7"/>
      <c r="V27" s="7"/>
      <c r="W27" s="2"/>
      <c r="X27" s="7"/>
      <c r="Y27" s="7"/>
      <c r="Z27" s="7"/>
      <c r="AA27" s="7"/>
      <c r="AB27" s="2"/>
      <c r="AC27" s="2" t="s">
        <v>130</v>
      </c>
      <c r="AD27" s="2">
        <v>89</v>
      </c>
      <c r="AE27" s="2">
        <v>175</v>
      </c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</row>
    <row r="28" spans="2:44" ht="16" thickBot="1" x14ac:dyDescent="0.25">
      <c r="B28" s="2" t="s">
        <v>101</v>
      </c>
      <c r="C28" s="60">
        <f t="shared" ref="C28:C34" si="23">M29</f>
        <v>3650</v>
      </c>
      <c r="D28" s="60">
        <f t="shared" ref="D28:D34" si="24">N29</f>
        <v>3626</v>
      </c>
      <c r="L28" s="2" t="s">
        <v>17</v>
      </c>
      <c r="M28" s="7">
        <v>2845</v>
      </c>
      <c r="N28" s="7">
        <v>2904</v>
      </c>
      <c r="O28" s="7">
        <v>2366</v>
      </c>
      <c r="P28" s="7">
        <v>1968</v>
      </c>
      <c r="Q28" s="7">
        <v>1852</v>
      </c>
      <c r="R28" s="7">
        <v>1641</v>
      </c>
      <c r="S28" s="7">
        <v>1351</v>
      </c>
      <c r="T28" s="7">
        <v>1300</v>
      </c>
      <c r="U28" s="7">
        <v>1324</v>
      </c>
      <c r="V28" s="7">
        <v>1203</v>
      </c>
      <c r="W28" s="29">
        <v>1142</v>
      </c>
      <c r="X28" s="7">
        <v>1014</v>
      </c>
      <c r="Y28" s="7">
        <v>1082</v>
      </c>
      <c r="Z28" s="7">
        <v>993</v>
      </c>
      <c r="AA28" s="7">
        <v>797</v>
      </c>
      <c r="AB28" s="2"/>
      <c r="AC28" s="4" t="s">
        <v>36</v>
      </c>
      <c r="AD28" s="17">
        <f>SUM(AD18:AD27)</f>
        <v>6862</v>
      </c>
      <c r="AE28" s="17">
        <f>SUM(AE18:AE27)</f>
        <v>11569</v>
      </c>
      <c r="AF28" s="17">
        <f t="shared" ref="AF28:AR28" si="25">SUM(AF18:AF26)</f>
        <v>10973</v>
      </c>
      <c r="AG28" s="17">
        <f t="shared" si="25"/>
        <v>7374</v>
      </c>
      <c r="AH28" s="17">
        <f t="shared" si="25"/>
        <v>8844</v>
      </c>
      <c r="AI28" s="8">
        <f t="shared" si="25"/>
        <v>7486</v>
      </c>
      <c r="AJ28" s="8">
        <f t="shared" si="25"/>
        <v>5703</v>
      </c>
      <c r="AK28" s="8">
        <f t="shared" si="25"/>
        <v>5834</v>
      </c>
      <c r="AL28" s="8">
        <f t="shared" si="25"/>
        <v>5129</v>
      </c>
      <c r="AM28" s="8">
        <f t="shared" si="25"/>
        <v>5182</v>
      </c>
      <c r="AN28" s="27">
        <f t="shared" si="25"/>
        <v>4649</v>
      </c>
      <c r="AO28" s="8">
        <f t="shared" si="25"/>
        <v>4236</v>
      </c>
      <c r="AP28" s="8">
        <f t="shared" si="25"/>
        <v>2833</v>
      </c>
      <c r="AQ28" s="8">
        <f t="shared" si="25"/>
        <v>2868</v>
      </c>
      <c r="AR28" s="8">
        <f t="shared" si="25"/>
        <v>2705</v>
      </c>
    </row>
    <row r="29" spans="2:44" x14ac:dyDescent="0.2">
      <c r="B29" s="2" t="s">
        <v>11</v>
      </c>
      <c r="C29" s="60">
        <f t="shared" si="23"/>
        <v>188</v>
      </c>
      <c r="D29" s="60">
        <f t="shared" si="24"/>
        <v>170</v>
      </c>
      <c r="L29" s="2" t="s">
        <v>101</v>
      </c>
      <c r="M29" s="7">
        <v>3650</v>
      </c>
      <c r="N29" s="7">
        <v>3626</v>
      </c>
      <c r="O29" s="7">
        <v>3203</v>
      </c>
      <c r="P29" s="7">
        <v>2808</v>
      </c>
      <c r="Q29" s="7">
        <v>3209</v>
      </c>
      <c r="R29" s="7">
        <v>2763</v>
      </c>
      <c r="S29" s="7">
        <v>2573</v>
      </c>
      <c r="T29" s="7">
        <v>2440</v>
      </c>
      <c r="U29" s="7">
        <v>2203</v>
      </c>
      <c r="V29" s="7">
        <v>1994</v>
      </c>
      <c r="W29" s="29">
        <v>1862</v>
      </c>
      <c r="X29" s="7">
        <v>1754</v>
      </c>
      <c r="Y29" s="7">
        <v>1711</v>
      </c>
      <c r="Z29" s="7">
        <v>1609</v>
      </c>
      <c r="AA29" s="7">
        <v>1196</v>
      </c>
      <c r="AB29" s="2"/>
      <c r="AC29" s="2"/>
      <c r="AD29" s="2"/>
      <c r="AE29" s="2"/>
      <c r="AF29" s="2"/>
      <c r="AG29" s="2"/>
      <c r="AH29" s="2"/>
      <c r="AI29" s="7"/>
      <c r="AJ29" s="7"/>
      <c r="AK29" s="7"/>
      <c r="AL29" s="7"/>
      <c r="AM29" s="7"/>
      <c r="AN29" s="2"/>
      <c r="AO29" s="7"/>
      <c r="AP29" s="7"/>
      <c r="AQ29" s="7"/>
      <c r="AR29" s="7"/>
    </row>
    <row r="30" spans="2:44" ht="16" thickBot="1" x14ac:dyDescent="0.25">
      <c r="B30" s="2" t="s">
        <v>18</v>
      </c>
      <c r="C30" s="60">
        <f t="shared" si="23"/>
        <v>236</v>
      </c>
      <c r="D30" s="60">
        <f t="shared" si="24"/>
        <v>126</v>
      </c>
      <c r="L30" s="2" t="s">
        <v>11</v>
      </c>
      <c r="M30" s="7">
        <v>188</v>
      </c>
      <c r="N30" s="7">
        <v>170</v>
      </c>
      <c r="O30" s="7">
        <v>147</v>
      </c>
      <c r="P30" s="7">
        <v>111</v>
      </c>
      <c r="Q30" s="7">
        <v>178</v>
      </c>
      <c r="R30" s="7">
        <v>170</v>
      </c>
      <c r="S30" s="7">
        <v>81</v>
      </c>
      <c r="T30" s="7">
        <v>71</v>
      </c>
      <c r="U30" s="7">
        <v>53</v>
      </c>
      <c r="V30" s="7">
        <v>12</v>
      </c>
      <c r="W30" s="29">
        <v>3</v>
      </c>
      <c r="X30" s="7">
        <v>12</v>
      </c>
      <c r="Y30" s="7">
        <v>5</v>
      </c>
      <c r="Z30" s="7">
        <v>7</v>
      </c>
      <c r="AA30" s="7">
        <v>6</v>
      </c>
      <c r="AB30" s="2"/>
      <c r="AC30" s="5" t="s">
        <v>37</v>
      </c>
      <c r="AD30" s="28">
        <f>AD16+AD28</f>
        <v>21208</v>
      </c>
      <c r="AE30" s="28">
        <f t="shared" ref="AE30:AR30" si="26">AE16+AE28</f>
        <v>21295</v>
      </c>
      <c r="AF30" s="28">
        <f t="shared" si="26"/>
        <v>16879</v>
      </c>
      <c r="AG30" s="28">
        <f t="shared" si="26"/>
        <v>13648</v>
      </c>
      <c r="AH30" s="28">
        <f t="shared" si="26"/>
        <v>14153</v>
      </c>
      <c r="AI30" s="9">
        <f t="shared" si="26"/>
        <v>10876</v>
      </c>
      <c r="AJ30" s="9">
        <f t="shared" si="26"/>
        <v>8789</v>
      </c>
      <c r="AK30" s="9">
        <f t="shared" si="26"/>
        <v>8582</v>
      </c>
      <c r="AL30" s="9">
        <f t="shared" si="26"/>
        <v>7890</v>
      </c>
      <c r="AM30" s="9">
        <f t="shared" si="26"/>
        <v>5635</v>
      </c>
      <c r="AN30" s="28">
        <f t="shared" si="26"/>
        <v>5262</v>
      </c>
      <c r="AO30" s="9">
        <f t="shared" si="26"/>
        <v>4718</v>
      </c>
      <c r="AP30" s="9">
        <f t="shared" si="26"/>
        <v>4342</v>
      </c>
      <c r="AQ30" s="9">
        <f t="shared" si="26"/>
        <v>4343</v>
      </c>
      <c r="AR30" s="9">
        <f t="shared" si="26"/>
        <v>3325</v>
      </c>
    </row>
    <row r="31" spans="2:44" x14ac:dyDescent="0.2">
      <c r="B31" s="2" t="s">
        <v>125</v>
      </c>
      <c r="C31" s="60">
        <f t="shared" si="23"/>
        <v>191</v>
      </c>
      <c r="D31" s="60">
        <f t="shared" si="24"/>
        <v>229</v>
      </c>
      <c r="L31" s="2" t="s">
        <v>18</v>
      </c>
      <c r="M31" s="7">
        <v>236</v>
      </c>
      <c r="N31" s="7">
        <v>126</v>
      </c>
      <c r="O31" s="7">
        <v>68</v>
      </c>
      <c r="P31" s="7">
        <v>63</v>
      </c>
      <c r="Q31" s="7">
        <v>106</v>
      </c>
      <c r="R31" s="7">
        <v>129</v>
      </c>
      <c r="S31" s="7">
        <v>107</v>
      </c>
      <c r="T31" s="7">
        <v>146</v>
      </c>
      <c r="U31" s="7">
        <v>77</v>
      </c>
      <c r="V31" s="7">
        <v>94</v>
      </c>
      <c r="W31" s="29">
        <v>72</v>
      </c>
      <c r="X31" s="7">
        <v>88</v>
      </c>
      <c r="Y31" s="7">
        <v>46</v>
      </c>
      <c r="Z31" s="7">
        <v>32</v>
      </c>
      <c r="AA31" s="7">
        <v>34</v>
      </c>
      <c r="AB31" s="2"/>
      <c r="AC31" s="2"/>
      <c r="AD31" s="2"/>
      <c r="AE31" s="2"/>
      <c r="AF31" s="2"/>
      <c r="AG31" s="2"/>
      <c r="AH31" s="2"/>
      <c r="AI31" s="7"/>
      <c r="AJ31" s="7"/>
      <c r="AK31" s="7"/>
      <c r="AL31" s="7"/>
      <c r="AM31" s="7"/>
      <c r="AN31" s="2"/>
      <c r="AO31" s="7"/>
      <c r="AP31" s="7"/>
      <c r="AQ31" s="7"/>
      <c r="AR31" s="7"/>
    </row>
    <row r="32" spans="2:44" ht="16" thickBot="1" x14ac:dyDescent="0.25">
      <c r="B32" s="2" t="s">
        <v>13</v>
      </c>
      <c r="C32" s="60">
        <f t="shared" si="23"/>
        <v>378</v>
      </c>
      <c r="D32" s="60">
        <f t="shared" si="24"/>
        <v>376</v>
      </c>
      <c r="L32" s="2" t="s">
        <v>125</v>
      </c>
      <c r="M32" s="2">
        <v>191</v>
      </c>
      <c r="N32" s="2">
        <v>229</v>
      </c>
      <c r="O32" s="2">
        <v>196</v>
      </c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5" t="s">
        <v>24</v>
      </c>
      <c r="AD32" s="28">
        <f>AD8+AD30</f>
        <v>30546</v>
      </c>
      <c r="AE32" s="28">
        <f t="shared" ref="AE32:AR32" si="27">AE8+AE30</f>
        <v>29857</v>
      </c>
      <c r="AF32" s="28">
        <f t="shared" si="27"/>
        <v>24860</v>
      </c>
      <c r="AG32" s="28">
        <f t="shared" si="27"/>
        <v>21927</v>
      </c>
      <c r="AH32" s="28">
        <f t="shared" si="27"/>
        <v>21798</v>
      </c>
      <c r="AI32" s="9">
        <f t="shared" si="27"/>
        <v>17935</v>
      </c>
      <c r="AJ32" s="9">
        <f t="shared" si="27"/>
        <v>16222</v>
      </c>
      <c r="AK32" s="9">
        <f t="shared" si="27"/>
        <v>15548</v>
      </c>
      <c r="AL32" s="9">
        <f t="shared" si="27"/>
        <v>14390</v>
      </c>
      <c r="AM32" s="9">
        <f t="shared" si="27"/>
        <v>11219</v>
      </c>
      <c r="AN32" s="28">
        <f t="shared" si="27"/>
        <v>10318</v>
      </c>
      <c r="AO32" s="9">
        <f t="shared" si="27"/>
        <v>8777</v>
      </c>
      <c r="AP32" s="9">
        <f t="shared" si="27"/>
        <v>7646</v>
      </c>
      <c r="AQ32" s="9">
        <f t="shared" si="27"/>
        <v>6786</v>
      </c>
      <c r="AR32" s="9">
        <f t="shared" si="27"/>
        <v>4627</v>
      </c>
    </row>
    <row r="33" spans="1:44" x14ac:dyDescent="0.2">
      <c r="B33" s="2" t="s">
        <v>19</v>
      </c>
      <c r="C33" s="60">
        <f t="shared" si="23"/>
        <v>60</v>
      </c>
      <c r="D33" s="60">
        <f t="shared" si="24"/>
        <v>103</v>
      </c>
      <c r="L33" s="2" t="s">
        <v>13</v>
      </c>
      <c r="M33" s="7">
        <v>378</v>
      </c>
      <c r="N33" s="7">
        <v>376</v>
      </c>
      <c r="O33" s="7">
        <v>420</v>
      </c>
      <c r="P33" s="7">
        <v>441</v>
      </c>
      <c r="Q33" s="7">
        <v>521</v>
      </c>
      <c r="R33" s="7">
        <v>380</v>
      </c>
      <c r="S33" s="7">
        <v>257</v>
      </c>
      <c r="T33" s="7">
        <v>259</v>
      </c>
      <c r="U33" s="7">
        <v>277</v>
      </c>
      <c r="V33" s="7">
        <v>183</v>
      </c>
      <c r="W33" s="29">
        <v>202</v>
      </c>
      <c r="X33" s="7">
        <v>142</v>
      </c>
      <c r="Y33" s="7">
        <v>140</v>
      </c>
      <c r="Z33" s="7">
        <v>57</v>
      </c>
      <c r="AA33" s="7">
        <v>35</v>
      </c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</row>
    <row r="34" spans="1:44" x14ac:dyDescent="0.2">
      <c r="B34" s="14" t="s">
        <v>20</v>
      </c>
      <c r="C34" s="57">
        <f t="shared" si="23"/>
        <v>415</v>
      </c>
      <c r="D34" s="57">
        <f t="shared" si="24"/>
        <v>394</v>
      </c>
      <c r="L34" s="2" t="s">
        <v>19</v>
      </c>
      <c r="M34" s="7">
        <v>60</v>
      </c>
      <c r="N34" s="7">
        <v>103</v>
      </c>
      <c r="O34" s="7">
        <v>6</v>
      </c>
      <c r="P34" s="7">
        <v>81</v>
      </c>
      <c r="Q34" s="7">
        <v>13</v>
      </c>
      <c r="R34" s="7">
        <v>12</v>
      </c>
      <c r="S34" s="7">
        <v>66</v>
      </c>
      <c r="T34" s="7">
        <v>11</v>
      </c>
      <c r="U34" s="7">
        <v>12</v>
      </c>
      <c r="V34" s="7">
        <v>7</v>
      </c>
      <c r="W34" s="29">
        <v>45</v>
      </c>
      <c r="X34" s="7">
        <v>31</v>
      </c>
      <c r="Y34" s="7"/>
      <c r="Z34" s="7">
        <v>30</v>
      </c>
      <c r="AA34" s="7">
        <v>3</v>
      </c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</row>
    <row r="35" spans="1:44" x14ac:dyDescent="0.2">
      <c r="C35" s="52">
        <f>SUM(C11:C34)</f>
        <v>29125</v>
      </c>
      <c r="D35" s="52">
        <f>SUM(D11:D34)</f>
        <v>27763</v>
      </c>
      <c r="L35" s="2" t="s">
        <v>20</v>
      </c>
      <c r="M35" s="7">
        <v>415</v>
      </c>
      <c r="N35" s="7">
        <v>394</v>
      </c>
      <c r="O35" s="7">
        <v>308</v>
      </c>
      <c r="P35" s="7">
        <v>263</v>
      </c>
      <c r="Q35" s="7">
        <v>243</v>
      </c>
      <c r="R35" s="7">
        <v>280</v>
      </c>
      <c r="S35" s="7">
        <v>208</v>
      </c>
      <c r="T35" s="7">
        <v>192</v>
      </c>
      <c r="U35" s="7">
        <v>188</v>
      </c>
      <c r="V35" s="7">
        <v>113</v>
      </c>
      <c r="W35" s="29">
        <v>108</v>
      </c>
      <c r="X35" s="7">
        <v>104</v>
      </c>
      <c r="Y35" s="7">
        <v>90</v>
      </c>
      <c r="Z35" s="7">
        <v>93</v>
      </c>
      <c r="AA35" s="7">
        <v>72</v>
      </c>
      <c r="AB35" s="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3"/>
      <c r="AP35" s="13"/>
      <c r="AQ35" s="13"/>
      <c r="AR35" s="13"/>
    </row>
    <row r="36" spans="1:44" x14ac:dyDescent="0.2">
      <c r="A36" s="64" t="s">
        <v>155</v>
      </c>
      <c r="B36" s="19" t="s">
        <v>152</v>
      </c>
      <c r="L36" s="2" t="s">
        <v>21</v>
      </c>
      <c r="M36" s="7">
        <v>1138</v>
      </c>
      <c r="N36" s="7">
        <v>1130</v>
      </c>
      <c r="O36" s="7">
        <v>1172</v>
      </c>
      <c r="P36" s="7">
        <v>952</v>
      </c>
      <c r="Q36" s="7">
        <v>792</v>
      </c>
      <c r="R36" s="7">
        <v>630</v>
      </c>
      <c r="S36" s="7">
        <v>697</v>
      </c>
      <c r="T36" s="7">
        <v>710</v>
      </c>
      <c r="U36" s="7">
        <v>674</v>
      </c>
      <c r="V36" s="7">
        <v>443</v>
      </c>
      <c r="W36" s="2">
        <v>328</v>
      </c>
      <c r="X36" s="7">
        <v>307</v>
      </c>
      <c r="Y36" s="7">
        <v>288</v>
      </c>
      <c r="Z36" s="7">
        <v>240</v>
      </c>
      <c r="AA36" s="7">
        <v>152</v>
      </c>
      <c r="AB36" s="2"/>
      <c r="AC36" s="2" t="s">
        <v>108</v>
      </c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</row>
    <row r="37" spans="1:44" x14ac:dyDescent="0.2">
      <c r="A37" s="64" t="s">
        <v>156</v>
      </c>
      <c r="B37" t="str">
        <f>AC12</f>
        <v>Udskudte skatteforpligtelser</v>
      </c>
      <c r="C37" s="21">
        <f t="shared" ref="C37:D37" si="28">AD12</f>
        <v>633</v>
      </c>
      <c r="D37" s="21">
        <f t="shared" si="28"/>
        <v>620</v>
      </c>
      <c r="L37" s="2" t="s">
        <v>131</v>
      </c>
      <c r="M37" s="2">
        <v>283</v>
      </c>
      <c r="N37" s="2">
        <v>964</v>
      </c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</row>
    <row r="38" spans="1:44" ht="16" thickBot="1" x14ac:dyDescent="0.25">
      <c r="B38" t="str">
        <f t="shared" ref="B38:B40" si="29">AC13</f>
        <v>Hensatte forpligtelser</v>
      </c>
      <c r="C38" s="21">
        <f t="shared" ref="C38:C40" si="30">AD13</f>
        <v>201</v>
      </c>
      <c r="D38" s="21">
        <f t="shared" ref="D38:D40" si="31">AE13</f>
        <v>175</v>
      </c>
      <c r="L38" s="4" t="s">
        <v>22</v>
      </c>
      <c r="M38" s="8">
        <f>SUM(M28:M37)</f>
        <v>9384</v>
      </c>
      <c r="N38" s="8">
        <f>SUM(N28:N37)</f>
        <v>10022</v>
      </c>
      <c r="O38" s="8">
        <f t="shared" ref="O38:AA38" si="32">SUM(O28:O36)</f>
        <v>7886</v>
      </c>
      <c r="P38" s="8">
        <f t="shared" si="32"/>
        <v>6687</v>
      </c>
      <c r="Q38" s="8">
        <f t="shared" si="32"/>
        <v>6914</v>
      </c>
      <c r="R38" s="8">
        <f t="shared" si="32"/>
        <v>6005</v>
      </c>
      <c r="S38" s="8">
        <f t="shared" si="32"/>
        <v>5340</v>
      </c>
      <c r="T38" s="8">
        <f t="shared" si="32"/>
        <v>5129</v>
      </c>
      <c r="U38" s="8">
        <f t="shared" si="32"/>
        <v>4808</v>
      </c>
      <c r="V38" s="8">
        <f t="shared" si="32"/>
        <v>4049</v>
      </c>
      <c r="W38" s="27">
        <f t="shared" si="32"/>
        <v>3762</v>
      </c>
      <c r="X38" s="8">
        <f t="shared" si="32"/>
        <v>3452</v>
      </c>
      <c r="Y38" s="8">
        <f t="shared" si="32"/>
        <v>3362</v>
      </c>
      <c r="Z38" s="8">
        <f t="shared" si="32"/>
        <v>3061</v>
      </c>
      <c r="AA38" s="8">
        <f t="shared" si="32"/>
        <v>2295</v>
      </c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</row>
    <row r="39" spans="1:44" x14ac:dyDescent="0.2">
      <c r="B39" t="str">
        <f t="shared" si="29"/>
        <v>Andre forpligtelser</v>
      </c>
      <c r="C39" s="21">
        <f t="shared" si="30"/>
        <v>661</v>
      </c>
      <c r="D39" s="21">
        <f t="shared" si="31"/>
        <v>566</v>
      </c>
      <c r="L39" s="2"/>
      <c r="M39" s="2"/>
      <c r="N39" s="2"/>
      <c r="O39" s="2"/>
      <c r="P39" s="2"/>
      <c r="Q39" s="2"/>
      <c r="R39" s="10"/>
      <c r="S39" s="10"/>
      <c r="T39" s="10"/>
      <c r="U39" s="10"/>
      <c r="V39" s="10"/>
      <c r="W39" s="2"/>
      <c r="X39" s="10"/>
      <c r="Y39" s="10"/>
      <c r="Z39" s="10"/>
      <c r="AA39" s="10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</row>
    <row r="40" spans="1:44" ht="16" thickBot="1" x14ac:dyDescent="0.25">
      <c r="B40" t="str">
        <f t="shared" si="29"/>
        <v>Periodeafgrænsningsposter</v>
      </c>
      <c r="C40" s="21">
        <f t="shared" si="30"/>
        <v>635</v>
      </c>
      <c r="D40" s="21">
        <f t="shared" si="31"/>
        <v>501</v>
      </c>
      <c r="L40" s="5" t="s">
        <v>0</v>
      </c>
      <c r="M40" s="28">
        <f>M26+M38</f>
        <v>30546</v>
      </c>
      <c r="N40" s="28">
        <f t="shared" ref="N40:AA40" si="33">N26+N38</f>
        <v>29857</v>
      </c>
      <c r="O40" s="28">
        <f t="shared" si="33"/>
        <v>24860</v>
      </c>
      <c r="P40" s="28">
        <f t="shared" si="33"/>
        <v>21927</v>
      </c>
      <c r="Q40" s="28">
        <f t="shared" si="33"/>
        <v>21798</v>
      </c>
      <c r="R40" s="9">
        <f t="shared" si="33"/>
        <v>17935</v>
      </c>
      <c r="S40" s="9">
        <f t="shared" si="33"/>
        <v>16222</v>
      </c>
      <c r="T40" s="9">
        <f t="shared" si="33"/>
        <v>15548</v>
      </c>
      <c r="U40" s="9">
        <f t="shared" si="33"/>
        <v>14390</v>
      </c>
      <c r="V40" s="9">
        <f t="shared" si="33"/>
        <v>11219</v>
      </c>
      <c r="W40" s="28">
        <f t="shared" si="33"/>
        <v>10318</v>
      </c>
      <c r="X40" s="9">
        <f t="shared" si="33"/>
        <v>8777</v>
      </c>
      <c r="Y40" s="9">
        <f t="shared" si="33"/>
        <v>7646</v>
      </c>
      <c r="Z40" s="9">
        <f t="shared" si="33"/>
        <v>6786</v>
      </c>
      <c r="AA40" s="9">
        <f t="shared" si="33"/>
        <v>4627</v>
      </c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</row>
    <row r="41" spans="1:44" x14ac:dyDescent="0.2">
      <c r="B41" t="str">
        <f>AC20</f>
        <v>Leverandørgæld</v>
      </c>
      <c r="C41" s="21">
        <f>AD20</f>
        <v>799</v>
      </c>
      <c r="D41" s="21">
        <f>AE20</f>
        <v>865</v>
      </c>
    </row>
    <row r="42" spans="1:44" x14ac:dyDescent="0.2">
      <c r="B42" t="str">
        <f t="shared" ref="B42:B47" si="34">AC21</f>
        <v>Gæld til associerede virksomheder og joint ventures</v>
      </c>
      <c r="C42" s="21">
        <f t="shared" ref="C42:D42" si="35">AD21</f>
        <v>1</v>
      </c>
      <c r="D42" s="21">
        <f t="shared" si="35"/>
        <v>0</v>
      </c>
    </row>
    <row r="43" spans="1:44" x14ac:dyDescent="0.2">
      <c r="B43" t="str">
        <f t="shared" si="34"/>
        <v>Selskabsskat</v>
      </c>
      <c r="C43" s="21">
        <f t="shared" ref="C43:D43" si="36">AD22</f>
        <v>578</v>
      </c>
      <c r="D43" s="21">
        <f t="shared" si="36"/>
        <v>311</v>
      </c>
    </row>
    <row r="44" spans="1:44" x14ac:dyDescent="0.2">
      <c r="B44" t="str">
        <f t="shared" si="34"/>
        <v>Hensatte forpligtelser</v>
      </c>
      <c r="C44" s="21">
        <f t="shared" ref="C44:D44" si="37">AD23</f>
        <v>77</v>
      </c>
      <c r="D44" s="21">
        <f t="shared" si="37"/>
        <v>33</v>
      </c>
    </row>
    <row r="45" spans="1:44" x14ac:dyDescent="0.2">
      <c r="B45" t="str">
        <f t="shared" si="34"/>
        <v>Andre forpligtelser</v>
      </c>
      <c r="C45" s="21">
        <f t="shared" ref="C45:D45" si="38">AD24</f>
        <v>2497</v>
      </c>
      <c r="D45" s="21">
        <f t="shared" si="38"/>
        <v>2445</v>
      </c>
    </row>
    <row r="46" spans="1:44" x14ac:dyDescent="0.2">
      <c r="B46" t="str">
        <f t="shared" si="34"/>
        <v>Urealiseret tab på finansielle kontrakter</v>
      </c>
      <c r="C46" s="21">
        <f t="shared" ref="C46:D46" si="39">AD25</f>
        <v>35</v>
      </c>
      <c r="D46" s="21">
        <f t="shared" si="39"/>
        <v>15</v>
      </c>
    </row>
    <row r="47" spans="1:44" x14ac:dyDescent="0.2">
      <c r="B47" t="str">
        <f t="shared" si="34"/>
        <v>Periodeafgrænsningsposter</v>
      </c>
      <c r="C47" s="21">
        <f t="shared" ref="C47:D47" si="40">AD26</f>
        <v>548</v>
      </c>
      <c r="D47" s="21">
        <f t="shared" si="40"/>
        <v>513</v>
      </c>
    </row>
    <row r="48" spans="1:44" x14ac:dyDescent="0.2">
      <c r="A48" s="64" t="s">
        <v>158</v>
      </c>
      <c r="B48" s="20" t="s">
        <v>157</v>
      </c>
      <c r="C48" s="51">
        <f>C35-SUM(C37:C47)</f>
        <v>22460</v>
      </c>
      <c r="D48" s="51">
        <f>D35-SUM(D37:D47)</f>
        <v>21719</v>
      </c>
    </row>
    <row r="50" spans="1:4" x14ac:dyDescent="0.2">
      <c r="B50" s="19" t="s">
        <v>159</v>
      </c>
    </row>
    <row r="51" spans="1:4" x14ac:dyDescent="0.2">
      <c r="A51" s="64" t="s">
        <v>161</v>
      </c>
      <c r="B51" t="str">
        <f>L36</f>
        <v>Likvide beholdninger</v>
      </c>
      <c r="C51" s="60">
        <f>M36*(-1)</f>
        <v>-1138</v>
      </c>
      <c r="D51" s="60">
        <f>N36*(-1)</f>
        <v>-1130</v>
      </c>
    </row>
    <row r="52" spans="1:4" x14ac:dyDescent="0.2">
      <c r="A52" s="64" t="s">
        <v>161</v>
      </c>
      <c r="B52" t="str">
        <f>L37</f>
        <v>Aktiver bestemt for salg</v>
      </c>
      <c r="C52" s="60">
        <f>M37*(-1)</f>
        <v>-283</v>
      </c>
      <c r="D52" s="60">
        <f>N37*(-1)</f>
        <v>-964</v>
      </c>
    </row>
    <row r="53" spans="1:4" x14ac:dyDescent="0.2">
      <c r="B53" t="str">
        <f>AC10</f>
        <v>Låntagning</v>
      </c>
      <c r="C53">
        <f t="shared" ref="C53:D53" si="41">AD10</f>
        <v>10171</v>
      </c>
      <c r="D53">
        <f t="shared" si="41"/>
        <v>6098</v>
      </c>
    </row>
    <row r="54" spans="1:4" x14ac:dyDescent="0.2">
      <c r="B54" t="str">
        <f>AC11</f>
        <v>Leasingforpligtelse</v>
      </c>
      <c r="C54">
        <f t="shared" ref="C54" si="42">AD11</f>
        <v>2045</v>
      </c>
      <c r="D54">
        <f t="shared" ref="D54" si="43">AE11</f>
        <v>1766</v>
      </c>
    </row>
    <row r="55" spans="1:4" x14ac:dyDescent="0.2">
      <c r="B55" t="str">
        <f>AC18</f>
        <v>Låntagning</v>
      </c>
      <c r="C55">
        <f t="shared" ref="C55:D55" si="44">AD18</f>
        <v>1597</v>
      </c>
      <c r="D55">
        <f t="shared" si="44"/>
        <v>6598</v>
      </c>
    </row>
    <row r="56" spans="1:4" x14ac:dyDescent="0.2">
      <c r="B56" t="str">
        <f>AC19</f>
        <v>Leasingforpligtelse</v>
      </c>
      <c r="C56">
        <f t="shared" ref="C56:D56" si="45">AD19</f>
        <v>641</v>
      </c>
      <c r="D56">
        <f t="shared" si="45"/>
        <v>614</v>
      </c>
    </row>
    <row r="57" spans="1:4" x14ac:dyDescent="0.2">
      <c r="B57" t="str">
        <f>AC27</f>
        <v>Forpligtelser relateret til aktiver bestemt for salg</v>
      </c>
      <c r="C57">
        <f t="shared" ref="C57:D57" si="46">AD27</f>
        <v>89</v>
      </c>
      <c r="D57">
        <f t="shared" si="46"/>
        <v>175</v>
      </c>
    </row>
    <row r="59" spans="1:4" x14ac:dyDescent="0.2">
      <c r="A59" s="64" t="s">
        <v>162</v>
      </c>
      <c r="B59" s="20" t="s">
        <v>160</v>
      </c>
      <c r="C59" s="51">
        <f>SUM(C51:C57)</f>
        <v>13122</v>
      </c>
      <c r="D59" s="51">
        <f>SUM(D51:D57)</f>
        <v>13157</v>
      </c>
    </row>
    <row r="61" spans="1:4" x14ac:dyDescent="0.2">
      <c r="A61" s="64" t="s">
        <v>165</v>
      </c>
      <c r="B61" s="19" t="s">
        <v>163</v>
      </c>
      <c r="C61" s="52">
        <f>C48-C59</f>
        <v>9338</v>
      </c>
      <c r="D61" s="52">
        <f>D48-D59</f>
        <v>8562</v>
      </c>
    </row>
    <row r="62" spans="1:4" x14ac:dyDescent="0.2">
      <c r="A62" s="64" t="s">
        <v>165</v>
      </c>
      <c r="B62" s="19" t="s">
        <v>164</v>
      </c>
      <c r="C62" s="52">
        <f>C48-C59</f>
        <v>9338</v>
      </c>
      <c r="D62" s="52">
        <f>D48-D59</f>
        <v>8562</v>
      </c>
    </row>
    <row r="64" spans="1:4" x14ac:dyDescent="0.2">
      <c r="B64" s="65" t="s">
        <v>166</v>
      </c>
      <c r="C64" s="65">
        <v>82</v>
      </c>
      <c r="D64" s="65">
        <v>1</v>
      </c>
    </row>
    <row r="66" spans="1:4" x14ac:dyDescent="0.2">
      <c r="A66" s="64" t="s">
        <v>168</v>
      </c>
      <c r="B66" s="19" t="s">
        <v>167</v>
      </c>
      <c r="C66" s="52">
        <f>C62-C64</f>
        <v>9256</v>
      </c>
      <c r="D66" s="52">
        <f>D62-D64</f>
        <v>8561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D4945-6760-4B63-BD27-92BA8D38F314}">
  <dimension ref="A1:W57"/>
  <sheetViews>
    <sheetView zoomScaleNormal="100" workbookViewId="0">
      <selection activeCell="B22" sqref="B22"/>
    </sheetView>
  </sheetViews>
  <sheetFormatPr baseColWidth="10" defaultColWidth="9.1640625" defaultRowHeight="14" x14ac:dyDescent="0.2"/>
  <cols>
    <col min="1" max="1" width="9.1640625" style="2"/>
    <col min="2" max="2" width="98.83203125" style="2" customWidth="1"/>
    <col min="3" max="13" width="8.83203125" style="2" customWidth="1"/>
    <col min="14" max="14" width="9" style="2" bestFit="1" customWidth="1"/>
    <col min="15" max="15" width="8.83203125" style="2" customWidth="1"/>
    <col min="16" max="16" width="8.6640625" style="2" bestFit="1" customWidth="1"/>
    <col min="17" max="17" width="12.5" style="2" customWidth="1"/>
    <col min="18" max="18" width="9.1640625" style="2"/>
    <col min="19" max="19" width="44" style="2" customWidth="1"/>
    <col min="20" max="20" width="8" style="2" customWidth="1"/>
    <col min="21" max="16384" width="9.1640625" style="2"/>
  </cols>
  <sheetData>
    <row r="1" spans="2:23" ht="16" x14ac:dyDescent="0.2">
      <c r="B1" s="1" t="s">
        <v>169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2:23" x14ac:dyDescent="0.2">
      <c r="Q2" s="12" t="s">
        <v>217</v>
      </c>
    </row>
    <row r="3" spans="2:23" x14ac:dyDescent="0.2">
      <c r="B3" s="6" t="s">
        <v>23</v>
      </c>
      <c r="C3" s="65">
        <v>2023</v>
      </c>
      <c r="D3" s="65">
        <v>2022</v>
      </c>
      <c r="E3" s="65">
        <v>2021</v>
      </c>
      <c r="F3" s="65">
        <v>2020</v>
      </c>
      <c r="G3" s="65">
        <v>2019</v>
      </c>
      <c r="H3" s="65">
        <v>2018</v>
      </c>
      <c r="I3" s="65">
        <v>2017</v>
      </c>
      <c r="J3" s="65">
        <v>2016</v>
      </c>
      <c r="K3" s="65">
        <v>2015</v>
      </c>
      <c r="L3" s="65">
        <v>2014</v>
      </c>
      <c r="M3" s="65">
        <v>2013</v>
      </c>
      <c r="N3" s="65">
        <v>2012</v>
      </c>
      <c r="O3" s="65">
        <v>2011</v>
      </c>
      <c r="P3" s="65">
        <v>2010</v>
      </c>
      <c r="S3" s="65">
        <v>2018</v>
      </c>
      <c r="T3" s="65"/>
      <c r="U3" s="3"/>
      <c r="V3" s="3"/>
      <c r="W3" s="3"/>
    </row>
    <row r="4" spans="2:23" x14ac:dyDescent="0.2">
      <c r="B4" s="2" t="s">
        <v>38</v>
      </c>
      <c r="C4" s="7">
        <v>22443</v>
      </c>
      <c r="D4" s="7">
        <v>19705</v>
      </c>
      <c r="E4" s="7">
        <v>17905</v>
      </c>
      <c r="F4" s="7">
        <v>14469</v>
      </c>
      <c r="G4" s="7">
        <v>14946</v>
      </c>
      <c r="H4" s="29">
        <v>13937</v>
      </c>
      <c r="I4" s="7">
        <v>13189</v>
      </c>
      <c r="J4" s="7">
        <v>12002</v>
      </c>
      <c r="K4" s="7">
        <v>10665</v>
      </c>
      <c r="L4" s="7">
        <v>9346</v>
      </c>
      <c r="M4" s="29">
        <v>8959</v>
      </c>
      <c r="N4" s="29">
        <v>8555</v>
      </c>
      <c r="O4" s="29">
        <v>8041</v>
      </c>
      <c r="P4" s="29">
        <v>6892</v>
      </c>
      <c r="S4" s="2" t="s">
        <v>216</v>
      </c>
      <c r="T4" s="2">
        <v>-3153</v>
      </c>
      <c r="U4" s="2" t="s">
        <v>204</v>
      </c>
      <c r="V4" s="3"/>
      <c r="W4" s="3"/>
    </row>
    <row r="5" spans="2:23" x14ac:dyDescent="0.2">
      <c r="B5" s="68" t="s">
        <v>39</v>
      </c>
      <c r="C5" s="15">
        <v>-5899</v>
      </c>
      <c r="D5" s="15">
        <v>-5036</v>
      </c>
      <c r="E5" s="15">
        <v>-4447</v>
      </c>
      <c r="F5" s="15">
        <v>-4276</v>
      </c>
      <c r="G5" s="15">
        <v>-3621</v>
      </c>
      <c r="H5" s="31">
        <v>-3112</v>
      </c>
      <c r="I5" s="15">
        <v>-3130</v>
      </c>
      <c r="J5" s="15">
        <v>-2877</v>
      </c>
      <c r="K5" s="15">
        <v>-2770</v>
      </c>
      <c r="L5" s="15">
        <v>-2533</v>
      </c>
      <c r="M5" s="31">
        <v>-2439</v>
      </c>
      <c r="N5" s="15">
        <v>-2428</v>
      </c>
      <c r="O5" s="15">
        <v>-2265</v>
      </c>
      <c r="P5" s="15">
        <v>-1933</v>
      </c>
      <c r="S5" s="2" t="s">
        <v>202</v>
      </c>
      <c r="U5" s="3"/>
      <c r="V5" s="3"/>
      <c r="W5" s="3"/>
    </row>
    <row r="6" spans="2:23" x14ac:dyDescent="0.2">
      <c r="B6" s="3" t="s">
        <v>40</v>
      </c>
      <c r="C6" s="32">
        <f t="shared" ref="C6:P6" si="0">C4+C5</f>
        <v>16544</v>
      </c>
      <c r="D6" s="32">
        <f t="shared" si="0"/>
        <v>14669</v>
      </c>
      <c r="E6" s="32">
        <f t="shared" si="0"/>
        <v>13458</v>
      </c>
      <c r="F6" s="32">
        <f t="shared" si="0"/>
        <v>10193</v>
      </c>
      <c r="G6" s="32">
        <f t="shared" si="0"/>
        <v>11325</v>
      </c>
      <c r="H6" s="32">
        <f t="shared" si="0"/>
        <v>10825</v>
      </c>
      <c r="I6" s="32">
        <f t="shared" si="0"/>
        <v>10059</v>
      </c>
      <c r="J6" s="32">
        <f t="shared" si="0"/>
        <v>9125</v>
      </c>
      <c r="K6" s="32">
        <f t="shared" si="0"/>
        <v>7895</v>
      </c>
      <c r="L6" s="32">
        <f t="shared" si="0"/>
        <v>6813</v>
      </c>
      <c r="M6" s="32">
        <f t="shared" si="0"/>
        <v>6520</v>
      </c>
      <c r="N6" s="32">
        <f t="shared" si="0"/>
        <v>6127</v>
      </c>
      <c r="O6" s="32">
        <f t="shared" si="0"/>
        <v>5776</v>
      </c>
      <c r="P6" s="32">
        <f t="shared" si="0"/>
        <v>4959</v>
      </c>
      <c r="S6" s="2" t="s">
        <v>200</v>
      </c>
      <c r="T6" s="2">
        <v>41</v>
      </c>
      <c r="U6" s="3"/>
      <c r="V6" s="3"/>
      <c r="W6" s="3"/>
    </row>
    <row r="7" spans="2:23" x14ac:dyDescent="0.2">
      <c r="B7" s="16" t="s">
        <v>41</v>
      </c>
      <c r="C7" s="7">
        <v>-1410</v>
      </c>
      <c r="D7" s="7">
        <v>-1314</v>
      </c>
      <c r="E7" s="7">
        <v>-1139</v>
      </c>
      <c r="F7" s="7">
        <v>-1261</v>
      </c>
      <c r="G7" s="7">
        <v>-1120</v>
      </c>
      <c r="H7" s="29">
        <v>-994</v>
      </c>
      <c r="I7" s="7">
        <v>-856</v>
      </c>
      <c r="J7" s="7">
        <v>-784</v>
      </c>
      <c r="K7" s="7">
        <v>-763</v>
      </c>
      <c r="L7" s="7">
        <v>-680</v>
      </c>
      <c r="M7" s="2">
        <v>-634</v>
      </c>
      <c r="N7" s="7">
        <v>-652</v>
      </c>
      <c r="O7" s="7">
        <v>-633</v>
      </c>
      <c r="P7" s="7">
        <v>-615</v>
      </c>
      <c r="S7" s="2" t="s">
        <v>215</v>
      </c>
      <c r="T7" s="77">
        <f>SUM(T4:T6)</f>
        <v>-3112</v>
      </c>
      <c r="U7" s="3"/>
      <c r="V7" s="3"/>
      <c r="W7" s="3"/>
    </row>
    <row r="8" spans="2:23" x14ac:dyDescent="0.2">
      <c r="B8" s="16" t="s">
        <v>42</v>
      </c>
      <c r="C8" s="7">
        <v>-9917</v>
      </c>
      <c r="D8" s="7">
        <v>-9232</v>
      </c>
      <c r="E8" s="7">
        <v>-7983</v>
      </c>
      <c r="F8" s="7">
        <v>-7067</v>
      </c>
      <c r="G8" s="7">
        <v>-7421</v>
      </c>
      <c r="H8" s="29">
        <v>-6580</v>
      </c>
      <c r="I8" s="7">
        <v>-6058</v>
      </c>
      <c r="J8" s="7">
        <v>-5621</v>
      </c>
      <c r="K8" s="7">
        <v>-4692</v>
      </c>
      <c r="L8" s="7">
        <v>-3880</v>
      </c>
      <c r="M8" s="29">
        <v>-3654</v>
      </c>
      <c r="N8" s="7">
        <v>-3315</v>
      </c>
      <c r="O8" s="7">
        <v>-2962</v>
      </c>
      <c r="P8" s="7">
        <v>-2474</v>
      </c>
      <c r="S8" s="3"/>
      <c r="T8" s="3"/>
      <c r="U8" s="3"/>
      <c r="V8" s="3"/>
      <c r="W8" s="3"/>
    </row>
    <row r="9" spans="2:23" x14ac:dyDescent="0.2">
      <c r="B9" s="16" t="s">
        <v>43</v>
      </c>
      <c r="C9" s="26">
        <v>-1138</v>
      </c>
      <c r="D9" s="26">
        <v>-1038</v>
      </c>
      <c r="E9" s="26">
        <v>-892</v>
      </c>
      <c r="F9" s="26">
        <v>-840</v>
      </c>
      <c r="G9" s="26">
        <v>-851</v>
      </c>
      <c r="H9" s="75">
        <v>-734</v>
      </c>
      <c r="I9" s="26">
        <v>-702</v>
      </c>
      <c r="J9" s="26">
        <v>-651</v>
      </c>
      <c r="K9" s="26">
        <v>-614</v>
      </c>
      <c r="L9" s="26">
        <v>-559</v>
      </c>
      <c r="M9" s="2">
        <v>-545</v>
      </c>
      <c r="N9" s="26">
        <v>-524</v>
      </c>
      <c r="O9" s="26">
        <v>-483</v>
      </c>
      <c r="P9" s="26">
        <v>-449</v>
      </c>
      <c r="S9" s="2" t="s">
        <v>214</v>
      </c>
      <c r="T9" s="2">
        <v>-1009</v>
      </c>
      <c r="U9" s="2" t="s">
        <v>204</v>
      </c>
      <c r="V9" s="3"/>
      <c r="W9" s="3"/>
    </row>
    <row r="10" spans="2:23" x14ac:dyDescent="0.2">
      <c r="B10" s="82" t="s">
        <v>171</v>
      </c>
      <c r="C10" s="81">
        <v>63</v>
      </c>
      <c r="D10" s="81">
        <v>80</v>
      </c>
      <c r="E10" s="81">
        <v>8</v>
      </c>
      <c r="F10" s="81">
        <v>4</v>
      </c>
      <c r="G10" s="81">
        <v>1</v>
      </c>
      <c r="H10" s="31"/>
      <c r="I10" s="15"/>
      <c r="J10" s="15"/>
      <c r="K10" s="15"/>
      <c r="L10" s="15"/>
      <c r="M10" s="14"/>
      <c r="N10" s="15"/>
      <c r="O10" s="15"/>
      <c r="P10" s="15"/>
      <c r="V10" s="3"/>
      <c r="W10" s="3"/>
    </row>
    <row r="11" spans="2:23" x14ac:dyDescent="0.2">
      <c r="B11" s="3" t="s">
        <v>170</v>
      </c>
      <c r="C11" s="32">
        <f t="shared" ref="C11:P11" si="1">C6+C7+C8+C9+C10</f>
        <v>4142</v>
      </c>
      <c r="D11" s="32">
        <f t="shared" si="1"/>
        <v>3165</v>
      </c>
      <c r="E11" s="32">
        <f t="shared" si="1"/>
        <v>3452</v>
      </c>
      <c r="F11" s="32">
        <f t="shared" si="1"/>
        <v>1029</v>
      </c>
      <c r="G11" s="32">
        <f t="shared" si="1"/>
        <v>1934</v>
      </c>
      <c r="H11" s="32">
        <f t="shared" si="1"/>
        <v>2517</v>
      </c>
      <c r="I11" s="32">
        <f t="shared" si="1"/>
        <v>2443</v>
      </c>
      <c r="J11" s="32">
        <f t="shared" si="1"/>
        <v>2069</v>
      </c>
      <c r="K11" s="32">
        <f t="shared" si="1"/>
        <v>1826</v>
      </c>
      <c r="L11" s="32">
        <f t="shared" si="1"/>
        <v>1694</v>
      </c>
      <c r="M11" s="32">
        <f t="shared" si="1"/>
        <v>1687</v>
      </c>
      <c r="N11" s="32">
        <f t="shared" si="1"/>
        <v>1636</v>
      </c>
      <c r="O11" s="32">
        <f t="shared" si="1"/>
        <v>1698</v>
      </c>
      <c r="P11" s="32">
        <f t="shared" si="1"/>
        <v>1421</v>
      </c>
      <c r="S11" s="2" t="s">
        <v>202</v>
      </c>
      <c r="T11" s="2">
        <v>0</v>
      </c>
      <c r="U11" s="3"/>
      <c r="V11" s="3"/>
      <c r="W11" s="3"/>
    </row>
    <row r="12" spans="2:23" x14ac:dyDescent="0.2">
      <c r="B12" s="3"/>
      <c r="C12" s="3"/>
      <c r="D12" s="3"/>
      <c r="E12" s="3"/>
      <c r="F12" s="3"/>
      <c r="G12" s="3"/>
      <c r="H12" s="32"/>
      <c r="I12" s="32"/>
      <c r="J12" s="32"/>
      <c r="K12" s="32"/>
      <c r="L12" s="32"/>
      <c r="M12" s="32"/>
      <c r="N12" s="32"/>
      <c r="O12" s="32"/>
      <c r="P12" s="32"/>
      <c r="S12" s="2" t="s">
        <v>200</v>
      </c>
      <c r="T12" s="2">
        <v>15</v>
      </c>
      <c r="U12" s="3"/>
      <c r="V12" s="3"/>
      <c r="W12" s="3"/>
    </row>
    <row r="13" spans="2:23" x14ac:dyDescent="0.2">
      <c r="B13" s="16" t="s">
        <v>213</v>
      </c>
      <c r="C13" s="29">
        <v>-839</v>
      </c>
      <c r="D13" s="29">
        <v>-651</v>
      </c>
      <c r="E13" s="29">
        <v>-750</v>
      </c>
      <c r="F13" s="29">
        <v>-202</v>
      </c>
      <c r="G13" s="29">
        <v>-444</v>
      </c>
      <c r="H13" s="29">
        <v>-538</v>
      </c>
      <c r="I13" s="29">
        <v>-468</v>
      </c>
      <c r="J13" s="29">
        <v>-377</v>
      </c>
      <c r="K13" s="29">
        <v>-370</v>
      </c>
      <c r="L13" s="29">
        <v>-364</v>
      </c>
      <c r="M13" s="29">
        <v>-378</v>
      </c>
      <c r="N13" s="29">
        <v>-370</v>
      </c>
      <c r="O13" s="29">
        <v>-407</v>
      </c>
      <c r="P13" s="29">
        <v>-326</v>
      </c>
      <c r="S13" s="2" t="s">
        <v>212</v>
      </c>
      <c r="T13" s="77">
        <f>SUM(T9:T12)</f>
        <v>-994</v>
      </c>
      <c r="U13" s="3"/>
      <c r="V13" s="3"/>
      <c r="W13" s="3"/>
    </row>
    <row r="14" spans="2:23" x14ac:dyDescent="0.2">
      <c r="B14" s="16" t="s">
        <v>211</v>
      </c>
      <c r="C14" s="29">
        <v>-178</v>
      </c>
      <c r="D14" s="29">
        <v>-72</v>
      </c>
      <c r="E14" s="29">
        <v>-52</v>
      </c>
      <c r="F14" s="29">
        <v>-51</v>
      </c>
      <c r="G14" s="29">
        <v>-61</v>
      </c>
      <c r="H14" s="29">
        <v>-43</v>
      </c>
      <c r="I14" s="29">
        <v>-33</v>
      </c>
      <c r="J14" s="29">
        <v>-30</v>
      </c>
      <c r="K14" s="29">
        <v>-26</v>
      </c>
      <c r="L14" s="29">
        <v>-26</v>
      </c>
      <c r="M14" s="29">
        <f>-M43</f>
        <v>-25.75</v>
      </c>
      <c r="N14" s="29">
        <f>-N43</f>
        <v>-37.5</v>
      </c>
      <c r="O14" s="29">
        <f>-O43</f>
        <v>-28.75</v>
      </c>
      <c r="P14" s="29">
        <f>-P43</f>
        <v>-31.25</v>
      </c>
      <c r="S14" s="3"/>
      <c r="T14" s="3"/>
      <c r="U14" s="3"/>
      <c r="V14" s="3"/>
      <c r="W14" s="3"/>
    </row>
    <row r="15" spans="2:23" x14ac:dyDescent="0.2">
      <c r="B15" s="68" t="s">
        <v>210</v>
      </c>
      <c r="C15" s="31">
        <v>12</v>
      </c>
      <c r="D15" s="31">
        <v>10</v>
      </c>
      <c r="E15" s="31">
        <v>29</v>
      </c>
      <c r="F15" s="31">
        <v>7</v>
      </c>
      <c r="G15" s="31">
        <v>30</v>
      </c>
      <c r="H15" s="31">
        <v>-19</v>
      </c>
      <c r="I15" s="31">
        <v>-26</v>
      </c>
      <c r="J15" s="31">
        <v>-38</v>
      </c>
      <c r="K15" s="31">
        <v>10</v>
      </c>
      <c r="L15" s="31">
        <v>9</v>
      </c>
      <c r="M15" s="31">
        <f>-M28</f>
        <v>7.25</v>
      </c>
      <c r="N15" s="31">
        <f>-N28</f>
        <v>5.75</v>
      </c>
      <c r="O15" s="31">
        <f>-O28</f>
        <v>4.25</v>
      </c>
      <c r="P15" s="31">
        <f>-P28</f>
        <v>3</v>
      </c>
      <c r="S15" s="2" t="s">
        <v>209</v>
      </c>
      <c r="T15" s="2">
        <v>-6616</v>
      </c>
      <c r="U15" s="2" t="s">
        <v>204</v>
      </c>
      <c r="V15" s="3"/>
      <c r="W15" s="3"/>
    </row>
    <row r="16" spans="2:23" x14ac:dyDescent="0.2">
      <c r="B16" s="16" t="s">
        <v>208</v>
      </c>
      <c r="C16" s="29">
        <f>SUM(C13:C15)</f>
        <v>-1005</v>
      </c>
      <c r="D16" s="29">
        <f>SUM(D13:D15)</f>
        <v>-713</v>
      </c>
      <c r="E16" s="29">
        <f>SUM(E13:E15)</f>
        <v>-773</v>
      </c>
      <c r="F16" s="29">
        <f>F13+F14+F15</f>
        <v>-246</v>
      </c>
      <c r="G16" s="29">
        <f>SUM(G13:G15)</f>
        <v>-475</v>
      </c>
      <c r="H16" s="29">
        <f>SUM(H13:H15)</f>
        <v>-600</v>
      </c>
      <c r="I16" s="29">
        <f>SUM(I13:I15)</f>
        <v>-527</v>
      </c>
      <c r="J16" s="29">
        <f>SUM(J13:J15)</f>
        <v>-445</v>
      </c>
      <c r="K16" s="29">
        <f>SUM(K13:K15)</f>
        <v>-386</v>
      </c>
      <c r="L16" s="29">
        <f>L13+L14+L15</f>
        <v>-381</v>
      </c>
      <c r="M16" s="29">
        <f>SUM(M13:M15)</f>
        <v>-396.5</v>
      </c>
      <c r="N16" s="29">
        <f>SUM(N13:N15)</f>
        <v>-401.75</v>
      </c>
      <c r="O16" s="29">
        <f>SUM(O13:O15)</f>
        <v>-431.5</v>
      </c>
      <c r="P16" s="29">
        <f>SUM(P13:P15)</f>
        <v>-354.25</v>
      </c>
      <c r="S16" s="2" t="s">
        <v>202</v>
      </c>
      <c r="T16" s="2">
        <v>-1</v>
      </c>
      <c r="U16" s="3"/>
      <c r="V16" s="3"/>
      <c r="W16" s="3"/>
    </row>
    <row r="17" spans="1:23" x14ac:dyDescent="0.2">
      <c r="B17" s="80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S17" s="2" t="s">
        <v>200</v>
      </c>
      <c r="T17" s="2">
        <v>37</v>
      </c>
      <c r="U17" s="3"/>
      <c r="V17" s="3"/>
      <c r="W17" s="3"/>
    </row>
    <row r="18" spans="1:23" x14ac:dyDescent="0.2">
      <c r="B18" s="3" t="s">
        <v>207</v>
      </c>
      <c r="C18" s="79">
        <f t="shared" ref="C18:P18" si="2">C11+C16</f>
        <v>3137</v>
      </c>
      <c r="D18" s="79">
        <f t="shared" si="2"/>
        <v>2452</v>
      </c>
      <c r="E18" s="79">
        <f t="shared" si="2"/>
        <v>2679</v>
      </c>
      <c r="F18" s="79">
        <f t="shared" si="2"/>
        <v>783</v>
      </c>
      <c r="G18" s="79">
        <f t="shared" si="2"/>
        <v>1459</v>
      </c>
      <c r="H18" s="79">
        <f t="shared" si="2"/>
        <v>1917</v>
      </c>
      <c r="I18" s="79">
        <f t="shared" si="2"/>
        <v>1916</v>
      </c>
      <c r="J18" s="79">
        <f t="shared" si="2"/>
        <v>1624</v>
      </c>
      <c r="K18" s="79">
        <f t="shared" si="2"/>
        <v>1440</v>
      </c>
      <c r="L18" s="79">
        <f t="shared" si="2"/>
        <v>1313</v>
      </c>
      <c r="M18" s="79">
        <f t="shared" si="2"/>
        <v>1290.5</v>
      </c>
      <c r="N18" s="79">
        <f t="shared" si="2"/>
        <v>1234.25</v>
      </c>
      <c r="O18" s="79">
        <f t="shared" si="2"/>
        <v>1266.5</v>
      </c>
      <c r="P18" s="79">
        <f t="shared" si="2"/>
        <v>1066.75</v>
      </c>
      <c r="S18" s="2" t="s">
        <v>206</v>
      </c>
      <c r="T18" s="77">
        <f>SUM(T15:T17)</f>
        <v>-6580</v>
      </c>
      <c r="U18" s="3"/>
      <c r="V18" s="3"/>
      <c r="W18" s="3"/>
    </row>
    <row r="19" spans="1:23" x14ac:dyDescent="0.2">
      <c r="B19" s="3"/>
      <c r="C19" s="3"/>
      <c r="D19" s="3"/>
      <c r="E19" s="3"/>
      <c r="F19" s="3"/>
      <c r="G19" s="3"/>
      <c r="H19" s="78"/>
      <c r="I19" s="78"/>
      <c r="J19" s="78"/>
      <c r="K19" s="78"/>
      <c r="L19" s="78"/>
      <c r="M19" s="78"/>
      <c r="N19" s="78"/>
      <c r="O19" s="78"/>
      <c r="P19" s="78"/>
      <c r="S19" s="3"/>
      <c r="T19" s="3"/>
      <c r="U19" s="3"/>
      <c r="V19" s="3"/>
      <c r="W19" s="3"/>
    </row>
    <row r="20" spans="1:23" x14ac:dyDescent="0.2">
      <c r="B20" s="3" t="s">
        <v>172</v>
      </c>
      <c r="C20" s="3"/>
      <c r="D20" s="3"/>
      <c r="E20" s="3"/>
      <c r="F20" s="3"/>
      <c r="G20" s="3"/>
      <c r="H20" s="32"/>
      <c r="I20" s="32"/>
      <c r="J20" s="32"/>
      <c r="K20" s="32"/>
      <c r="L20" s="32"/>
      <c r="M20" s="32"/>
      <c r="N20" s="32"/>
      <c r="O20" s="32"/>
      <c r="P20" s="32"/>
      <c r="S20" s="2" t="s">
        <v>205</v>
      </c>
      <c r="T20" s="2">
        <v>-761</v>
      </c>
      <c r="U20" s="2" t="s">
        <v>204</v>
      </c>
      <c r="V20" s="3"/>
      <c r="W20" s="3"/>
    </row>
    <row r="21" spans="1:23" x14ac:dyDescent="0.2">
      <c r="B21" s="16" t="s">
        <v>119</v>
      </c>
      <c r="E21" s="2">
        <v>99</v>
      </c>
      <c r="G21" s="2">
        <v>100</v>
      </c>
      <c r="H21" s="32"/>
      <c r="I21" s="32"/>
      <c r="J21" s="32"/>
      <c r="K21" s="32"/>
      <c r="L21" s="32"/>
      <c r="M21" s="32"/>
      <c r="N21" s="32"/>
      <c r="O21" s="32"/>
      <c r="P21" s="32"/>
      <c r="U21" s="3"/>
      <c r="V21" s="3"/>
      <c r="W21" s="3"/>
    </row>
    <row r="22" spans="1:23" x14ac:dyDescent="0.2">
      <c r="B22" s="16" t="s">
        <v>203</v>
      </c>
      <c r="H22" s="29">
        <v>1</v>
      </c>
      <c r="I22" s="29">
        <v>8</v>
      </c>
      <c r="J22" s="29">
        <v>3</v>
      </c>
      <c r="K22" s="29">
        <v>4</v>
      </c>
      <c r="L22" s="29">
        <v>2</v>
      </c>
      <c r="M22" s="29">
        <v>0</v>
      </c>
      <c r="N22" s="29">
        <v>5</v>
      </c>
      <c r="O22" s="29">
        <v>5</v>
      </c>
      <c r="P22" s="29">
        <v>3</v>
      </c>
      <c r="S22" s="2" t="s">
        <v>202</v>
      </c>
      <c r="U22" s="3"/>
      <c r="V22" s="3"/>
      <c r="W22" s="3"/>
    </row>
    <row r="23" spans="1:23" x14ac:dyDescent="0.2">
      <c r="B23" s="16" t="s">
        <v>201</v>
      </c>
      <c r="H23" s="29"/>
      <c r="I23" s="29"/>
      <c r="J23" s="29">
        <v>-23</v>
      </c>
      <c r="K23" s="29"/>
      <c r="L23" s="29"/>
      <c r="M23" s="29"/>
      <c r="N23" s="29"/>
      <c r="O23" s="29"/>
      <c r="P23" s="29"/>
      <c r="S23" s="2" t="s">
        <v>200</v>
      </c>
      <c r="T23" s="2">
        <v>27</v>
      </c>
      <c r="U23" s="3"/>
      <c r="V23" s="3"/>
      <c r="W23" s="3"/>
    </row>
    <row r="24" spans="1:23" x14ac:dyDescent="0.2">
      <c r="B24" s="16" t="s">
        <v>200</v>
      </c>
      <c r="H24" s="29">
        <v>-120</v>
      </c>
      <c r="I24" s="29">
        <v>-166</v>
      </c>
      <c r="J24" s="29">
        <v>-188</v>
      </c>
      <c r="K24" s="29"/>
      <c r="L24" s="29"/>
      <c r="M24" s="29"/>
      <c r="N24" s="29"/>
      <c r="O24" s="29"/>
      <c r="P24" s="29"/>
      <c r="S24" s="2" t="s">
        <v>199</v>
      </c>
      <c r="T24" s="77">
        <f>SUM(T20:T23)</f>
        <v>-734</v>
      </c>
      <c r="U24" s="3"/>
      <c r="V24" s="3"/>
      <c r="W24" s="3"/>
    </row>
    <row r="25" spans="1:23" ht="16" x14ac:dyDescent="0.2">
      <c r="B25" s="16" t="s">
        <v>198</v>
      </c>
      <c r="C25" s="2">
        <v>55</v>
      </c>
      <c r="D25" s="2">
        <v>45</v>
      </c>
      <c r="E25" s="2">
        <v>34</v>
      </c>
      <c r="F25" s="2">
        <v>32</v>
      </c>
      <c r="G25" s="2">
        <v>36</v>
      </c>
      <c r="H25" s="2">
        <v>33</v>
      </c>
      <c r="I25" s="2">
        <v>39</v>
      </c>
      <c r="J25" s="2">
        <v>36</v>
      </c>
      <c r="K25" s="2">
        <v>38</v>
      </c>
      <c r="L25" s="2">
        <v>34</v>
      </c>
      <c r="M25" s="2">
        <v>31</v>
      </c>
      <c r="N25" s="75">
        <v>19</v>
      </c>
      <c r="O25" s="75">
        <v>14</v>
      </c>
      <c r="P25" s="75">
        <v>9</v>
      </c>
      <c r="Q25" s="2" t="s">
        <v>185</v>
      </c>
      <c r="S25" s="11"/>
      <c r="T25" s="11"/>
      <c r="U25" s="11"/>
      <c r="V25" s="11"/>
      <c r="W25" s="11"/>
    </row>
    <row r="26" spans="1:23" ht="16" x14ac:dyDescent="0.2">
      <c r="B26" s="16" t="s">
        <v>197</v>
      </c>
      <c r="C26" s="14"/>
      <c r="D26" s="14"/>
      <c r="E26" s="14"/>
      <c r="F26" s="14"/>
      <c r="G26" s="14"/>
      <c r="H26" s="14"/>
      <c r="I26" s="14"/>
      <c r="J26" s="14"/>
      <c r="K26" s="14">
        <v>-1</v>
      </c>
      <c r="L26" s="14">
        <v>-1</v>
      </c>
      <c r="M26" s="14">
        <v>-2</v>
      </c>
      <c r="N26" s="31">
        <v>-1</v>
      </c>
      <c r="O26" s="31">
        <v>-2</v>
      </c>
      <c r="P26" s="14">
        <v>0</v>
      </c>
      <c r="S26" s="11"/>
      <c r="T26" s="11"/>
      <c r="U26" s="70"/>
      <c r="V26" s="70"/>
      <c r="W26" s="70"/>
    </row>
    <row r="27" spans="1:23" x14ac:dyDescent="0.2">
      <c r="B27" s="16"/>
      <c r="C27" s="2">
        <f>SUM(C21:C26)</f>
        <v>55</v>
      </c>
      <c r="D27" s="2">
        <f>SUM(D21:D26)</f>
        <v>45</v>
      </c>
      <c r="E27" s="2">
        <f>SUM(E21:E26)</f>
        <v>133</v>
      </c>
      <c r="F27" s="2">
        <f>SUM(F21:F26)</f>
        <v>32</v>
      </c>
      <c r="G27" s="2">
        <f>SUM(G21:G26)</f>
        <v>136</v>
      </c>
      <c r="H27" s="11">
        <f t="shared" ref="H27:P27" si="3">SUM(H22:H26)</f>
        <v>-86</v>
      </c>
      <c r="I27" s="11">
        <f t="shared" si="3"/>
        <v>-119</v>
      </c>
      <c r="J27" s="11">
        <f t="shared" si="3"/>
        <v>-172</v>
      </c>
      <c r="K27" s="11">
        <f t="shared" si="3"/>
        <v>41</v>
      </c>
      <c r="L27" s="11">
        <f t="shared" si="3"/>
        <v>35</v>
      </c>
      <c r="M27" s="11">
        <f t="shared" si="3"/>
        <v>29</v>
      </c>
      <c r="N27" s="11">
        <f t="shared" si="3"/>
        <v>23</v>
      </c>
      <c r="O27" s="11">
        <f t="shared" si="3"/>
        <v>17</v>
      </c>
      <c r="P27" s="11">
        <f t="shared" si="3"/>
        <v>12</v>
      </c>
      <c r="U27" s="70"/>
      <c r="V27" s="70"/>
      <c r="W27" s="70"/>
    </row>
    <row r="28" spans="1:23" x14ac:dyDescent="0.2">
      <c r="B28" s="16" t="s">
        <v>196</v>
      </c>
      <c r="C28" s="31">
        <f t="shared" ref="C28:J28" si="4">-0.22*C27</f>
        <v>-12.1</v>
      </c>
      <c r="D28" s="31">
        <f t="shared" si="4"/>
        <v>-9.9</v>
      </c>
      <c r="E28" s="31">
        <f t="shared" si="4"/>
        <v>-29.26</v>
      </c>
      <c r="F28" s="31">
        <f t="shared" si="4"/>
        <v>-7.04</v>
      </c>
      <c r="G28" s="31">
        <f t="shared" si="4"/>
        <v>-29.92</v>
      </c>
      <c r="H28" s="31">
        <f t="shared" si="4"/>
        <v>18.920000000000002</v>
      </c>
      <c r="I28" s="31">
        <f t="shared" si="4"/>
        <v>26.18</v>
      </c>
      <c r="J28" s="31">
        <f t="shared" si="4"/>
        <v>37.840000000000003</v>
      </c>
      <c r="K28" s="31">
        <f>-0.235*K27</f>
        <v>-9.6349999999999998</v>
      </c>
      <c r="L28" s="31">
        <f>-0.245*L27</f>
        <v>-8.5749999999999993</v>
      </c>
      <c r="M28" s="31">
        <f>-0.25*M27</f>
        <v>-7.25</v>
      </c>
      <c r="N28" s="31">
        <f>-0.25*N27</f>
        <v>-5.75</v>
      </c>
      <c r="O28" s="31">
        <f>-0.25*O27</f>
        <v>-4.25</v>
      </c>
      <c r="P28" s="31">
        <f>-0.25*P27</f>
        <v>-3</v>
      </c>
      <c r="S28" s="11"/>
      <c r="T28" s="11"/>
      <c r="U28" s="11"/>
      <c r="V28" s="11"/>
      <c r="W28" s="11"/>
    </row>
    <row r="29" spans="1:23" x14ac:dyDescent="0.2">
      <c r="B29" s="16"/>
      <c r="C29" s="11">
        <f t="shared" ref="C29:P29" si="5">C27+C28</f>
        <v>42.9</v>
      </c>
      <c r="D29" s="11">
        <f t="shared" si="5"/>
        <v>35.1</v>
      </c>
      <c r="E29" s="11">
        <f t="shared" si="5"/>
        <v>103.74</v>
      </c>
      <c r="F29" s="11">
        <f t="shared" si="5"/>
        <v>24.96</v>
      </c>
      <c r="G29" s="11">
        <f t="shared" si="5"/>
        <v>106.08</v>
      </c>
      <c r="H29" s="11">
        <f t="shared" si="5"/>
        <v>-67.08</v>
      </c>
      <c r="I29" s="11">
        <f t="shared" si="5"/>
        <v>-92.82</v>
      </c>
      <c r="J29" s="11">
        <f t="shared" si="5"/>
        <v>-134.16</v>
      </c>
      <c r="K29" s="11">
        <f t="shared" si="5"/>
        <v>31.365000000000002</v>
      </c>
      <c r="L29" s="11">
        <f t="shared" si="5"/>
        <v>26.425000000000001</v>
      </c>
      <c r="M29" s="11">
        <f t="shared" si="5"/>
        <v>21.75</v>
      </c>
      <c r="N29" s="29">
        <f t="shared" si="5"/>
        <v>17.25</v>
      </c>
      <c r="O29" s="29">
        <f t="shared" si="5"/>
        <v>12.75</v>
      </c>
      <c r="P29" s="29">
        <f t="shared" si="5"/>
        <v>9</v>
      </c>
      <c r="S29" s="11"/>
      <c r="T29" s="11"/>
      <c r="U29" s="11"/>
      <c r="V29" s="11"/>
      <c r="W29" s="11"/>
    </row>
    <row r="30" spans="1:23" x14ac:dyDescent="0.2">
      <c r="B30" s="16" t="s">
        <v>195</v>
      </c>
      <c r="C30" s="2">
        <v>69</v>
      </c>
      <c r="D30" s="2">
        <v>122</v>
      </c>
      <c r="E30" s="2">
        <v>120</v>
      </c>
      <c r="F30" s="2">
        <v>505</v>
      </c>
      <c r="G30" s="2">
        <v>118</v>
      </c>
      <c r="H30" s="2">
        <v>134</v>
      </c>
      <c r="I30" s="2">
        <v>53</v>
      </c>
      <c r="J30" s="2">
        <v>81</v>
      </c>
      <c r="K30" s="2">
        <v>48</v>
      </c>
      <c r="L30" s="2">
        <v>65</v>
      </c>
      <c r="M30" s="2">
        <v>49</v>
      </c>
      <c r="N30" s="75">
        <v>12</v>
      </c>
      <c r="O30" s="75">
        <v>6</v>
      </c>
      <c r="P30" s="75">
        <v>6</v>
      </c>
      <c r="S30" s="11"/>
      <c r="T30" s="11"/>
      <c r="U30" s="11"/>
      <c r="V30" s="11"/>
      <c r="W30" s="11"/>
    </row>
    <row r="31" spans="1:23" x14ac:dyDescent="0.2">
      <c r="A31" s="2" t="s">
        <v>189</v>
      </c>
      <c r="B31" s="16" t="s">
        <v>194</v>
      </c>
      <c r="C31" s="39">
        <v>-174</v>
      </c>
      <c r="D31" s="39">
        <v>63</v>
      </c>
      <c r="E31" s="39">
        <v>422</v>
      </c>
      <c r="F31" s="39">
        <v>-448</v>
      </c>
      <c r="G31" s="39">
        <v>136</v>
      </c>
      <c r="H31" s="76">
        <v>39</v>
      </c>
      <c r="I31" s="11">
        <v>-340</v>
      </c>
      <c r="J31" s="76">
        <v>40</v>
      </c>
      <c r="K31" s="11">
        <v>98</v>
      </c>
      <c r="L31" s="11">
        <v>186</v>
      </c>
      <c r="M31" s="11">
        <v>-212</v>
      </c>
      <c r="N31" s="75">
        <v>9</v>
      </c>
      <c r="O31" s="75">
        <v>48</v>
      </c>
      <c r="P31" s="75">
        <v>140</v>
      </c>
      <c r="S31" s="18"/>
      <c r="T31" s="18"/>
      <c r="U31" s="18"/>
      <c r="V31" s="18"/>
      <c r="W31" s="18"/>
    </row>
    <row r="32" spans="1:23" x14ac:dyDescent="0.2">
      <c r="A32" s="2" t="s">
        <v>189</v>
      </c>
      <c r="B32" s="16" t="s">
        <v>193</v>
      </c>
      <c r="C32" s="39"/>
      <c r="D32" s="39"/>
      <c r="E32" s="39"/>
      <c r="F32" s="39"/>
      <c r="G32" s="39">
        <v>-14</v>
      </c>
      <c r="H32" s="76"/>
      <c r="I32" s="11"/>
      <c r="J32" s="76"/>
      <c r="K32" s="11"/>
      <c r="L32" s="11"/>
      <c r="M32" s="11"/>
      <c r="N32" s="75"/>
      <c r="O32" s="75"/>
      <c r="P32" s="75"/>
      <c r="S32" s="18"/>
      <c r="T32" s="18"/>
      <c r="U32" s="18"/>
      <c r="V32" s="18"/>
      <c r="W32" s="18"/>
    </row>
    <row r="33" spans="1:23" x14ac:dyDescent="0.2">
      <c r="A33" s="2" t="s">
        <v>189</v>
      </c>
      <c r="B33" s="16" t="s">
        <v>192</v>
      </c>
      <c r="C33" s="39">
        <v>32</v>
      </c>
      <c r="D33" s="39">
        <v>-31</v>
      </c>
      <c r="E33" s="39">
        <v>-137</v>
      </c>
      <c r="F33" s="39">
        <v>85</v>
      </c>
      <c r="G33" s="39">
        <v>-79</v>
      </c>
      <c r="H33" s="76">
        <v>-49</v>
      </c>
      <c r="I33" s="11">
        <v>115</v>
      </c>
      <c r="J33" s="76">
        <v>-16</v>
      </c>
      <c r="K33" s="11">
        <v>123</v>
      </c>
      <c r="L33" s="11">
        <v>-77</v>
      </c>
      <c r="M33" s="11">
        <v>63</v>
      </c>
      <c r="N33" s="75">
        <v>3</v>
      </c>
      <c r="O33" s="75">
        <v>-60</v>
      </c>
      <c r="P33" s="75">
        <v>-45</v>
      </c>
      <c r="S33" s="18"/>
      <c r="T33" s="18"/>
      <c r="U33" s="18"/>
      <c r="V33" s="18"/>
      <c r="W33" s="18"/>
    </row>
    <row r="34" spans="1:23" x14ac:dyDescent="0.2">
      <c r="A34" s="2" t="s">
        <v>189</v>
      </c>
      <c r="B34" s="16" t="s">
        <v>191</v>
      </c>
      <c r="C34" s="39">
        <v>-83</v>
      </c>
      <c r="D34" s="39">
        <v>158</v>
      </c>
      <c r="E34" s="39">
        <v>28</v>
      </c>
      <c r="F34" s="39">
        <v>-9</v>
      </c>
      <c r="G34" s="39">
        <v>71</v>
      </c>
      <c r="H34" s="76">
        <v>-16</v>
      </c>
      <c r="I34" s="11">
        <v>-38</v>
      </c>
      <c r="J34" s="76">
        <v>36</v>
      </c>
      <c r="K34" s="11">
        <v>-117</v>
      </c>
      <c r="L34" s="11">
        <v>-8</v>
      </c>
      <c r="M34" s="11">
        <v>-51</v>
      </c>
      <c r="N34" s="75">
        <v>76</v>
      </c>
      <c r="O34" s="75">
        <v>-19</v>
      </c>
      <c r="P34" s="75">
        <v>58</v>
      </c>
      <c r="S34" s="18"/>
      <c r="T34" s="18"/>
      <c r="U34" s="18"/>
      <c r="V34" s="18"/>
      <c r="W34" s="18"/>
    </row>
    <row r="35" spans="1:23" x14ac:dyDescent="0.2">
      <c r="A35" s="2" t="s">
        <v>189</v>
      </c>
      <c r="B35" s="16" t="s">
        <v>190</v>
      </c>
      <c r="C35" s="39">
        <v>-15</v>
      </c>
      <c r="D35" s="39">
        <v>78</v>
      </c>
      <c r="E35" s="39">
        <v>50</v>
      </c>
      <c r="F35" s="39">
        <v>8</v>
      </c>
      <c r="G35" s="39">
        <v>-45</v>
      </c>
      <c r="H35" s="76">
        <v>-16</v>
      </c>
      <c r="I35" s="11">
        <v>6</v>
      </c>
      <c r="J35" s="11">
        <v>-6</v>
      </c>
      <c r="K35" s="11">
        <v>-7</v>
      </c>
      <c r="L35" s="11">
        <v>-12</v>
      </c>
      <c r="M35" s="11">
        <v>4</v>
      </c>
      <c r="N35" s="75">
        <v>-8</v>
      </c>
      <c r="O35" s="75">
        <v>-24</v>
      </c>
      <c r="P35" s="75">
        <v>2</v>
      </c>
      <c r="S35" s="18"/>
      <c r="T35" s="18"/>
      <c r="U35" s="18"/>
      <c r="V35" s="18"/>
      <c r="W35" s="18"/>
    </row>
    <row r="36" spans="1:23" x14ac:dyDescent="0.2">
      <c r="A36" s="2" t="s">
        <v>189</v>
      </c>
      <c r="B36" s="16" t="s">
        <v>188</v>
      </c>
      <c r="H36" s="2">
        <v>-407</v>
      </c>
      <c r="S36" s="18"/>
      <c r="T36" s="18"/>
      <c r="U36" s="18"/>
      <c r="V36" s="18"/>
      <c r="W36" s="18"/>
    </row>
    <row r="37" spans="1:23" x14ac:dyDescent="0.2">
      <c r="B37" s="3"/>
      <c r="C37" s="74">
        <f t="shared" ref="C37:H37" si="6">SUM(C29:C36)</f>
        <v>-128.1</v>
      </c>
      <c r="D37" s="74">
        <f t="shared" si="6"/>
        <v>425.1</v>
      </c>
      <c r="E37" s="74">
        <f t="shared" si="6"/>
        <v>586.74</v>
      </c>
      <c r="F37" s="74">
        <f t="shared" si="6"/>
        <v>165.96000000000004</v>
      </c>
      <c r="G37" s="74">
        <f t="shared" si="6"/>
        <v>293.08</v>
      </c>
      <c r="H37" s="74">
        <f t="shared" si="6"/>
        <v>-382.08</v>
      </c>
      <c r="I37" s="74">
        <f t="shared" ref="I37:P37" si="7">SUM(I29:I35)</f>
        <v>-296.82</v>
      </c>
      <c r="J37" s="74">
        <f t="shared" si="7"/>
        <v>0.84000000000000341</v>
      </c>
      <c r="K37" s="74">
        <f t="shared" si="7"/>
        <v>176.36500000000001</v>
      </c>
      <c r="L37" s="74">
        <f t="shared" si="7"/>
        <v>180.42500000000001</v>
      </c>
      <c r="M37" s="74">
        <f t="shared" si="7"/>
        <v>-125.25</v>
      </c>
      <c r="N37" s="74">
        <f t="shared" si="7"/>
        <v>109.25</v>
      </c>
      <c r="O37" s="74">
        <f t="shared" si="7"/>
        <v>-36.25</v>
      </c>
      <c r="P37" s="74">
        <f t="shared" si="7"/>
        <v>170</v>
      </c>
      <c r="S37" s="18"/>
      <c r="T37" s="18"/>
      <c r="U37" s="18"/>
      <c r="V37" s="18"/>
      <c r="W37" s="18"/>
    </row>
    <row r="38" spans="1:23" x14ac:dyDescent="0.2">
      <c r="B38" s="3" t="s">
        <v>187</v>
      </c>
      <c r="C38" s="18">
        <f t="shared" ref="C38:P38" si="8">C18+C37</f>
        <v>3008.9</v>
      </c>
      <c r="D38" s="18">
        <f t="shared" si="8"/>
        <v>2877.1</v>
      </c>
      <c r="E38" s="18">
        <f t="shared" si="8"/>
        <v>3265.74</v>
      </c>
      <c r="F38" s="18">
        <f t="shared" si="8"/>
        <v>948.96</v>
      </c>
      <c r="G38" s="18">
        <f t="shared" si="8"/>
        <v>1752.08</v>
      </c>
      <c r="H38" s="18">
        <f t="shared" si="8"/>
        <v>1534.92</v>
      </c>
      <c r="I38" s="18">
        <f t="shared" si="8"/>
        <v>1619.18</v>
      </c>
      <c r="J38" s="18">
        <f t="shared" si="8"/>
        <v>1624.84</v>
      </c>
      <c r="K38" s="18">
        <f t="shared" si="8"/>
        <v>1616.365</v>
      </c>
      <c r="L38" s="18">
        <f t="shared" si="8"/>
        <v>1493.425</v>
      </c>
      <c r="M38" s="18">
        <f t="shared" si="8"/>
        <v>1165.25</v>
      </c>
      <c r="N38" s="18">
        <f t="shared" si="8"/>
        <v>1343.5</v>
      </c>
      <c r="O38" s="18">
        <f t="shared" si="8"/>
        <v>1230.25</v>
      </c>
      <c r="P38" s="18">
        <f t="shared" si="8"/>
        <v>1236.75</v>
      </c>
      <c r="S38" s="18"/>
      <c r="T38" s="18"/>
      <c r="U38" s="18"/>
      <c r="V38" s="18"/>
      <c r="W38" s="18"/>
    </row>
    <row r="39" spans="1:23" x14ac:dyDescent="0.2">
      <c r="S39" s="18"/>
      <c r="T39" s="18"/>
      <c r="U39" s="18"/>
      <c r="V39" s="18"/>
      <c r="W39" s="18"/>
    </row>
    <row r="40" spans="1:23" x14ac:dyDescent="0.2">
      <c r="B40" s="2" t="s">
        <v>186</v>
      </c>
      <c r="C40" s="2">
        <v>-855</v>
      </c>
      <c r="D40" s="2">
        <v>-363</v>
      </c>
      <c r="E40" s="2">
        <v>-244</v>
      </c>
      <c r="F40" s="2">
        <v>-232</v>
      </c>
      <c r="G40" s="2">
        <v>-281</v>
      </c>
      <c r="H40" s="2">
        <v>-203</v>
      </c>
      <c r="I40" s="2">
        <v>-160</v>
      </c>
      <c r="J40" s="2">
        <v>-143</v>
      </c>
      <c r="K40" s="2">
        <v>-110</v>
      </c>
      <c r="L40" s="2">
        <v>-106</v>
      </c>
      <c r="M40" s="2">
        <v>-117</v>
      </c>
      <c r="N40" s="26">
        <v>-175</v>
      </c>
      <c r="O40" s="26">
        <v>-141</v>
      </c>
      <c r="P40" s="26">
        <v>-148</v>
      </c>
      <c r="S40" s="18"/>
      <c r="T40" s="18"/>
      <c r="U40" s="18"/>
      <c r="V40" s="18"/>
      <c r="W40" s="18"/>
    </row>
    <row r="41" spans="1:23" x14ac:dyDescent="0.2">
      <c r="B41" s="2" t="s">
        <v>45</v>
      </c>
      <c r="C41" s="14">
        <v>46</v>
      </c>
      <c r="D41" s="14">
        <v>38</v>
      </c>
      <c r="E41" s="14">
        <v>8</v>
      </c>
      <c r="F41" s="14">
        <v>6</v>
      </c>
      <c r="G41" s="14">
        <v>5</v>
      </c>
      <c r="H41" s="14">
        <v>6</v>
      </c>
      <c r="I41" s="14">
        <v>10</v>
      </c>
      <c r="J41" s="14">
        <v>6</v>
      </c>
      <c r="K41" s="14">
        <v>6</v>
      </c>
      <c r="L41" s="14">
        <v>5</v>
      </c>
      <c r="M41" s="14">
        <v>14</v>
      </c>
      <c r="N41" s="14">
        <v>25</v>
      </c>
      <c r="O41" s="14">
        <v>26</v>
      </c>
      <c r="P41" s="14">
        <v>23</v>
      </c>
      <c r="Q41" s="2" t="s">
        <v>185</v>
      </c>
      <c r="S41" s="18"/>
      <c r="T41" s="18"/>
      <c r="U41" s="18"/>
      <c r="V41" s="18"/>
      <c r="W41" s="18"/>
    </row>
    <row r="42" spans="1:23" x14ac:dyDescent="0.2">
      <c r="B42" s="2" t="s">
        <v>184</v>
      </c>
      <c r="C42" s="18">
        <f t="shared" ref="C42:P42" si="9">C40+C41</f>
        <v>-809</v>
      </c>
      <c r="D42" s="18">
        <f t="shared" si="9"/>
        <v>-325</v>
      </c>
      <c r="E42" s="18">
        <f t="shared" si="9"/>
        <v>-236</v>
      </c>
      <c r="F42" s="18">
        <f t="shared" si="9"/>
        <v>-226</v>
      </c>
      <c r="G42" s="18">
        <f t="shared" si="9"/>
        <v>-276</v>
      </c>
      <c r="H42" s="18">
        <f t="shared" si="9"/>
        <v>-197</v>
      </c>
      <c r="I42" s="18">
        <f t="shared" si="9"/>
        <v>-150</v>
      </c>
      <c r="J42" s="18">
        <f t="shared" si="9"/>
        <v>-137</v>
      </c>
      <c r="K42" s="18">
        <f t="shared" si="9"/>
        <v>-104</v>
      </c>
      <c r="L42" s="18">
        <f t="shared" si="9"/>
        <v>-101</v>
      </c>
      <c r="M42" s="18">
        <f t="shared" si="9"/>
        <v>-103</v>
      </c>
      <c r="N42" s="18">
        <f t="shared" si="9"/>
        <v>-150</v>
      </c>
      <c r="O42" s="18">
        <f t="shared" si="9"/>
        <v>-115</v>
      </c>
      <c r="P42" s="18">
        <f t="shared" si="9"/>
        <v>-125</v>
      </c>
    </row>
    <row r="43" spans="1:23" x14ac:dyDescent="0.2">
      <c r="B43" s="16" t="s">
        <v>183</v>
      </c>
      <c r="C43" s="70">
        <f t="shared" ref="C43:J43" si="10">-0.22*C42</f>
        <v>177.98</v>
      </c>
      <c r="D43" s="70">
        <f t="shared" si="10"/>
        <v>71.5</v>
      </c>
      <c r="E43" s="70">
        <f t="shared" si="10"/>
        <v>51.92</v>
      </c>
      <c r="F43" s="70">
        <f t="shared" si="10"/>
        <v>49.72</v>
      </c>
      <c r="G43" s="70">
        <f t="shared" si="10"/>
        <v>60.72</v>
      </c>
      <c r="H43" s="70">
        <f t="shared" si="10"/>
        <v>43.34</v>
      </c>
      <c r="I43" s="70">
        <f t="shared" si="10"/>
        <v>33</v>
      </c>
      <c r="J43" s="70">
        <f t="shared" si="10"/>
        <v>30.14</v>
      </c>
      <c r="K43" s="70">
        <f>-0.235*K42</f>
        <v>24.439999999999998</v>
      </c>
      <c r="L43" s="70">
        <f>-0.245*L42</f>
        <v>24.745000000000001</v>
      </c>
      <c r="M43" s="70">
        <f>-0.25*M42</f>
        <v>25.75</v>
      </c>
      <c r="N43" s="70">
        <f>-0.25*N42</f>
        <v>37.5</v>
      </c>
      <c r="O43" s="70">
        <f>-0.25*O42</f>
        <v>28.75</v>
      </c>
      <c r="P43" s="70">
        <f>-0.25*P42</f>
        <v>31.25</v>
      </c>
    </row>
    <row r="44" spans="1:23" x14ac:dyDescent="0.2">
      <c r="B44" s="16" t="s">
        <v>182</v>
      </c>
      <c r="C44" s="26">
        <v>-757</v>
      </c>
      <c r="D44" s="26">
        <v>-192</v>
      </c>
      <c r="E44" s="26">
        <v>-183</v>
      </c>
      <c r="F44" s="25"/>
      <c r="G44" s="25"/>
      <c r="H44" s="73"/>
      <c r="I44" s="25"/>
      <c r="J44" s="25"/>
      <c r="K44" s="25"/>
      <c r="L44" s="25"/>
      <c r="M44" s="73"/>
      <c r="N44" s="25"/>
      <c r="O44" s="25"/>
      <c r="P44" s="25"/>
    </row>
    <row r="45" spans="1:23" x14ac:dyDescent="0.2">
      <c r="B45" s="16" t="s">
        <v>181</v>
      </c>
      <c r="C45" s="68"/>
      <c r="D45" s="16"/>
      <c r="E45" s="16"/>
      <c r="F45" s="16"/>
      <c r="G45" s="16"/>
      <c r="H45" s="70"/>
      <c r="I45" s="70"/>
      <c r="J45" s="70"/>
      <c r="K45" s="70">
        <v>1</v>
      </c>
      <c r="L45" s="70">
        <v>1</v>
      </c>
      <c r="M45" s="70">
        <v>8</v>
      </c>
      <c r="N45" s="70">
        <v>21</v>
      </c>
      <c r="O45" s="70">
        <v>17</v>
      </c>
      <c r="P45" s="70"/>
    </row>
    <row r="46" spans="1:23" x14ac:dyDescent="0.2">
      <c r="B46" s="3" t="s">
        <v>180</v>
      </c>
      <c r="C46" s="32">
        <f t="shared" ref="C46:P46" si="11">SUM(C42:C45)</f>
        <v>-1388.02</v>
      </c>
      <c r="D46" s="72">
        <f t="shared" si="11"/>
        <v>-445.5</v>
      </c>
      <c r="E46" s="72">
        <f t="shared" si="11"/>
        <v>-367.08</v>
      </c>
      <c r="F46" s="72">
        <f t="shared" si="11"/>
        <v>-176.28</v>
      </c>
      <c r="G46" s="72">
        <f t="shared" si="11"/>
        <v>-215.28</v>
      </c>
      <c r="H46" s="72">
        <f t="shared" si="11"/>
        <v>-153.66</v>
      </c>
      <c r="I46" s="72">
        <f t="shared" si="11"/>
        <v>-117</v>
      </c>
      <c r="J46" s="72">
        <f t="shared" si="11"/>
        <v>-106.86</v>
      </c>
      <c r="K46" s="72">
        <f t="shared" si="11"/>
        <v>-78.56</v>
      </c>
      <c r="L46" s="72">
        <f t="shared" si="11"/>
        <v>-75.254999999999995</v>
      </c>
      <c r="M46" s="72">
        <f t="shared" si="11"/>
        <v>-69.25</v>
      </c>
      <c r="N46" s="72">
        <f t="shared" si="11"/>
        <v>-91.5</v>
      </c>
      <c r="O46" s="72">
        <f t="shared" si="11"/>
        <v>-69.25</v>
      </c>
      <c r="P46" s="72">
        <f t="shared" si="11"/>
        <v>-93.75</v>
      </c>
    </row>
    <row r="47" spans="1:23" x14ac:dyDescent="0.2">
      <c r="B47" s="3"/>
      <c r="C47" s="72"/>
      <c r="D47" s="72"/>
      <c r="E47" s="72"/>
      <c r="F47" s="72"/>
      <c r="G47" s="72"/>
      <c r="H47" s="72"/>
      <c r="I47" s="72"/>
      <c r="J47" s="72"/>
      <c r="K47" s="72"/>
      <c r="L47" s="72"/>
      <c r="M47" s="72"/>
      <c r="N47" s="72"/>
      <c r="O47" s="72"/>
      <c r="P47" s="72"/>
    </row>
    <row r="48" spans="1:23" x14ac:dyDescent="0.2">
      <c r="B48" s="3" t="s">
        <v>179</v>
      </c>
      <c r="C48" s="25">
        <f t="shared" ref="C48:P48" si="12">C38+C46</f>
        <v>1620.88</v>
      </c>
      <c r="D48" s="25">
        <f t="shared" si="12"/>
        <v>2431.6</v>
      </c>
      <c r="E48" s="25">
        <f t="shared" si="12"/>
        <v>2898.66</v>
      </c>
      <c r="F48" s="25">
        <f t="shared" si="12"/>
        <v>772.68000000000006</v>
      </c>
      <c r="G48" s="25">
        <f t="shared" si="12"/>
        <v>1536.8</v>
      </c>
      <c r="H48" s="25">
        <f t="shared" si="12"/>
        <v>1381.26</v>
      </c>
      <c r="I48" s="25">
        <f t="shared" si="12"/>
        <v>1502.18</v>
      </c>
      <c r="J48" s="25">
        <f t="shared" si="12"/>
        <v>1517.98</v>
      </c>
      <c r="K48" s="25">
        <f t="shared" si="12"/>
        <v>1537.8050000000001</v>
      </c>
      <c r="L48" s="25">
        <f t="shared" si="12"/>
        <v>1418.17</v>
      </c>
      <c r="M48" s="25">
        <f t="shared" si="12"/>
        <v>1096</v>
      </c>
      <c r="N48" s="25">
        <f t="shared" si="12"/>
        <v>1252</v>
      </c>
      <c r="O48" s="25">
        <f t="shared" si="12"/>
        <v>1161</v>
      </c>
      <c r="P48" s="25">
        <f t="shared" si="12"/>
        <v>1143</v>
      </c>
    </row>
    <row r="49" spans="2:16" x14ac:dyDescent="0.2">
      <c r="B49" s="2" t="s">
        <v>46</v>
      </c>
      <c r="C49" s="70">
        <v>-3</v>
      </c>
      <c r="D49" s="70">
        <v>-2</v>
      </c>
      <c r="E49" s="70">
        <v>-15</v>
      </c>
      <c r="F49" s="70">
        <v>-13</v>
      </c>
      <c r="G49" s="70">
        <v>-5</v>
      </c>
      <c r="H49" s="70">
        <v>-7</v>
      </c>
      <c r="I49" s="70">
        <v>-5</v>
      </c>
      <c r="J49" s="70">
        <v>-5</v>
      </c>
      <c r="K49" s="70">
        <v>-3</v>
      </c>
      <c r="L49" s="70">
        <v>-1</v>
      </c>
      <c r="M49" s="70">
        <v>-1</v>
      </c>
      <c r="N49" s="70">
        <v>2</v>
      </c>
      <c r="O49" s="70">
        <v>-4</v>
      </c>
      <c r="P49" s="70"/>
    </row>
    <row r="50" spans="2:16" x14ac:dyDescent="0.2">
      <c r="B50" s="3" t="s">
        <v>178</v>
      </c>
      <c r="C50" s="71">
        <f t="shared" ref="C50:P50" si="13">C48+C49</f>
        <v>1617.88</v>
      </c>
      <c r="D50" s="71">
        <f t="shared" si="13"/>
        <v>2429.6</v>
      </c>
      <c r="E50" s="71">
        <f t="shared" si="13"/>
        <v>2883.66</v>
      </c>
      <c r="F50" s="71">
        <f t="shared" si="13"/>
        <v>759.68000000000006</v>
      </c>
      <c r="G50" s="71">
        <f t="shared" si="13"/>
        <v>1531.8</v>
      </c>
      <c r="H50" s="71">
        <f t="shared" si="13"/>
        <v>1374.26</v>
      </c>
      <c r="I50" s="71">
        <f t="shared" si="13"/>
        <v>1497.18</v>
      </c>
      <c r="J50" s="71">
        <f t="shared" si="13"/>
        <v>1512.98</v>
      </c>
      <c r="K50" s="71">
        <f t="shared" si="13"/>
        <v>1534.8050000000001</v>
      </c>
      <c r="L50" s="71">
        <f t="shared" si="13"/>
        <v>1417.17</v>
      </c>
      <c r="M50" s="71">
        <f t="shared" si="13"/>
        <v>1095</v>
      </c>
      <c r="N50" s="71">
        <f t="shared" si="13"/>
        <v>1254</v>
      </c>
      <c r="O50" s="71">
        <f t="shared" si="13"/>
        <v>1157</v>
      </c>
      <c r="P50" s="71">
        <f t="shared" si="13"/>
        <v>1143</v>
      </c>
    </row>
    <row r="51" spans="2:16" x14ac:dyDescent="0.2">
      <c r="C51" s="2" t="s">
        <v>177</v>
      </c>
      <c r="D51" s="2" t="s">
        <v>177</v>
      </c>
      <c r="E51" s="2" t="s">
        <v>177</v>
      </c>
      <c r="F51" s="2" t="s">
        <v>177</v>
      </c>
      <c r="G51" s="2" t="s">
        <v>177</v>
      </c>
      <c r="H51" s="2" t="s">
        <v>177</v>
      </c>
      <c r="I51" s="2" t="s">
        <v>177</v>
      </c>
      <c r="J51" s="2" t="s">
        <v>177</v>
      </c>
      <c r="K51" s="70" t="s">
        <v>177</v>
      </c>
      <c r="L51" s="70" t="s">
        <v>177</v>
      </c>
      <c r="M51" s="70" t="s">
        <v>177</v>
      </c>
      <c r="N51" s="70" t="s">
        <v>177</v>
      </c>
      <c r="O51" s="70" t="s">
        <v>177</v>
      </c>
      <c r="P51" s="70" t="s">
        <v>177</v>
      </c>
    </row>
    <row r="52" spans="2:16" x14ac:dyDescent="0.2">
      <c r="K52" s="70"/>
      <c r="L52" s="70"/>
      <c r="M52" s="70"/>
      <c r="N52" s="70"/>
      <c r="O52" s="70"/>
      <c r="P52" s="70"/>
    </row>
    <row r="53" spans="2:16" ht="16" x14ac:dyDescent="0.2">
      <c r="B53" s="2" t="s">
        <v>176</v>
      </c>
    </row>
    <row r="54" spans="2:16" x14ac:dyDescent="0.2">
      <c r="B54" s="2" t="s">
        <v>175</v>
      </c>
    </row>
    <row r="56" spans="2:16" ht="16" x14ac:dyDescent="0.2">
      <c r="B56" s="30" t="s">
        <v>174</v>
      </c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</row>
    <row r="57" spans="2:16" x14ac:dyDescent="0.2">
      <c r="B57" s="2" t="s">
        <v>173</v>
      </c>
    </row>
  </sheetData>
  <dataValidations count="1">
    <dataValidation type="decimal" operator="greaterThanOrEqual" allowBlank="1" showInputMessage="1" showErrorMessage="1" sqref="N26:P26 N41:P41 N53:P53" xr:uid="{00000000-0002-0000-0600-000000000000}">
      <formula1>-999999999999999</formula1>
    </dataValidation>
  </dataValidations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6F979-F930-49C2-8C8D-8BDB8372B0BF}">
  <dimension ref="A2:T50"/>
  <sheetViews>
    <sheetView workbookViewId="0">
      <selection activeCell="A28" sqref="A27:A28"/>
    </sheetView>
  </sheetViews>
  <sheetFormatPr baseColWidth="10" defaultColWidth="8.83203125" defaultRowHeight="15" x14ac:dyDescent="0.2"/>
  <cols>
    <col min="1" max="2" width="58.6640625" bestFit="1" customWidth="1"/>
    <col min="6" max="6" width="50" bestFit="1" customWidth="1"/>
    <col min="7" max="18" width="7.1640625" bestFit="1" customWidth="1"/>
    <col min="19" max="19" width="6.5" bestFit="1" customWidth="1"/>
    <col min="20" max="20" width="7.1640625" bestFit="1" customWidth="1"/>
  </cols>
  <sheetData>
    <row r="2" spans="1:20" ht="16" x14ac:dyDescent="0.2">
      <c r="F2" s="1" t="s">
        <v>47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2"/>
      <c r="S2" s="2"/>
      <c r="T2" s="2"/>
    </row>
    <row r="3" spans="1:20" x14ac:dyDescent="0.2"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  <row r="4" spans="1:20" x14ac:dyDescent="0.2">
      <c r="F4" s="6" t="s">
        <v>23</v>
      </c>
      <c r="G4" s="44">
        <v>2023</v>
      </c>
      <c r="H4" s="44">
        <v>2022</v>
      </c>
      <c r="I4" s="44">
        <v>2021</v>
      </c>
      <c r="J4" s="44">
        <v>2020</v>
      </c>
      <c r="K4" s="44">
        <v>2019</v>
      </c>
      <c r="L4" s="44">
        <v>2018</v>
      </c>
      <c r="M4" s="44">
        <v>2017</v>
      </c>
      <c r="N4" s="44">
        <v>2016</v>
      </c>
      <c r="O4" s="44">
        <v>2015</v>
      </c>
      <c r="P4" s="44">
        <v>2014</v>
      </c>
      <c r="Q4" s="44">
        <v>2013</v>
      </c>
      <c r="R4" s="44">
        <v>2012</v>
      </c>
      <c r="S4" s="44">
        <v>2011</v>
      </c>
      <c r="T4" s="44">
        <v>2010</v>
      </c>
    </row>
    <row r="5" spans="1:20" x14ac:dyDescent="0.2">
      <c r="F5" t="s">
        <v>44</v>
      </c>
      <c r="G5" s="21">
        <v>4148</v>
      </c>
      <c r="H5" s="21">
        <v>3207</v>
      </c>
      <c r="I5" s="21">
        <v>3663</v>
      </c>
      <c r="J5" s="21">
        <v>1530</v>
      </c>
      <c r="K5" s="21">
        <v>2151</v>
      </c>
      <c r="L5" s="21">
        <v>2532</v>
      </c>
      <c r="M5" s="21">
        <v>2338</v>
      </c>
      <c r="N5" s="21">
        <v>1942</v>
      </c>
      <c r="O5" s="21">
        <v>1878</v>
      </c>
      <c r="P5" s="21">
        <v>1761</v>
      </c>
      <c r="Q5" s="34">
        <v>1736</v>
      </c>
      <c r="R5" s="21">
        <v>1653</v>
      </c>
      <c r="S5" s="21">
        <v>1709</v>
      </c>
      <c r="T5" s="21">
        <v>1430</v>
      </c>
    </row>
    <row r="6" spans="1:20" x14ac:dyDescent="0.2">
      <c r="F6" t="s">
        <v>48</v>
      </c>
      <c r="G6" s="21">
        <v>1323</v>
      </c>
      <c r="H6" s="21">
        <v>1074</v>
      </c>
      <c r="I6" s="21">
        <v>869</v>
      </c>
      <c r="J6" s="21">
        <v>855</v>
      </c>
      <c r="K6" s="21">
        <v>966</v>
      </c>
      <c r="L6" s="21">
        <v>370</v>
      </c>
      <c r="M6" s="21">
        <v>428</v>
      </c>
      <c r="N6" s="21">
        <v>374</v>
      </c>
      <c r="O6" s="21">
        <v>326</v>
      </c>
      <c r="P6" s="21">
        <v>295</v>
      </c>
      <c r="Q6" s="34">
        <v>212</v>
      </c>
      <c r="R6" s="21">
        <v>237</v>
      </c>
      <c r="S6" s="21">
        <v>253</v>
      </c>
      <c r="T6" s="21">
        <v>181</v>
      </c>
    </row>
    <row r="7" spans="1:20" x14ac:dyDescent="0.2">
      <c r="B7" s="95"/>
      <c r="C7" s="86">
        <v>2023</v>
      </c>
      <c r="F7" t="s">
        <v>49</v>
      </c>
      <c r="G7" s="21">
        <v>-85</v>
      </c>
      <c r="H7" s="21">
        <v>-491</v>
      </c>
      <c r="I7" s="21">
        <v>-474</v>
      </c>
      <c r="J7" s="21">
        <v>266</v>
      </c>
      <c r="K7" s="21">
        <v>-527</v>
      </c>
      <c r="L7" s="21">
        <v>-264</v>
      </c>
      <c r="M7" s="21">
        <v>-386</v>
      </c>
      <c r="N7" s="21">
        <v>-293</v>
      </c>
      <c r="O7" s="21">
        <v>-220</v>
      </c>
      <c r="P7" s="21">
        <v>-134</v>
      </c>
      <c r="Q7" s="34">
        <v>-66</v>
      </c>
      <c r="R7" s="21">
        <v>-31</v>
      </c>
      <c r="S7" s="21">
        <v>-112</v>
      </c>
      <c r="T7" s="21">
        <v>-289</v>
      </c>
    </row>
    <row r="8" spans="1:20" x14ac:dyDescent="0.2">
      <c r="B8" s="83" t="s">
        <v>218</v>
      </c>
      <c r="F8" t="s">
        <v>50</v>
      </c>
      <c r="G8" s="21">
        <v>4</v>
      </c>
      <c r="H8" s="21">
        <v>-532</v>
      </c>
      <c r="I8" s="21">
        <v>-335</v>
      </c>
      <c r="J8" s="21">
        <v>-73</v>
      </c>
      <c r="K8" s="21">
        <v>-218</v>
      </c>
      <c r="L8" s="21">
        <v>-294</v>
      </c>
      <c r="M8" s="21">
        <v>-89</v>
      </c>
      <c r="N8" s="21">
        <v>40</v>
      </c>
      <c r="O8" s="21">
        <v>-96</v>
      </c>
      <c r="P8" s="21">
        <v>-60</v>
      </c>
      <c r="Q8" s="34">
        <v>-90</v>
      </c>
      <c r="R8" s="21">
        <v>89</v>
      </c>
      <c r="S8" s="21">
        <v>-71</v>
      </c>
      <c r="T8" s="21">
        <v>-111</v>
      </c>
    </row>
    <row r="9" spans="1:20" x14ac:dyDescent="0.2">
      <c r="B9" s="84"/>
      <c r="F9" t="s">
        <v>51</v>
      </c>
      <c r="G9" s="21">
        <v>36</v>
      </c>
      <c r="H9" s="21">
        <v>10</v>
      </c>
      <c r="I9" s="21">
        <v>365</v>
      </c>
      <c r="J9" s="21">
        <v>236</v>
      </c>
      <c r="K9" s="21">
        <v>174</v>
      </c>
      <c r="L9" s="21">
        <v>-37</v>
      </c>
      <c r="M9" s="21">
        <v>188</v>
      </c>
      <c r="N9" s="21">
        <v>136</v>
      </c>
      <c r="O9" s="21">
        <v>8</v>
      </c>
      <c r="P9" s="21">
        <v>46</v>
      </c>
      <c r="Q9" s="34">
        <v>-99</v>
      </c>
      <c r="R9" s="21">
        <v>-81</v>
      </c>
      <c r="S9" s="21">
        <v>117</v>
      </c>
      <c r="T9" s="21">
        <v>-26</v>
      </c>
    </row>
    <row r="10" spans="1:20" x14ac:dyDescent="0.2">
      <c r="A10" t="s">
        <v>227</v>
      </c>
      <c r="B10" s="84" t="s">
        <v>219</v>
      </c>
      <c r="C10" s="88">
        <f>'WD3 - Reform. Totalindkomst'!C38</f>
        <v>3008.9</v>
      </c>
      <c r="F10" t="s">
        <v>52</v>
      </c>
      <c r="G10" s="37">
        <v>51</v>
      </c>
      <c r="H10" s="37">
        <v>3</v>
      </c>
      <c r="I10" s="37">
        <v>94</v>
      </c>
      <c r="J10" s="37">
        <v>41</v>
      </c>
      <c r="K10" s="37">
        <v>46</v>
      </c>
      <c r="L10" s="37">
        <v>8</v>
      </c>
      <c r="M10" s="37">
        <v>-53</v>
      </c>
      <c r="N10" s="37">
        <v>10</v>
      </c>
      <c r="O10" s="37">
        <v>12</v>
      </c>
      <c r="P10" s="37">
        <v>-20</v>
      </c>
      <c r="Q10" s="38">
        <v>-13</v>
      </c>
      <c r="R10" s="37">
        <v>-84</v>
      </c>
      <c r="S10" s="37">
        <v>-2</v>
      </c>
      <c r="T10" s="37">
        <v>-3</v>
      </c>
    </row>
    <row r="11" spans="1:20" x14ac:dyDescent="0.2">
      <c r="A11" t="s">
        <v>228</v>
      </c>
      <c r="B11" s="84" t="s">
        <v>220</v>
      </c>
      <c r="C11">
        <f>'WD 2 - Reform. Balance'!C48-'WD 2 - Reform. Balance'!D48</f>
        <v>741</v>
      </c>
      <c r="F11" s="41" t="s">
        <v>103</v>
      </c>
      <c r="G11" s="42">
        <v>85</v>
      </c>
      <c r="H11" s="42">
        <v>164</v>
      </c>
      <c r="I11" s="42">
        <v>106</v>
      </c>
      <c r="J11" s="42">
        <v>41</v>
      </c>
      <c r="K11" s="42">
        <v>183</v>
      </c>
      <c r="L11" s="42">
        <v>87</v>
      </c>
      <c r="M11" s="42">
        <v>54</v>
      </c>
      <c r="N11" s="42">
        <v>9</v>
      </c>
      <c r="O11" s="42">
        <v>79</v>
      </c>
      <c r="P11" s="42">
        <v>31</v>
      </c>
      <c r="Q11" s="42">
        <v>50</v>
      </c>
      <c r="R11" s="43"/>
      <c r="S11" s="43"/>
      <c r="T11" s="43"/>
    </row>
    <row r="12" spans="1:20" x14ac:dyDescent="0.2">
      <c r="B12" s="84" t="s">
        <v>221</v>
      </c>
      <c r="C12" s="88">
        <f>C10-C11</f>
        <v>2267.9</v>
      </c>
      <c r="F12" s="19" t="s">
        <v>53</v>
      </c>
      <c r="G12" s="22">
        <f>SUM(G5:G11)</f>
        <v>5562</v>
      </c>
      <c r="H12" s="22">
        <f>SUM(H5:H11)</f>
        <v>3435</v>
      </c>
      <c r="I12" s="22">
        <f>SUM(I5:I11)</f>
        <v>4288</v>
      </c>
      <c r="J12" s="22">
        <f t="shared" ref="J12:T12" si="0">SUM(J5:J11)</f>
        <v>2896</v>
      </c>
      <c r="K12" s="22">
        <f t="shared" si="0"/>
        <v>2775</v>
      </c>
      <c r="L12" s="22">
        <f t="shared" si="0"/>
        <v>2402</v>
      </c>
      <c r="M12" s="22">
        <f t="shared" si="0"/>
        <v>2480</v>
      </c>
      <c r="N12" s="22">
        <f t="shared" si="0"/>
        <v>2218</v>
      </c>
      <c r="O12" s="22">
        <f t="shared" si="0"/>
        <v>1987</v>
      </c>
      <c r="P12" s="22">
        <f t="shared" si="0"/>
        <v>1919</v>
      </c>
      <c r="Q12" s="22">
        <f t="shared" si="0"/>
        <v>1730</v>
      </c>
      <c r="R12" s="22">
        <f t="shared" si="0"/>
        <v>1783</v>
      </c>
      <c r="S12" s="22">
        <f t="shared" si="0"/>
        <v>1894</v>
      </c>
      <c r="T12" s="22">
        <f t="shared" si="0"/>
        <v>1182</v>
      </c>
    </row>
    <row r="13" spans="1:20" x14ac:dyDescent="0.2">
      <c r="B13" s="84"/>
      <c r="F13" t="s">
        <v>54</v>
      </c>
      <c r="G13" s="50">
        <v>85</v>
      </c>
      <c r="H13" s="50">
        <v>63</v>
      </c>
      <c r="I13" s="50">
        <v>27</v>
      </c>
      <c r="J13" s="50">
        <v>20</v>
      </c>
      <c r="K13" s="50">
        <v>25</v>
      </c>
      <c r="L13" s="21">
        <v>28</v>
      </c>
      <c r="M13" s="21">
        <v>39</v>
      </c>
      <c r="N13" s="21">
        <v>31</v>
      </c>
      <c r="O13" s="21">
        <v>44</v>
      </c>
      <c r="P13" s="21">
        <v>33</v>
      </c>
      <c r="Q13" s="34">
        <v>32</v>
      </c>
      <c r="R13" s="21">
        <v>38</v>
      </c>
      <c r="S13" s="21">
        <v>35</v>
      </c>
      <c r="T13" s="21">
        <v>29</v>
      </c>
    </row>
    <row r="14" spans="1:20" x14ac:dyDescent="0.2">
      <c r="B14" s="83" t="s">
        <v>222</v>
      </c>
      <c r="F14" t="s">
        <v>55</v>
      </c>
      <c r="G14" s="50">
        <v>-706</v>
      </c>
      <c r="H14" s="50">
        <v>-359</v>
      </c>
      <c r="I14" s="50">
        <v>-245</v>
      </c>
      <c r="J14" s="50">
        <v>-232</v>
      </c>
      <c r="K14" s="50">
        <v>-280</v>
      </c>
      <c r="L14" s="21">
        <v>-200</v>
      </c>
      <c r="M14" s="21">
        <v>-157</v>
      </c>
      <c r="N14" s="21">
        <v>-137</v>
      </c>
      <c r="O14" s="21">
        <v>-113</v>
      </c>
      <c r="P14" s="21">
        <v>-105</v>
      </c>
      <c r="Q14" s="34">
        <v>-114</v>
      </c>
      <c r="R14" s="21">
        <v>-171</v>
      </c>
      <c r="S14" s="21">
        <v>-123</v>
      </c>
      <c r="T14" s="21">
        <v>-129</v>
      </c>
    </row>
    <row r="15" spans="1:20" x14ac:dyDescent="0.2">
      <c r="B15" s="84"/>
      <c r="F15" t="s">
        <v>56</v>
      </c>
      <c r="G15" s="50"/>
      <c r="H15" s="50"/>
      <c r="I15" s="50"/>
      <c r="J15" s="50">
        <v>-2</v>
      </c>
      <c r="K15" s="50">
        <v>1</v>
      </c>
      <c r="L15" s="21">
        <v>-1</v>
      </c>
      <c r="M15" s="21">
        <v>-2</v>
      </c>
      <c r="N15" s="21">
        <v>-7</v>
      </c>
      <c r="O15" s="21">
        <v>-1</v>
      </c>
      <c r="P15" s="21">
        <v>-1</v>
      </c>
      <c r="Q15" s="34">
        <v>0</v>
      </c>
      <c r="R15" s="21">
        <v>2</v>
      </c>
      <c r="S15" s="21">
        <v>-2</v>
      </c>
      <c r="T15" s="21">
        <v>17</v>
      </c>
    </row>
    <row r="16" spans="1:20" x14ac:dyDescent="0.2">
      <c r="A16" t="s">
        <v>227</v>
      </c>
      <c r="B16" s="84" t="s">
        <v>223</v>
      </c>
      <c r="C16">
        <f>'WD3 - Reform. Totalindkomst'!C46*-1</f>
        <v>1388.02</v>
      </c>
      <c r="F16" t="s">
        <v>57</v>
      </c>
      <c r="G16" s="50">
        <v>-606</v>
      </c>
      <c r="H16" s="50">
        <v>-517</v>
      </c>
      <c r="I16" s="50">
        <v>-477</v>
      </c>
      <c r="J16" s="50">
        <v>-61</v>
      </c>
      <c r="K16" s="50">
        <v>-372</v>
      </c>
      <c r="L16" s="21">
        <v>-546</v>
      </c>
      <c r="M16" s="21">
        <v>-488</v>
      </c>
      <c r="N16" s="21">
        <v>-426</v>
      </c>
      <c r="O16" s="21">
        <v>-325</v>
      </c>
      <c r="P16" s="21">
        <v>-351</v>
      </c>
      <c r="Q16" s="34">
        <v>-366</v>
      </c>
      <c r="R16" s="21">
        <v>-380</v>
      </c>
      <c r="S16" s="21">
        <v>-423</v>
      </c>
      <c r="T16" s="21">
        <v>-273</v>
      </c>
    </row>
    <row r="17" spans="1:20" x14ac:dyDescent="0.2">
      <c r="A17" t="s">
        <v>229</v>
      </c>
      <c r="B17" s="84" t="s">
        <v>224</v>
      </c>
      <c r="C17">
        <f>'WD 2 - Reform. Balance'!C59-'WD 2 - Reform. Balance'!D59</f>
        <v>-35</v>
      </c>
      <c r="F17" s="20" t="s">
        <v>58</v>
      </c>
      <c r="G17" s="51">
        <f>SUM(G12:G16)</f>
        <v>4335</v>
      </c>
      <c r="H17" s="51">
        <f>SUM(H12:H16)</f>
        <v>2622</v>
      </c>
      <c r="I17" s="51">
        <f t="shared" ref="I17:T17" si="1">SUM(I12:I16)</f>
        <v>3593</v>
      </c>
      <c r="J17" s="51">
        <f t="shared" si="1"/>
        <v>2621</v>
      </c>
      <c r="K17" s="51">
        <f t="shared" si="1"/>
        <v>2149</v>
      </c>
      <c r="L17" s="23">
        <f t="shared" si="1"/>
        <v>1683</v>
      </c>
      <c r="M17" s="23">
        <f t="shared" si="1"/>
        <v>1872</v>
      </c>
      <c r="N17" s="23">
        <f t="shared" si="1"/>
        <v>1679</v>
      </c>
      <c r="O17" s="23">
        <f t="shared" si="1"/>
        <v>1592</v>
      </c>
      <c r="P17" s="23">
        <f t="shared" si="1"/>
        <v>1495</v>
      </c>
      <c r="Q17" s="36">
        <f t="shared" si="1"/>
        <v>1282</v>
      </c>
      <c r="R17" s="23">
        <f t="shared" si="1"/>
        <v>1272</v>
      </c>
      <c r="S17" s="23">
        <f t="shared" si="1"/>
        <v>1381</v>
      </c>
      <c r="T17" s="23">
        <f t="shared" si="1"/>
        <v>826</v>
      </c>
    </row>
    <row r="18" spans="1:20" x14ac:dyDescent="0.2">
      <c r="A18" t="s">
        <v>231</v>
      </c>
      <c r="B18" s="85" t="s">
        <v>230</v>
      </c>
      <c r="C18">
        <f>'WD 1 - Reform. Egenkapital'!Q17*-1</f>
        <v>923</v>
      </c>
      <c r="F18" t="s">
        <v>59</v>
      </c>
      <c r="G18" s="50">
        <v>-935</v>
      </c>
      <c r="H18" s="50">
        <v>-2323</v>
      </c>
      <c r="I18" s="50">
        <v>-708</v>
      </c>
      <c r="J18" s="50">
        <v>-394</v>
      </c>
      <c r="K18" s="50">
        <v>-603</v>
      </c>
      <c r="L18" s="34">
        <v>-940</v>
      </c>
      <c r="M18" s="34">
        <v>-656</v>
      </c>
      <c r="N18" s="34">
        <v>-363</v>
      </c>
      <c r="O18" s="34">
        <v>-1633</v>
      </c>
      <c r="P18" s="34">
        <v>-231</v>
      </c>
      <c r="Q18" s="34">
        <v>-1176</v>
      </c>
      <c r="R18" s="21">
        <v>-682</v>
      </c>
      <c r="S18" s="21">
        <v>-330</v>
      </c>
      <c r="T18" s="21">
        <v>-806</v>
      </c>
    </row>
    <row r="19" spans="1:20" x14ac:dyDescent="0.2">
      <c r="A19" t="s">
        <v>227</v>
      </c>
      <c r="B19" s="84" t="s">
        <v>225</v>
      </c>
      <c r="C19" s="87">
        <f>'WD3 - Reform. Totalindkomst'!C49*-1</f>
        <v>3</v>
      </c>
      <c r="F19" t="s">
        <v>60</v>
      </c>
      <c r="G19" s="50"/>
      <c r="H19" s="50"/>
      <c r="I19" s="50">
        <v>161</v>
      </c>
      <c r="L19" s="21"/>
      <c r="M19" s="21"/>
      <c r="N19" s="21">
        <v>27</v>
      </c>
      <c r="O19" s="21"/>
      <c r="P19" s="21"/>
      <c r="Q19" s="34">
        <v>4</v>
      </c>
      <c r="R19" s="21"/>
      <c r="S19" s="21">
        <v>5</v>
      </c>
      <c r="T19" s="21"/>
    </row>
    <row r="20" spans="1:20" x14ac:dyDescent="0.2">
      <c r="A20" t="s">
        <v>229</v>
      </c>
      <c r="B20" s="84" t="s">
        <v>226</v>
      </c>
      <c r="C20">
        <f>'WD 2 - Reform. Balance'!C64-'WD 2 - Reform. Balance'!D64</f>
        <v>81</v>
      </c>
      <c r="F20" t="s">
        <v>61</v>
      </c>
      <c r="G20" s="50">
        <v>-192</v>
      </c>
      <c r="H20" s="50">
        <v>-277</v>
      </c>
      <c r="I20" s="50">
        <v>-164</v>
      </c>
      <c r="J20" s="50">
        <v>-174</v>
      </c>
      <c r="K20" s="50">
        <v>-195</v>
      </c>
      <c r="L20" s="21">
        <v>-189</v>
      </c>
      <c r="M20" s="21">
        <v>-126</v>
      </c>
      <c r="N20" s="21">
        <v>-152</v>
      </c>
      <c r="O20" s="21">
        <v>-48</v>
      </c>
      <c r="P20" s="21">
        <v>-69</v>
      </c>
      <c r="Q20" s="34"/>
      <c r="R20" s="21">
        <v>-14</v>
      </c>
      <c r="S20" s="21">
        <v>-2</v>
      </c>
      <c r="T20" s="21">
        <v>-11</v>
      </c>
    </row>
    <row r="21" spans="1:20" x14ac:dyDescent="0.2">
      <c r="B21" s="84" t="s">
        <v>221</v>
      </c>
      <c r="C21" s="88">
        <f>C16-C17+C18+C19-C20</f>
        <v>2268.02</v>
      </c>
      <c r="F21" t="s">
        <v>62</v>
      </c>
      <c r="G21" s="50">
        <v>-654</v>
      </c>
      <c r="H21" s="50">
        <v>-647</v>
      </c>
      <c r="I21" s="50">
        <v>-562</v>
      </c>
      <c r="J21" s="50">
        <v>-507</v>
      </c>
      <c r="K21" s="50">
        <v>-571</v>
      </c>
      <c r="L21" s="21">
        <v>-429</v>
      </c>
      <c r="M21" s="21">
        <v>-312</v>
      </c>
      <c r="N21" s="21">
        <v>-319</v>
      </c>
      <c r="O21" s="21">
        <v>-393</v>
      </c>
      <c r="P21" s="21">
        <v>-383</v>
      </c>
      <c r="Q21" s="34">
        <v>-404</v>
      </c>
      <c r="R21" s="21">
        <v>-329</v>
      </c>
      <c r="S21" s="21">
        <v>-407</v>
      </c>
      <c r="T21" s="21">
        <v>-264</v>
      </c>
    </row>
    <row r="22" spans="1:20" x14ac:dyDescent="0.2">
      <c r="F22" t="s">
        <v>63</v>
      </c>
      <c r="G22" s="50">
        <v>21</v>
      </c>
      <c r="H22" s="50">
        <v>16</v>
      </c>
      <c r="I22" s="50">
        <v>15</v>
      </c>
      <c r="J22" s="50">
        <v>14</v>
      </c>
      <c r="K22" s="50">
        <v>10</v>
      </c>
      <c r="L22" s="21">
        <v>20</v>
      </c>
      <c r="M22" s="21">
        <v>20</v>
      </c>
      <c r="N22" s="21">
        <v>20</v>
      </c>
      <c r="O22" s="21">
        <v>18</v>
      </c>
      <c r="P22" s="21">
        <v>29</v>
      </c>
      <c r="Q22" s="34">
        <v>13</v>
      </c>
      <c r="R22" s="21">
        <v>19</v>
      </c>
      <c r="S22" s="21">
        <v>25</v>
      </c>
      <c r="T22" s="21">
        <v>13</v>
      </c>
    </row>
    <row r="23" spans="1:20" x14ac:dyDescent="0.2">
      <c r="B23" s="96" t="s">
        <v>244</v>
      </c>
      <c r="C23" s="97">
        <v>2023</v>
      </c>
      <c r="F23" t="s">
        <v>64</v>
      </c>
      <c r="G23" s="50">
        <v>-273</v>
      </c>
      <c r="H23" s="50">
        <v>-356</v>
      </c>
      <c r="I23" s="50">
        <v>-434</v>
      </c>
      <c r="J23" s="50">
        <v>-219</v>
      </c>
      <c r="K23" s="50">
        <v>-329</v>
      </c>
      <c r="L23" s="21">
        <v>-397</v>
      </c>
      <c r="M23" s="21">
        <v>-319</v>
      </c>
      <c r="N23" s="21">
        <v>-199</v>
      </c>
      <c r="O23" s="21">
        <v>-230</v>
      </c>
      <c r="P23" s="21">
        <v>-143</v>
      </c>
      <c r="Q23" s="34">
        <v>-189</v>
      </c>
      <c r="R23" s="21">
        <v>-273</v>
      </c>
      <c r="S23" s="21">
        <v>-212</v>
      </c>
      <c r="T23" s="21">
        <v>-162</v>
      </c>
    </row>
    <row r="24" spans="1:20" x14ac:dyDescent="0.2">
      <c r="B24" t="s">
        <v>232</v>
      </c>
      <c r="C24" s="60">
        <f>G17</f>
        <v>4335</v>
      </c>
      <c r="F24" t="s">
        <v>65</v>
      </c>
      <c r="G24" s="50">
        <v>246</v>
      </c>
      <c r="H24" s="50">
        <v>259</v>
      </c>
      <c r="I24" s="50">
        <v>390</v>
      </c>
      <c r="J24" s="50">
        <v>288</v>
      </c>
      <c r="K24" s="50">
        <v>274</v>
      </c>
      <c r="L24" s="21">
        <v>497</v>
      </c>
      <c r="M24" s="21">
        <v>252</v>
      </c>
      <c r="N24" s="21">
        <v>194</v>
      </c>
      <c r="O24" s="21">
        <v>190</v>
      </c>
      <c r="P24" s="21">
        <v>115</v>
      </c>
      <c r="Q24" s="34">
        <v>113</v>
      </c>
      <c r="R24" s="21">
        <v>107</v>
      </c>
      <c r="S24" s="21">
        <v>105</v>
      </c>
      <c r="T24" s="21">
        <v>92</v>
      </c>
    </row>
    <row r="25" spans="1:20" x14ac:dyDescent="0.2">
      <c r="F25" s="20" t="s">
        <v>66</v>
      </c>
      <c r="G25" s="51">
        <f>SUM(G18:G24)</f>
        <v>-1787</v>
      </c>
      <c r="H25" s="51">
        <f>SUM(H18:H24)</f>
        <v>-3328</v>
      </c>
      <c r="I25" s="51">
        <f>SUM(I18:I24)</f>
        <v>-1302</v>
      </c>
      <c r="J25" s="51">
        <f>SUM(J18:J24)</f>
        <v>-992</v>
      </c>
      <c r="K25" s="51">
        <f>SUM(K18:K24)</f>
        <v>-1414</v>
      </c>
      <c r="L25" s="23">
        <f t="shared" ref="L25:T25" si="2">SUM(L18:L24)</f>
        <v>-1438</v>
      </c>
      <c r="M25" s="23">
        <f t="shared" si="2"/>
        <v>-1141</v>
      </c>
      <c r="N25" s="23">
        <f t="shared" si="2"/>
        <v>-792</v>
      </c>
      <c r="O25" s="23">
        <f t="shared" si="2"/>
        <v>-2096</v>
      </c>
      <c r="P25" s="23">
        <f t="shared" si="2"/>
        <v>-682</v>
      </c>
      <c r="Q25" s="36">
        <f t="shared" si="2"/>
        <v>-1639</v>
      </c>
      <c r="R25" s="23">
        <f t="shared" si="2"/>
        <v>-1172</v>
      </c>
      <c r="S25" s="23">
        <f t="shared" si="2"/>
        <v>-816</v>
      </c>
      <c r="T25" s="23">
        <f t="shared" si="2"/>
        <v>-1138</v>
      </c>
    </row>
    <row r="26" spans="1:20" x14ac:dyDescent="0.2">
      <c r="B26" s="89" t="s">
        <v>54</v>
      </c>
      <c r="C26" s="60">
        <f>G13</f>
        <v>85</v>
      </c>
      <c r="F26" t="s">
        <v>67</v>
      </c>
      <c r="G26" s="50">
        <v>-6740</v>
      </c>
      <c r="H26" s="50">
        <v>-2737</v>
      </c>
      <c r="I26" s="50">
        <v>-2409</v>
      </c>
      <c r="J26" s="50">
        <v>-82</v>
      </c>
      <c r="K26" s="50">
        <v>-90</v>
      </c>
      <c r="L26" s="21">
        <v>-320</v>
      </c>
      <c r="M26" s="21">
        <v>-1156</v>
      </c>
      <c r="N26" s="21">
        <v>-350</v>
      </c>
      <c r="O26" s="21">
        <v>-1449</v>
      </c>
      <c r="P26" s="21">
        <v>-2022</v>
      </c>
      <c r="Q26" s="34">
        <v>-510</v>
      </c>
      <c r="R26" s="21">
        <v>-148</v>
      </c>
      <c r="S26" s="21">
        <v>-131</v>
      </c>
      <c r="T26" s="21">
        <v>-554</v>
      </c>
    </row>
    <row r="27" spans="1:20" x14ac:dyDescent="0.2">
      <c r="B27" s="89" t="s">
        <v>55</v>
      </c>
      <c r="C27" s="60">
        <f>G14</f>
        <v>-706</v>
      </c>
      <c r="F27" t="s">
        <v>68</v>
      </c>
      <c r="G27" s="50">
        <v>6034</v>
      </c>
      <c r="H27" s="50">
        <v>8606</v>
      </c>
      <c r="I27" s="50">
        <v>2506</v>
      </c>
      <c r="J27" s="50">
        <v>1446</v>
      </c>
      <c r="K27" s="50">
        <v>1647</v>
      </c>
      <c r="L27" s="21">
        <v>189</v>
      </c>
      <c r="M27" s="21">
        <v>1132</v>
      </c>
      <c r="N27" s="21">
        <v>774</v>
      </c>
      <c r="O27" s="21">
        <v>3103</v>
      </c>
      <c r="P27" s="21">
        <v>1769</v>
      </c>
      <c r="Q27" s="34">
        <v>651</v>
      </c>
      <c r="R27" s="21">
        <v>42</v>
      </c>
      <c r="S27" s="21"/>
      <c r="T27" s="21">
        <v>1050</v>
      </c>
    </row>
    <row r="28" spans="1:20" x14ac:dyDescent="0.2">
      <c r="B28" s="89" t="s">
        <v>233</v>
      </c>
      <c r="C28" s="60">
        <f>C26+C27</f>
        <v>-621</v>
      </c>
      <c r="F28" t="s">
        <v>123</v>
      </c>
      <c r="G28" s="50">
        <v>-188</v>
      </c>
      <c r="H28" s="50">
        <v>-2477</v>
      </c>
      <c r="I28" s="50">
        <v>1889</v>
      </c>
      <c r="J28" s="50">
        <v>-2157</v>
      </c>
      <c r="K28" s="50">
        <v>-352</v>
      </c>
      <c r="L28" s="21">
        <v>1258</v>
      </c>
      <c r="M28" s="21">
        <v>292</v>
      </c>
      <c r="N28" s="21">
        <v>-114</v>
      </c>
      <c r="O28" s="21"/>
      <c r="P28" s="21"/>
      <c r="Q28" s="34"/>
      <c r="R28" s="21"/>
      <c r="S28" s="21"/>
      <c r="T28" s="21"/>
    </row>
    <row r="29" spans="1:20" x14ac:dyDescent="0.2">
      <c r="B29" s="90" t="s">
        <v>234</v>
      </c>
      <c r="C29" s="60">
        <f>(C28*0.22)*-1</f>
        <v>136.62</v>
      </c>
      <c r="F29" t="s">
        <v>120</v>
      </c>
      <c r="G29" s="50">
        <v>-698</v>
      </c>
      <c r="H29" s="50">
        <v>-614</v>
      </c>
      <c r="I29" s="50">
        <v>-530</v>
      </c>
      <c r="J29" s="50">
        <v>-442</v>
      </c>
      <c r="K29" s="50">
        <v>-446</v>
      </c>
      <c r="L29" s="21"/>
      <c r="M29" s="21"/>
      <c r="N29" s="21"/>
      <c r="O29" s="21"/>
      <c r="P29" s="21"/>
      <c r="Q29" s="34"/>
      <c r="R29" s="21"/>
      <c r="S29" s="21"/>
      <c r="T29" s="21"/>
    </row>
    <row r="30" spans="1:20" x14ac:dyDescent="0.2">
      <c r="B30" s="89" t="s">
        <v>235</v>
      </c>
      <c r="C30" s="60">
        <f>C28+C29</f>
        <v>-484.38</v>
      </c>
      <c r="F30" t="s">
        <v>110</v>
      </c>
      <c r="G30" s="50">
        <v>-3</v>
      </c>
      <c r="H30" s="50">
        <v>-4</v>
      </c>
      <c r="I30" s="50">
        <v>-34</v>
      </c>
      <c r="J30" s="50">
        <v>-3</v>
      </c>
      <c r="K30" s="50">
        <v>-5</v>
      </c>
      <c r="L30" s="21">
        <v>-4</v>
      </c>
      <c r="M30" s="21">
        <v>-3</v>
      </c>
      <c r="N30" s="21">
        <v>-3</v>
      </c>
      <c r="O30" s="21"/>
      <c r="P30" s="21"/>
      <c r="Q30" s="34"/>
      <c r="R30" s="21"/>
      <c r="S30" s="21"/>
      <c r="T30" s="21"/>
    </row>
    <row r="31" spans="1:20" x14ac:dyDescent="0.2">
      <c r="B31" s="19" t="s">
        <v>236</v>
      </c>
      <c r="C31" s="52">
        <f>C24-C30</f>
        <v>4819.38</v>
      </c>
      <c r="F31" t="s">
        <v>69</v>
      </c>
      <c r="G31" s="50">
        <v>-846</v>
      </c>
      <c r="H31" s="50">
        <v>-1840</v>
      </c>
      <c r="I31" s="50">
        <v>-3200</v>
      </c>
      <c r="J31" s="50">
        <v>-197</v>
      </c>
      <c r="K31" s="50">
        <v>-946</v>
      </c>
      <c r="L31" s="21">
        <v>-1751</v>
      </c>
      <c r="M31" s="21">
        <v>-1031</v>
      </c>
      <c r="N31" s="21">
        <v>-1050</v>
      </c>
      <c r="O31" s="21">
        <v>-605</v>
      </c>
      <c r="P31" s="21">
        <v>-887</v>
      </c>
      <c r="Q31" s="34">
        <v>-101</v>
      </c>
      <c r="R31" s="21">
        <v>-497</v>
      </c>
      <c r="S31" s="21">
        <v>-301</v>
      </c>
      <c r="T31" s="21"/>
    </row>
    <row r="32" spans="1:20" x14ac:dyDescent="0.2">
      <c r="F32" t="s">
        <v>70</v>
      </c>
      <c r="L32" s="21"/>
      <c r="M32" s="21"/>
      <c r="N32" s="21"/>
      <c r="O32" s="21"/>
      <c r="P32" s="21"/>
      <c r="Q32" s="34">
        <v>0</v>
      </c>
      <c r="R32" s="21">
        <v>3</v>
      </c>
      <c r="S32" s="21">
        <v>-5</v>
      </c>
      <c r="T32" s="21">
        <v>-2</v>
      </c>
    </row>
    <row r="33" spans="2:20" x14ac:dyDescent="0.2">
      <c r="B33" t="s">
        <v>237</v>
      </c>
      <c r="C33" s="60">
        <f>G25</f>
        <v>-1787</v>
      </c>
      <c r="F33" s="20" t="s">
        <v>71</v>
      </c>
      <c r="G33" s="51">
        <f>SUM(G26:G32)</f>
        <v>-2441</v>
      </c>
      <c r="H33" s="51">
        <f>SUM(H26:H32)</f>
        <v>934</v>
      </c>
      <c r="I33" s="51">
        <f>SUM(I26:I32)</f>
        <v>-1778</v>
      </c>
      <c r="J33" s="51">
        <f>SUM(J26:J32)</f>
        <v>-1435</v>
      </c>
      <c r="K33" s="51">
        <f>SUM(K26:K32)</f>
        <v>-192</v>
      </c>
      <c r="L33" s="23">
        <f t="shared" ref="L33:T33" si="3">SUM(L26:L32)</f>
        <v>-628</v>
      </c>
      <c r="M33" s="23">
        <f t="shared" si="3"/>
        <v>-766</v>
      </c>
      <c r="N33" s="23">
        <f t="shared" si="3"/>
        <v>-743</v>
      </c>
      <c r="O33" s="23">
        <f t="shared" si="3"/>
        <v>1049</v>
      </c>
      <c r="P33" s="23">
        <f t="shared" si="3"/>
        <v>-1140</v>
      </c>
      <c r="Q33" s="36">
        <f t="shared" si="3"/>
        <v>40</v>
      </c>
      <c r="R33" s="23">
        <f t="shared" si="3"/>
        <v>-600</v>
      </c>
      <c r="S33" s="23">
        <f t="shared" si="3"/>
        <v>-437</v>
      </c>
      <c r="T33" s="23">
        <f t="shared" si="3"/>
        <v>494</v>
      </c>
    </row>
    <row r="34" spans="2:20" x14ac:dyDescent="0.2">
      <c r="B34" s="69" t="s">
        <v>116</v>
      </c>
      <c r="C34">
        <v>-1055</v>
      </c>
      <c r="D34" s="52">
        <f>C33+C34</f>
        <v>-2842</v>
      </c>
      <c r="I34" s="60"/>
      <c r="L34" s="21"/>
      <c r="M34" s="21"/>
      <c r="N34" s="21"/>
      <c r="O34" s="21"/>
      <c r="P34" s="21"/>
      <c r="Q34" s="34"/>
      <c r="R34" s="21"/>
      <c r="S34" s="21"/>
      <c r="T34" s="21"/>
    </row>
    <row r="35" spans="2:20" x14ac:dyDescent="0.2">
      <c r="B35" s="19" t="s">
        <v>221</v>
      </c>
      <c r="C35" s="52">
        <f>C31+D34</f>
        <v>1977.38</v>
      </c>
      <c r="F35" s="19" t="s">
        <v>128</v>
      </c>
      <c r="G35" s="52">
        <f>G17+G25+G33</f>
        <v>107</v>
      </c>
      <c r="H35" s="52">
        <v>228</v>
      </c>
      <c r="I35" s="52">
        <f>I17+I25+I33</f>
        <v>513</v>
      </c>
      <c r="J35" s="52">
        <f>J17+J25+J33</f>
        <v>194</v>
      </c>
      <c r="K35" s="19">
        <v>543</v>
      </c>
      <c r="L35" s="22">
        <f t="shared" ref="L35:T35" si="4">L17+L25+L33</f>
        <v>-383</v>
      </c>
      <c r="M35" s="22">
        <f t="shared" si="4"/>
        <v>-35</v>
      </c>
      <c r="N35" s="22">
        <f t="shared" si="4"/>
        <v>144</v>
      </c>
      <c r="O35" s="22">
        <f t="shared" si="4"/>
        <v>545</v>
      </c>
      <c r="P35" s="22">
        <f t="shared" si="4"/>
        <v>-327</v>
      </c>
      <c r="Q35" s="35">
        <f t="shared" si="4"/>
        <v>-317</v>
      </c>
      <c r="R35" s="22">
        <f t="shared" si="4"/>
        <v>-500</v>
      </c>
      <c r="S35" s="22">
        <f t="shared" si="4"/>
        <v>128</v>
      </c>
      <c r="T35" s="22">
        <f t="shared" si="4"/>
        <v>182</v>
      </c>
    </row>
    <row r="36" spans="2:20" x14ac:dyDescent="0.2">
      <c r="F36" s="41" t="s">
        <v>129</v>
      </c>
      <c r="G36" s="57">
        <v>-65</v>
      </c>
      <c r="H36" s="57">
        <v>-253</v>
      </c>
      <c r="I36" s="57">
        <v>-314</v>
      </c>
      <c r="J36" s="56"/>
      <c r="K36" s="58"/>
      <c r="L36" s="59"/>
      <c r="M36" s="59"/>
      <c r="N36" s="59"/>
      <c r="O36" s="59"/>
      <c r="P36" s="59"/>
      <c r="Q36" s="43"/>
      <c r="R36" s="59"/>
      <c r="S36" s="59"/>
      <c r="T36" s="59"/>
    </row>
    <row r="37" spans="2:20" x14ac:dyDescent="0.2">
      <c r="B37" s="64" t="s">
        <v>238</v>
      </c>
      <c r="F37" s="19" t="s">
        <v>72</v>
      </c>
      <c r="G37" s="52">
        <f>G35+G36</f>
        <v>42</v>
      </c>
      <c r="H37" s="52">
        <f>H35+H36</f>
        <v>-25</v>
      </c>
      <c r="I37" s="52">
        <f>I35+I36</f>
        <v>199</v>
      </c>
      <c r="J37" s="52">
        <f t="shared" ref="J37:T37" si="5">J35+J36</f>
        <v>194</v>
      </c>
      <c r="K37" s="52">
        <f t="shared" si="5"/>
        <v>543</v>
      </c>
      <c r="L37" s="52">
        <f t="shared" si="5"/>
        <v>-383</v>
      </c>
      <c r="M37" s="52">
        <f t="shared" si="5"/>
        <v>-35</v>
      </c>
      <c r="N37" s="52">
        <f t="shared" si="5"/>
        <v>144</v>
      </c>
      <c r="O37" s="52">
        <f t="shared" si="5"/>
        <v>545</v>
      </c>
      <c r="P37" s="52">
        <f t="shared" si="5"/>
        <v>-327</v>
      </c>
      <c r="Q37" s="52">
        <f t="shared" si="5"/>
        <v>-317</v>
      </c>
      <c r="R37" s="52">
        <f t="shared" si="5"/>
        <v>-500</v>
      </c>
      <c r="S37" s="52">
        <f t="shared" si="5"/>
        <v>128</v>
      </c>
      <c r="T37" s="52">
        <f t="shared" si="5"/>
        <v>182</v>
      </c>
    </row>
    <row r="38" spans="2:20" x14ac:dyDescent="0.2">
      <c r="B38" s="89" t="s">
        <v>67</v>
      </c>
      <c r="C38" s="38">
        <v>6740</v>
      </c>
      <c r="F38" t="s">
        <v>73</v>
      </c>
      <c r="G38" s="60">
        <v>1130</v>
      </c>
      <c r="H38" s="60">
        <f>I40</f>
        <v>1172</v>
      </c>
      <c r="I38">
        <v>952</v>
      </c>
      <c r="J38">
        <v>792</v>
      </c>
      <c r="K38">
        <v>248</v>
      </c>
      <c r="L38" s="21">
        <v>651</v>
      </c>
      <c r="M38" s="21">
        <v>674</v>
      </c>
      <c r="N38" s="34">
        <v>557</v>
      </c>
      <c r="O38" s="34">
        <v>-2055</v>
      </c>
      <c r="P38" s="21">
        <v>-1601</v>
      </c>
      <c r="Q38" s="34">
        <v>-1341</v>
      </c>
      <c r="R38" s="34">
        <v>-846</v>
      </c>
      <c r="S38" s="21">
        <v>-955</v>
      </c>
      <c r="T38" s="21">
        <v>-1118</v>
      </c>
    </row>
    <row r="39" spans="2:20" x14ac:dyDescent="0.2">
      <c r="B39" s="89" t="s">
        <v>68</v>
      </c>
      <c r="C39" s="38">
        <v>-6034</v>
      </c>
      <c r="F39" t="s">
        <v>74</v>
      </c>
      <c r="G39">
        <v>-34</v>
      </c>
      <c r="H39">
        <v>-17</v>
      </c>
      <c r="I39">
        <v>21</v>
      </c>
      <c r="J39">
        <v>-34</v>
      </c>
      <c r="K39">
        <v>1</v>
      </c>
      <c r="L39" s="21">
        <v>-20</v>
      </c>
      <c r="M39" s="21">
        <v>12</v>
      </c>
      <c r="N39" s="34">
        <v>-27</v>
      </c>
      <c r="O39" s="34">
        <v>-194</v>
      </c>
      <c r="P39" s="21">
        <v>-127</v>
      </c>
      <c r="Q39" s="34">
        <v>57</v>
      </c>
      <c r="R39" s="34">
        <v>5</v>
      </c>
      <c r="S39" s="21">
        <v>-19</v>
      </c>
      <c r="T39" s="21">
        <v>-19</v>
      </c>
    </row>
    <row r="40" spans="2:20" x14ac:dyDescent="0.2">
      <c r="B40" s="89" t="s">
        <v>120</v>
      </c>
      <c r="C40" s="60">
        <v>698</v>
      </c>
      <c r="F40" s="20" t="s">
        <v>75</v>
      </c>
      <c r="G40" s="51">
        <f>SUM(G37:G39)</f>
        <v>1138</v>
      </c>
      <c r="H40" s="51">
        <f>SUM(H37:H39)</f>
        <v>1130</v>
      </c>
      <c r="I40" s="51">
        <f>SUM(I37:I39)</f>
        <v>1172</v>
      </c>
      <c r="J40" s="51">
        <f t="shared" ref="J40:T40" si="6">SUM(J37:J39)</f>
        <v>952</v>
      </c>
      <c r="K40" s="51">
        <f t="shared" si="6"/>
        <v>792</v>
      </c>
      <c r="L40" s="51">
        <f t="shared" si="6"/>
        <v>248</v>
      </c>
      <c r="M40" s="51">
        <f t="shared" si="6"/>
        <v>651</v>
      </c>
      <c r="N40" s="51">
        <f t="shared" si="6"/>
        <v>674</v>
      </c>
      <c r="O40" s="51">
        <f t="shared" si="6"/>
        <v>-1704</v>
      </c>
      <c r="P40" s="51">
        <f t="shared" si="6"/>
        <v>-2055</v>
      </c>
      <c r="Q40" s="51">
        <f t="shared" si="6"/>
        <v>-1601</v>
      </c>
      <c r="R40" s="51">
        <f t="shared" si="6"/>
        <v>-1341</v>
      </c>
      <c r="S40" s="51">
        <f t="shared" si="6"/>
        <v>-846</v>
      </c>
      <c r="T40" s="51">
        <f t="shared" si="6"/>
        <v>-955</v>
      </c>
    </row>
    <row r="41" spans="2:20" x14ac:dyDescent="0.2">
      <c r="B41" s="89" t="s">
        <v>235</v>
      </c>
      <c r="C41" s="60">
        <v>484</v>
      </c>
    </row>
    <row r="42" spans="2:20" x14ac:dyDescent="0.2">
      <c r="B42" s="89" t="s">
        <v>239</v>
      </c>
      <c r="C42" s="38">
        <v>188</v>
      </c>
    </row>
    <row r="43" spans="2:20" x14ac:dyDescent="0.2">
      <c r="B43" s="92" t="s">
        <v>240</v>
      </c>
      <c r="C43" s="93">
        <v>-1055</v>
      </c>
    </row>
    <row r="44" spans="2:20" x14ac:dyDescent="0.2">
      <c r="B44" s="94" t="s">
        <v>241</v>
      </c>
      <c r="C44" s="38">
        <v>107</v>
      </c>
      <c r="D44" s="60">
        <f>SUM(C38:C44)</f>
        <v>1128</v>
      </c>
    </row>
    <row r="47" spans="2:20" x14ac:dyDescent="0.2">
      <c r="B47" s="64" t="s">
        <v>242</v>
      </c>
    </row>
    <row r="48" spans="2:20" x14ac:dyDescent="0.2">
      <c r="B48" s="89" t="s">
        <v>69</v>
      </c>
      <c r="C48">
        <v>846</v>
      </c>
    </row>
    <row r="49" spans="2:4" x14ac:dyDescent="0.2">
      <c r="B49" s="91" t="s">
        <v>110</v>
      </c>
      <c r="C49" s="41">
        <v>3</v>
      </c>
      <c r="D49" s="41">
        <v>849</v>
      </c>
    </row>
    <row r="50" spans="2:4" x14ac:dyDescent="0.2">
      <c r="B50" s="19" t="s">
        <v>243</v>
      </c>
      <c r="D50" s="60">
        <f>D44+D49</f>
        <v>1977</v>
      </c>
    </row>
  </sheetData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4485B-8537-4F8D-A6CD-16E817065606}">
  <dimension ref="A8:T121"/>
  <sheetViews>
    <sheetView workbookViewId="0">
      <selection activeCell="A2" sqref="A2:XFD6"/>
    </sheetView>
  </sheetViews>
  <sheetFormatPr baseColWidth="10" defaultColWidth="8.83203125" defaultRowHeight="15" x14ac:dyDescent="0.2"/>
  <cols>
    <col min="2" max="2" width="52.5" customWidth="1"/>
    <col min="3" max="3" width="13.1640625" customWidth="1"/>
    <col min="4" max="4" width="13.1640625" bestFit="1" customWidth="1"/>
    <col min="5" max="6" width="9.33203125" customWidth="1"/>
    <col min="7" max="17" width="11.1640625" customWidth="1"/>
  </cols>
  <sheetData>
    <row r="8" spans="2:20" ht="16" x14ac:dyDescent="0.2">
      <c r="B8" s="227" t="s">
        <v>245</v>
      </c>
      <c r="C8" s="227"/>
      <c r="D8" s="227"/>
      <c r="E8" s="227"/>
      <c r="F8" s="227"/>
      <c r="G8" s="227"/>
      <c r="H8" s="227"/>
      <c r="I8" s="227"/>
      <c r="J8" s="227"/>
      <c r="K8" s="227"/>
      <c r="L8" s="227"/>
      <c r="M8" s="227"/>
      <c r="N8" s="227"/>
      <c r="O8" s="227"/>
      <c r="P8" s="227"/>
      <c r="Q8" s="98"/>
    </row>
    <row r="9" spans="2:20" x14ac:dyDescent="0.2">
      <c r="B9" s="99" t="s">
        <v>246</v>
      </c>
      <c r="C9" s="63">
        <v>2023</v>
      </c>
      <c r="D9" s="63">
        <v>2022</v>
      </c>
      <c r="E9" s="63">
        <v>2021</v>
      </c>
      <c r="F9" s="63">
        <v>2020</v>
      </c>
      <c r="G9" s="63">
        <v>2019</v>
      </c>
      <c r="H9" s="63">
        <v>2018</v>
      </c>
      <c r="I9" s="63">
        <v>2017</v>
      </c>
      <c r="J9" s="63">
        <v>2016</v>
      </c>
      <c r="K9" s="63">
        <v>2015</v>
      </c>
      <c r="L9" s="63">
        <v>2014</v>
      </c>
      <c r="M9" s="63">
        <v>2013</v>
      </c>
      <c r="N9" s="63">
        <v>2012</v>
      </c>
      <c r="O9" s="63">
        <v>2011</v>
      </c>
      <c r="P9" s="63">
        <v>2010</v>
      </c>
      <c r="Q9" s="62"/>
    </row>
    <row r="10" spans="2:20" x14ac:dyDescent="0.2">
      <c r="B10" s="19" t="s">
        <v>247</v>
      </c>
      <c r="C10" s="52">
        <f t="shared" ref="C10:I10" si="0">D13</f>
        <v>8558.9</v>
      </c>
      <c r="D10" s="52">
        <f t="shared" si="0"/>
        <v>7974.9</v>
      </c>
      <c r="E10" s="52">
        <f t="shared" si="0"/>
        <v>8247.9</v>
      </c>
      <c r="F10" s="52">
        <f t="shared" si="0"/>
        <v>7633.9</v>
      </c>
      <c r="G10" s="52">
        <f t="shared" si="0"/>
        <v>7048.9</v>
      </c>
      <c r="H10" s="52">
        <f t="shared" si="0"/>
        <v>7425.9</v>
      </c>
      <c r="I10" s="52">
        <f t="shared" si="0"/>
        <v>6959.9</v>
      </c>
      <c r="J10" s="22">
        <f>[1]Egenkapitalopgørelser!V3</f>
        <v>6497.9</v>
      </c>
      <c r="K10" s="22">
        <f>[1]Egenkapitalopgørelser!U3</f>
        <v>5584.9</v>
      </c>
      <c r="L10" s="22">
        <f>[1]Egenkapitalopgørelser!T3</f>
        <v>5055.8999999999996</v>
      </c>
      <c r="M10" s="22">
        <f>[1]Egenkapitalopgørelser!S3</f>
        <v>4059.8999999999996</v>
      </c>
      <c r="N10" s="22">
        <f>[1]Egenkapitalopgørelser!R3</f>
        <v>3298.8999999999996</v>
      </c>
      <c r="O10" s="22">
        <f>[1]Egenkapitalopgørelser!Q3</f>
        <v>2441.8999999999996</v>
      </c>
      <c r="P10" s="22">
        <f>[1]Egenkapitalopgørelser!P3</f>
        <v>1302.0999999999999</v>
      </c>
      <c r="Q10" s="22"/>
    </row>
    <row r="11" spans="2:20" x14ac:dyDescent="0.2">
      <c r="B11" t="s">
        <v>248</v>
      </c>
      <c r="C11">
        <v>-923</v>
      </c>
      <c r="D11" s="21">
        <v>-1846</v>
      </c>
      <c r="E11" s="21">
        <v>-3157</v>
      </c>
      <c r="F11">
        <v>-147</v>
      </c>
      <c r="G11">
        <f>[1]Egenkapitalopgørelser!Y10</f>
        <v>-946</v>
      </c>
      <c r="H11" s="21">
        <f>[1]Egenkapitalopgørelser!X10</f>
        <v>-1751</v>
      </c>
      <c r="I11" s="21">
        <f>[1]Egenkapitalopgørelser!W10</f>
        <v>-1031</v>
      </c>
      <c r="J11" s="21">
        <f>[1]Egenkapitalopgørelser!V10</f>
        <v>-1051</v>
      </c>
      <c r="K11" s="21">
        <f>[1]Egenkapitalopgørelser!U10</f>
        <v>-621</v>
      </c>
      <c r="L11" s="21">
        <f>[1]Egenkapitalopgørelser!T10</f>
        <v>-887</v>
      </c>
      <c r="M11" s="21">
        <f>[1]Egenkapitalopgørelser!S10</f>
        <v>-101</v>
      </c>
      <c r="N11" s="21">
        <f>[1]Egenkapitalopgørelser!R10</f>
        <v>-493</v>
      </c>
      <c r="O11" s="21">
        <f>[1]Egenkapitalopgørelser!Q10</f>
        <v>-300</v>
      </c>
      <c r="P11" s="21">
        <f>[1]Egenkapitalopgørelser!P10</f>
        <v>-2.2000000000000002</v>
      </c>
      <c r="Q11" s="87"/>
    </row>
    <row r="12" spans="2:20" x14ac:dyDescent="0.2">
      <c r="B12" t="s">
        <v>249</v>
      </c>
      <c r="C12" s="21">
        <v>1618</v>
      </c>
      <c r="D12" s="21">
        <v>2430</v>
      </c>
      <c r="E12" s="21">
        <v>2884</v>
      </c>
      <c r="F12">
        <v>761</v>
      </c>
      <c r="G12" s="21">
        <f>[1]Egenkapitalopgørelser!Y15</f>
        <v>1531</v>
      </c>
      <c r="H12" s="21">
        <f>[1]Egenkapitalopgørelser!X15</f>
        <v>1374</v>
      </c>
      <c r="I12" s="21">
        <f>[1]Egenkapitalopgørelser!W15</f>
        <v>1497</v>
      </c>
      <c r="J12" s="21">
        <f>[1]Egenkapitalopgørelser!V15</f>
        <v>1513</v>
      </c>
      <c r="K12" s="21">
        <f>[1]Egenkapitalopgørelser!U15</f>
        <v>1534</v>
      </c>
      <c r="L12" s="21">
        <f>[1]Egenkapitalopgørelser!T15</f>
        <v>1416</v>
      </c>
      <c r="M12" s="21">
        <f>[1]Egenkapitalopgørelser!S15</f>
        <v>1097</v>
      </c>
      <c r="N12" s="21">
        <f>[1]Egenkapitalopgørelser!R15</f>
        <v>1254</v>
      </c>
      <c r="O12" s="21">
        <f>[1]Egenkapitalopgørelser!Q15</f>
        <v>1157</v>
      </c>
      <c r="P12" s="21">
        <f>[1]Egenkapitalopgørelser!P15</f>
        <v>1142</v>
      </c>
      <c r="Q12" s="21"/>
    </row>
    <row r="13" spans="2:20" x14ac:dyDescent="0.2">
      <c r="B13" s="20" t="s">
        <v>250</v>
      </c>
      <c r="C13" s="51">
        <f>C10+C11+C12</f>
        <v>9253.9</v>
      </c>
      <c r="D13" s="51">
        <f>D10+D11+D12</f>
        <v>8558.9</v>
      </c>
      <c r="E13" s="51">
        <f t="shared" ref="E13:J13" si="1">SUM(E10:E12)</f>
        <v>7974.9</v>
      </c>
      <c r="F13" s="51">
        <f t="shared" si="1"/>
        <v>8247.9</v>
      </c>
      <c r="G13" s="51">
        <f t="shared" si="1"/>
        <v>7633.9</v>
      </c>
      <c r="H13" s="51">
        <f t="shared" si="1"/>
        <v>7048.9</v>
      </c>
      <c r="I13" s="51">
        <f t="shared" si="1"/>
        <v>7425.9</v>
      </c>
      <c r="J13" s="23">
        <f t="shared" si="1"/>
        <v>6959.9</v>
      </c>
      <c r="K13" s="23">
        <f>J10</f>
        <v>6497.9</v>
      </c>
      <c r="L13" s="23">
        <f>L10+L11+L12</f>
        <v>5584.9</v>
      </c>
      <c r="M13" s="23">
        <f>SUM(M10:M12)</f>
        <v>5055.8999999999996</v>
      </c>
      <c r="N13" s="23">
        <f>SUM(N10:N12)</f>
        <v>4059.8999999999996</v>
      </c>
      <c r="O13" s="23">
        <v>3300</v>
      </c>
      <c r="P13" s="23">
        <f>SUM(P10:P12)</f>
        <v>2441.8999999999996</v>
      </c>
      <c r="Q13" s="100"/>
    </row>
    <row r="14" spans="2:20" x14ac:dyDescent="0.2"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>
        <f>'WD3 - Reform. Totalindkomst'!O50-'WD5 - Rentabilitetsanalyse'!O12</f>
        <v>0</v>
      </c>
      <c r="P14" s="101"/>
    </row>
    <row r="15" spans="2:20" ht="16" x14ac:dyDescent="0.2">
      <c r="B15" s="227" t="s">
        <v>251</v>
      </c>
      <c r="C15" s="227"/>
      <c r="D15" s="227"/>
      <c r="E15" s="227"/>
      <c r="F15" s="227"/>
      <c r="G15" s="227"/>
      <c r="H15" s="227"/>
      <c r="I15" s="227"/>
      <c r="J15" s="227"/>
      <c r="K15" s="227"/>
      <c r="L15" s="227"/>
      <c r="M15" s="227"/>
      <c r="N15" s="227"/>
      <c r="O15" s="227"/>
      <c r="P15" s="227"/>
      <c r="Q15" s="229"/>
      <c r="T15" s="19"/>
    </row>
    <row r="16" spans="2:20" x14ac:dyDescent="0.2">
      <c r="B16" s="99" t="s">
        <v>246</v>
      </c>
      <c r="C16" s="63">
        <v>2023</v>
      </c>
      <c r="D16" s="63">
        <v>2022</v>
      </c>
      <c r="E16" s="63">
        <v>2021</v>
      </c>
      <c r="F16" s="63">
        <v>2020</v>
      </c>
      <c r="G16" s="63">
        <v>2019</v>
      </c>
      <c r="H16" s="63">
        <v>2018</v>
      </c>
      <c r="I16" s="63">
        <v>2017</v>
      </c>
      <c r="J16" s="63">
        <v>2016</v>
      </c>
      <c r="K16" s="63">
        <v>2015</v>
      </c>
      <c r="L16" s="63">
        <v>2014</v>
      </c>
      <c r="M16" s="63">
        <v>2013</v>
      </c>
      <c r="N16" s="63">
        <v>2012</v>
      </c>
      <c r="O16" s="63">
        <v>2011</v>
      </c>
      <c r="P16" s="63">
        <v>2010</v>
      </c>
      <c r="Q16" s="62"/>
    </row>
    <row r="17" spans="2:19" x14ac:dyDescent="0.2">
      <c r="B17" t="s">
        <v>252</v>
      </c>
      <c r="C17" s="21">
        <f>SUM([1]BalancerReformuleret!B5:B8)</f>
        <v>13540</v>
      </c>
      <c r="D17" s="21">
        <f>SUM([1]BalancerReformuleret!C5:C8)</f>
        <v>12582</v>
      </c>
      <c r="E17" s="21">
        <f>SUM([1]BalancerReformuleret!D5:D8)</f>
        <v>10317</v>
      </c>
      <c r="F17" s="21">
        <f>SUM([1]BalancerReformuleret!E5:E8)</f>
        <v>9104</v>
      </c>
      <c r="G17" s="21">
        <f>SUM([1]BalancerReformuleret!F5:F8)</f>
        <v>8576</v>
      </c>
      <c r="H17" s="21">
        <f>SUM([1]BalancerReformuleret!G5:G8)</f>
        <v>7866</v>
      </c>
      <c r="I17" s="21">
        <f>SUM([1]BalancerReformuleret!H5:H8)</f>
        <v>6892</v>
      </c>
      <c r="J17" s="21">
        <f>SUM([1]BalancerReformuleret!I5:I8)</f>
        <v>6768</v>
      </c>
      <c r="K17" s="102">
        <f>SUM([1]BalancerReformuleret!J5:J8)</f>
        <v>5977</v>
      </c>
      <c r="L17" s="102">
        <f>SUM([1]BalancerReformuleret!K5:K8)</f>
        <v>4003</v>
      </c>
      <c r="M17" s="102">
        <f>SUM([1]BalancerReformuleret!L5:L8)</f>
        <v>3615</v>
      </c>
      <c r="N17" s="102">
        <f>SUM([1]BalancerReformuleret!M5:M8)</f>
        <v>2648</v>
      </c>
      <c r="O17" s="102">
        <f>SUM([1]BalancerReformuleret!N5:N8)</f>
        <v>2055</v>
      </c>
      <c r="P17" s="102">
        <f>SUM([1]BalancerReformuleret!O5:O8)</f>
        <v>1754</v>
      </c>
      <c r="Q17" s="102"/>
      <c r="S17" s="102"/>
    </row>
    <row r="18" spans="2:19" x14ac:dyDescent="0.2">
      <c r="B18" t="s">
        <v>253</v>
      </c>
      <c r="C18" s="21">
        <f>SUM([1]BalancerReformuleret!B9:B13)</f>
        <v>2813</v>
      </c>
      <c r="D18" s="21">
        <f>SUM([1]BalancerReformuleret!C9:C13)</f>
        <v>2553</v>
      </c>
      <c r="E18" s="21">
        <f>SUM([1]BalancerReformuleret!D9:D13)</f>
        <v>2277</v>
      </c>
      <c r="F18" s="21">
        <f>SUM([1]BalancerReformuleret!E9:E13)</f>
        <v>2139</v>
      </c>
      <c r="G18" s="21">
        <f>SUM([1]BalancerReformuleret!F9:F13)</f>
        <v>2061</v>
      </c>
      <c r="H18" s="21">
        <f>SUM([1]BalancerReformuleret!G9:G13)</f>
        <v>1823</v>
      </c>
      <c r="I18" s="21">
        <f>SUM([1]BalancerReformuleret!H9:H13)</f>
        <v>1718</v>
      </c>
      <c r="J18" s="21">
        <f>SUM([1]BalancerReformuleret!I9:I13)</f>
        <v>1742</v>
      </c>
      <c r="K18" s="102">
        <f>SUM([1]BalancerReformuleret!J9:J13)</f>
        <v>1768</v>
      </c>
      <c r="L18" s="102">
        <f>SUM([1]BalancerReformuleret!K9:K13)</f>
        <v>1557</v>
      </c>
      <c r="M18" s="102">
        <f>SUM([1]BalancerReformuleret!L9:L13)</f>
        <v>1488</v>
      </c>
      <c r="N18" s="102">
        <f>SUM([1]BalancerReformuleret!M9:M13)</f>
        <v>1372</v>
      </c>
      <c r="O18" s="102">
        <f>SUM([1]BalancerReformuleret!N9:N13)</f>
        <v>1276</v>
      </c>
      <c r="P18" s="102">
        <f>SUM([1]BalancerReformuleret!O9:O13)</f>
        <v>1111</v>
      </c>
      <c r="Q18" s="102"/>
      <c r="S18" s="102"/>
    </row>
    <row r="19" spans="2:19" x14ac:dyDescent="0.2">
      <c r="B19" t="s">
        <v>15</v>
      </c>
      <c r="C19" s="21">
        <f>SUM([1]BalancerReformuleret!B14:B20)</f>
        <v>4809</v>
      </c>
      <c r="D19" s="21">
        <f>SUM([1]BalancerReformuleret!C14:C20)</f>
        <v>4700</v>
      </c>
      <c r="E19" s="21">
        <f>SUM([1]BalancerReformuleret!D14:D20)</f>
        <v>4380</v>
      </c>
      <c r="F19" s="21">
        <f>SUM([1]BalancerReformuleret!E14:E20)</f>
        <v>3997</v>
      </c>
      <c r="G19" s="21">
        <f>SUM([1]BalancerReformuleret!F14:F20)</f>
        <v>4247</v>
      </c>
      <c r="H19" s="21">
        <f>SUM([1]BalancerReformuleret!G15:G20)</f>
        <v>2241</v>
      </c>
      <c r="I19" s="21">
        <f>SUM([1]BalancerReformuleret!H15:H20)</f>
        <v>2272</v>
      </c>
      <c r="J19" s="21">
        <f>SUM([1]BalancerReformuleret!I15:I20)</f>
        <v>1909</v>
      </c>
      <c r="K19" s="102">
        <f>SUM([1]BalancerReformuleret!J15:J20)</f>
        <v>1837</v>
      </c>
      <c r="L19" s="102">
        <f>SUM([1]BalancerReformuleret!K15:K20)</f>
        <v>1610</v>
      </c>
      <c r="M19" s="102">
        <f>SUM([1]BalancerReformuleret!L15:L20)</f>
        <v>1453</v>
      </c>
      <c r="N19" s="102">
        <f>SUM([1]BalancerReformuleret!M15:M20)</f>
        <v>1305</v>
      </c>
      <c r="O19" s="102">
        <f>SUM([1]BalancerReformuleret!N15:N20)</f>
        <v>953</v>
      </c>
      <c r="P19" s="102">
        <f>SUM([1]BalancerReformuleret!O15:O20)</f>
        <v>860</v>
      </c>
      <c r="Q19" s="102"/>
      <c r="S19" s="102"/>
    </row>
    <row r="20" spans="2:19" x14ac:dyDescent="0.2">
      <c r="B20" t="s">
        <v>17</v>
      </c>
      <c r="C20" s="21">
        <f>[1]BalancerReformuleret!B21</f>
        <v>2845</v>
      </c>
      <c r="D20" s="21">
        <f>[1]BalancerReformuleret!C21</f>
        <v>2904</v>
      </c>
      <c r="E20" s="21">
        <f>[1]BalancerReformuleret!D21</f>
        <v>2366</v>
      </c>
      <c r="F20" s="21">
        <f>[1]BalancerReformuleret!E21</f>
        <v>1968</v>
      </c>
      <c r="G20" s="21">
        <f>[1]BalancerReformuleret!F21</f>
        <v>1852</v>
      </c>
      <c r="H20" s="21">
        <f>[1]BalancerReformuleret!G21</f>
        <v>1641</v>
      </c>
      <c r="I20" s="21">
        <f>[1]BalancerReformuleret!H21</f>
        <v>1351</v>
      </c>
      <c r="J20" s="21">
        <f>[1]BalancerReformuleret!I21</f>
        <v>1300</v>
      </c>
      <c r="K20" s="102">
        <f>[1]BalancerReformuleret!J21</f>
        <v>1324</v>
      </c>
      <c r="L20" s="102">
        <f>[1]BalancerReformuleret!K21</f>
        <v>1203</v>
      </c>
      <c r="M20" s="102">
        <f>[1]BalancerReformuleret!L21</f>
        <v>1142</v>
      </c>
      <c r="N20" s="102">
        <f>[1]BalancerReformuleret!M21</f>
        <v>1014</v>
      </c>
      <c r="O20" s="102">
        <f>[1]BalancerReformuleret!N21</f>
        <v>1082</v>
      </c>
      <c r="P20" s="102">
        <f>[1]BalancerReformuleret!O21</f>
        <v>993</v>
      </c>
      <c r="Q20" s="102"/>
      <c r="S20" s="102"/>
    </row>
    <row r="21" spans="2:19" x14ac:dyDescent="0.2">
      <c r="B21" t="s">
        <v>101</v>
      </c>
      <c r="C21" s="21">
        <f>[1]BalancerReformuleret!B22</f>
        <v>3650</v>
      </c>
      <c r="D21" s="21">
        <f>[1]BalancerReformuleret!C22</f>
        <v>3626</v>
      </c>
      <c r="E21" s="21">
        <f>[1]BalancerReformuleret!D22</f>
        <v>3203</v>
      </c>
      <c r="F21" s="21">
        <f>[1]BalancerReformuleret!E22</f>
        <v>2808</v>
      </c>
      <c r="G21" s="21">
        <f>[1]BalancerReformuleret!F22</f>
        <v>3209</v>
      </c>
      <c r="H21" s="21">
        <f>[1]BalancerReformuleret!G22</f>
        <v>2763</v>
      </c>
      <c r="I21" s="21">
        <f>[1]BalancerReformuleret!H22</f>
        <v>2573</v>
      </c>
      <c r="J21" s="21">
        <f>[1]BalancerReformuleret!I22</f>
        <v>2440</v>
      </c>
      <c r="K21" s="102">
        <f>[1]BalancerReformuleret!J22</f>
        <v>2203</v>
      </c>
      <c r="L21" s="102">
        <f>[1]BalancerReformuleret!K22</f>
        <v>1994</v>
      </c>
      <c r="M21" s="102">
        <f>[1]BalancerReformuleret!L22</f>
        <v>1862</v>
      </c>
      <c r="N21" s="102">
        <f>[1]BalancerReformuleret!M22</f>
        <v>1754</v>
      </c>
      <c r="O21" s="102">
        <f>[1]BalancerReformuleret!N22</f>
        <v>1711</v>
      </c>
      <c r="P21" s="102">
        <f>[1]BalancerReformuleret!O22</f>
        <v>1609</v>
      </c>
      <c r="Q21" s="102"/>
      <c r="S21" s="102"/>
    </row>
    <row r="22" spans="2:19" x14ac:dyDescent="0.2">
      <c r="B22" t="s">
        <v>254</v>
      </c>
      <c r="C22" s="21">
        <f>SUM([1]BalancerReformuleret!B23:B28)</f>
        <v>1468</v>
      </c>
      <c r="D22" s="21">
        <f>SUM([1]BalancerReformuleret!C23:C28)</f>
        <v>1398</v>
      </c>
      <c r="E22" s="21">
        <f>SUM([1]BalancerReformuleret!D23:D28)</f>
        <v>1145</v>
      </c>
      <c r="F22" s="21">
        <f>SUM([1]BalancerReformuleret!E23:E28)</f>
        <v>959</v>
      </c>
      <c r="G22" s="21">
        <f>SUM([1]BalancerReformuleret!F23:F28)</f>
        <v>1061</v>
      </c>
      <c r="H22" s="21">
        <f>SUM([1]BalancerReformuleret!G23:G28)</f>
        <v>971</v>
      </c>
      <c r="I22" s="21">
        <f>SUM([1]BalancerReformuleret!H23:H28)</f>
        <v>719</v>
      </c>
      <c r="J22" s="21">
        <f>SUM([1]BalancerReformuleret!I23:I28)</f>
        <v>679</v>
      </c>
      <c r="K22">
        <f>SUM([1]BalancerReformuleret!J23:J28)</f>
        <v>607</v>
      </c>
      <c r="L22">
        <f>SUM([1]BalancerReformuleret!K23:K28)</f>
        <v>409</v>
      </c>
      <c r="M22">
        <f>SUM([1]BalancerReformuleret!L23:L28)</f>
        <v>430</v>
      </c>
      <c r="N22">
        <f>SUM([1]BalancerReformuleret!M23:M28)</f>
        <v>377</v>
      </c>
      <c r="O22">
        <f>SUM([1]BalancerReformuleret!N23:N28)</f>
        <v>281</v>
      </c>
      <c r="P22">
        <f>SUM([1]BalancerReformuleret!O23:O28)</f>
        <v>219</v>
      </c>
    </row>
    <row r="23" spans="2:19" x14ac:dyDescent="0.2">
      <c r="B23" t="s">
        <v>34</v>
      </c>
      <c r="C23" s="21">
        <f>[1]BalancerReformuleret!B35</f>
        <v>799</v>
      </c>
      <c r="D23" s="21">
        <f>[1]BalancerReformuleret!C35</f>
        <v>865</v>
      </c>
      <c r="E23" s="21">
        <f>[1]BalancerReformuleret!D35</f>
        <v>808</v>
      </c>
      <c r="F23" s="21">
        <f>[1]BalancerReformuleret!E35</f>
        <v>802</v>
      </c>
      <c r="G23" s="21">
        <f>[1]BalancerReformuleret!F35</f>
        <v>652</v>
      </c>
      <c r="H23" s="21">
        <f>[1]BalancerReformuleret!G35</f>
        <v>499</v>
      </c>
      <c r="I23" s="21">
        <f>[1]BalancerReformuleret!H35</f>
        <v>516</v>
      </c>
      <c r="J23" s="21">
        <f>[1]BalancerReformuleret!I35</f>
        <v>513</v>
      </c>
      <c r="K23">
        <f>[1]BalancerReformuleret!J35</f>
        <v>486</v>
      </c>
      <c r="L23">
        <f>[1]BalancerReformuleret!K35</f>
        <v>342</v>
      </c>
      <c r="M23">
        <f>[1]BalancerReformuleret!L35</f>
        <v>350</v>
      </c>
      <c r="N23">
        <f>[1]BalancerReformuleret!M35</f>
        <v>351</v>
      </c>
      <c r="O23">
        <f>[1]BalancerReformuleret!N35</f>
        <v>405</v>
      </c>
      <c r="P23">
        <f>[1]BalancerReformuleret!O35</f>
        <v>342</v>
      </c>
    </row>
    <row r="24" spans="2:19" x14ac:dyDescent="0.2">
      <c r="B24" t="s">
        <v>255</v>
      </c>
      <c r="C24" s="21">
        <f>SUM([1]BalancerReformuleret!B31:B41)-[1]BalancerReformuleret!B35</f>
        <v>5866</v>
      </c>
      <c r="D24" s="21">
        <f>SUM([1]BalancerReformuleret!C31:C41)-[1]BalancerReformuleret!C35</f>
        <v>5179</v>
      </c>
      <c r="E24" s="21">
        <f>SUM([1]BalancerReformuleret!D31:D41)-[1]BalancerReformuleret!D35</f>
        <v>4733</v>
      </c>
      <c r="F24" s="21">
        <f>SUM([1]BalancerReformuleret!E31:E41)-[1]BalancerReformuleret!E35</f>
        <v>3842</v>
      </c>
      <c r="G24" s="21">
        <f>SUM([1]BalancerReformuleret!F31:F41)-[1]BalancerReformuleret!F35</f>
        <v>3512</v>
      </c>
      <c r="H24" s="21">
        <f>SUM([1]BalancerReformuleret!G31:G41)-[1]BalancerReformuleret!G35</f>
        <v>3249</v>
      </c>
      <c r="I24" s="21">
        <f>SUM([1]BalancerReformuleret!H31:H41)-[1]BalancerReformuleret!H35</f>
        <v>2708</v>
      </c>
      <c r="J24" s="21">
        <f>SUM([1]BalancerReformuleret!I31:I41)-[1]BalancerReformuleret!I35</f>
        <v>2562</v>
      </c>
      <c r="K24" s="102">
        <f>SUM([1]BalancerReformuleret!J31:J41)-[1]BalancerReformuleret!J35</f>
        <v>2274</v>
      </c>
      <c r="L24" s="102">
        <f>SUM([1]BalancerReformuleret!K31:K41)-[1]BalancerReformuleret!K35</f>
        <v>1781</v>
      </c>
      <c r="M24" s="102">
        <f>SUM([1]BalancerReformuleret!L31:L41)-[1]BalancerReformuleret!L35</f>
        <v>1719</v>
      </c>
      <c r="N24" s="102">
        <f>SUM([1]BalancerReformuleret!M31:M41)-[1]BalancerReformuleret!M35</f>
        <v>1654</v>
      </c>
      <c r="O24" s="102">
        <f>SUM([1]BalancerReformuleret!N31:N41)-[1]BalancerReformuleret!N35</f>
        <v>1625</v>
      </c>
      <c r="P24" s="102">
        <f>SUM([1]BalancerReformuleret!O31:O41)-[1]BalancerReformuleret!O35</f>
        <v>1502</v>
      </c>
      <c r="Q24" s="102"/>
      <c r="S24" s="102"/>
    </row>
    <row r="25" spans="2:19" x14ac:dyDescent="0.2">
      <c r="B25" s="20" t="s">
        <v>256</v>
      </c>
      <c r="C25" s="103">
        <f t="shared" ref="C25:P25" si="2">C17+C18+C19+C20+C21+C22-C23-C24</f>
        <v>22460</v>
      </c>
      <c r="D25" s="103">
        <f t="shared" si="2"/>
        <v>21719</v>
      </c>
      <c r="E25" s="103">
        <f t="shared" si="2"/>
        <v>18147</v>
      </c>
      <c r="F25" s="103">
        <f t="shared" si="2"/>
        <v>16331</v>
      </c>
      <c r="G25" s="103">
        <f t="shared" si="2"/>
        <v>16842</v>
      </c>
      <c r="H25" s="103">
        <f t="shared" si="2"/>
        <v>13557</v>
      </c>
      <c r="I25" s="103">
        <f t="shared" si="2"/>
        <v>12301</v>
      </c>
      <c r="J25" s="103">
        <f t="shared" si="2"/>
        <v>11763</v>
      </c>
      <c r="K25" s="103">
        <f t="shared" si="2"/>
        <v>10956</v>
      </c>
      <c r="L25" s="103">
        <f t="shared" si="2"/>
        <v>8653</v>
      </c>
      <c r="M25" s="103">
        <f t="shared" si="2"/>
        <v>7921</v>
      </c>
      <c r="N25" s="103">
        <f t="shared" si="2"/>
        <v>6465</v>
      </c>
      <c r="O25" s="103">
        <f t="shared" si="2"/>
        <v>5328</v>
      </c>
      <c r="P25" s="103">
        <f t="shared" si="2"/>
        <v>4702</v>
      </c>
      <c r="Q25" s="104"/>
    </row>
    <row r="26" spans="2:19" x14ac:dyDescent="0.2">
      <c r="J26" s="105"/>
      <c r="K26" s="105"/>
      <c r="L26" s="105"/>
      <c r="M26" s="105"/>
      <c r="N26" s="105"/>
      <c r="O26" s="105"/>
      <c r="P26" s="105"/>
      <c r="Q26" s="106"/>
    </row>
    <row r="27" spans="2:19" x14ac:dyDescent="0.2">
      <c r="B27" t="s">
        <v>257</v>
      </c>
      <c r="C27" s="21">
        <f t="shared" ref="C27:P27" si="3">C13</f>
        <v>9253.9</v>
      </c>
      <c r="D27" s="21">
        <f t="shared" si="3"/>
        <v>8558.9</v>
      </c>
      <c r="E27" s="21">
        <f t="shared" si="3"/>
        <v>7974.9</v>
      </c>
      <c r="F27" s="21">
        <f t="shared" si="3"/>
        <v>8247.9</v>
      </c>
      <c r="G27" s="21">
        <f t="shared" si="3"/>
        <v>7633.9</v>
      </c>
      <c r="H27" s="21">
        <f t="shared" si="3"/>
        <v>7048.9</v>
      </c>
      <c r="I27" s="21">
        <f t="shared" si="3"/>
        <v>7425.9</v>
      </c>
      <c r="J27" s="60">
        <f t="shared" si="3"/>
        <v>6959.9</v>
      </c>
      <c r="K27" s="60">
        <f t="shared" si="3"/>
        <v>6497.9</v>
      </c>
      <c r="L27" s="60">
        <f t="shared" si="3"/>
        <v>5584.9</v>
      </c>
      <c r="M27" s="60">
        <f t="shared" si="3"/>
        <v>5055.8999999999996</v>
      </c>
      <c r="N27" s="60">
        <f t="shared" si="3"/>
        <v>4059.8999999999996</v>
      </c>
      <c r="O27" s="60">
        <f t="shared" si="3"/>
        <v>3300</v>
      </c>
      <c r="P27" s="60">
        <f t="shared" si="3"/>
        <v>2441.8999999999996</v>
      </c>
      <c r="Q27" s="60"/>
    </row>
    <row r="28" spans="2:19" x14ac:dyDescent="0.2">
      <c r="B28" t="s">
        <v>258</v>
      </c>
      <c r="C28" s="21">
        <f>[1]BalancerReformuleret!B54</f>
        <v>82</v>
      </c>
      <c r="D28" s="21">
        <f>[1]BalancerReformuleret!C54</f>
        <v>1</v>
      </c>
      <c r="E28" s="21">
        <f>[1]BalancerReformuleret!D54</f>
        <v>4</v>
      </c>
      <c r="F28" s="21">
        <f>[1]BalancerReformuleret!E54</f>
        <v>29</v>
      </c>
      <c r="G28" s="21">
        <f>[1]BalancerReformuleret!F54</f>
        <v>9</v>
      </c>
      <c r="H28" s="21">
        <f>[1]BalancerReformuleret!G54</f>
        <v>9</v>
      </c>
      <c r="I28" s="21">
        <f>[1]BalancerReformuleret!H54</f>
        <v>6</v>
      </c>
      <c r="J28">
        <f>[1]BalancerReformuleret!I54</f>
        <v>5</v>
      </c>
      <c r="K28">
        <f>[1]BalancerReformuleret!J54</f>
        <v>1</v>
      </c>
      <c r="L28">
        <f>[1]BalancerReformuleret!K54</f>
        <v>-2</v>
      </c>
      <c r="M28">
        <f>[1]BalancerReformuleret!L54</f>
        <v>-1</v>
      </c>
      <c r="N28">
        <f>[1]BalancerReformuleret!M54</f>
        <v>-2</v>
      </c>
      <c r="O28">
        <f>[1]BalancerReformuleret!N54</f>
        <v>4</v>
      </c>
      <c r="P28">
        <f>[1]BalancerReformuleret!O54</f>
        <v>0</v>
      </c>
    </row>
    <row r="29" spans="2:19" x14ac:dyDescent="0.2">
      <c r="B29" t="s">
        <v>259</v>
      </c>
      <c r="C29" s="21">
        <f>[1]BalancerReformuleret!B52</f>
        <v>13122</v>
      </c>
      <c r="D29" s="21">
        <f>[1]BalancerReformuleret!C52</f>
        <v>13157</v>
      </c>
      <c r="E29" s="21">
        <f>[1]BalancerReformuleret!D52</f>
        <v>10166</v>
      </c>
      <c r="F29" s="21">
        <f>[1]BalancerReformuleret!E52</f>
        <v>8052</v>
      </c>
      <c r="G29" s="21">
        <f>[1]BalancerReformuleret!F52</f>
        <v>9197</v>
      </c>
      <c r="H29" s="21">
        <f>[1]BalancerReformuleret!G52</f>
        <v>6498</v>
      </c>
      <c r="I29" s="21">
        <f>[1]BalancerReformuleret!H52</f>
        <v>4868</v>
      </c>
      <c r="J29">
        <f>[1]BalancerReformuleret!I52</f>
        <v>4797</v>
      </c>
      <c r="K29" s="60">
        <f>[1]BalancerReformuleret!J52</f>
        <v>4456</v>
      </c>
      <c r="L29" s="60">
        <f>[1]BalancerReformuleret!K52</f>
        <v>3069</v>
      </c>
      <c r="M29" s="60">
        <f>[1]BalancerReformuleret!L52</f>
        <v>2865</v>
      </c>
      <c r="N29" s="60">
        <f>[1]BalancerReformuleret!M52</f>
        <v>2406</v>
      </c>
      <c r="O29" s="60">
        <f>[1]BalancerReformuleret!N52</f>
        <v>2024</v>
      </c>
      <c r="P29" s="60">
        <f>[1]BalancerReformuleret!O52</f>
        <v>2260</v>
      </c>
      <c r="Q29" s="60"/>
    </row>
    <row r="30" spans="2:19" x14ac:dyDescent="0.2">
      <c r="B30" s="20" t="s">
        <v>260</v>
      </c>
      <c r="C30" s="107">
        <f>SUM(C27:C29)</f>
        <v>22457.9</v>
      </c>
      <c r="D30" s="107">
        <f>SUM(D27:D29)</f>
        <v>21716.9</v>
      </c>
      <c r="E30" s="107">
        <f>SUM(E27:E29)</f>
        <v>18144.900000000001</v>
      </c>
      <c r="F30" s="108">
        <f t="shared" ref="F30:P30" si="4">F27+F28+F29</f>
        <v>16328.9</v>
      </c>
      <c r="G30" s="108">
        <f t="shared" si="4"/>
        <v>16839.900000000001</v>
      </c>
      <c r="H30" s="108">
        <f t="shared" si="4"/>
        <v>13555.9</v>
      </c>
      <c r="I30" s="108">
        <f t="shared" si="4"/>
        <v>12299.9</v>
      </c>
      <c r="J30" s="107">
        <f t="shared" si="4"/>
        <v>11761.9</v>
      </c>
      <c r="K30" s="107">
        <f t="shared" si="4"/>
        <v>10954.9</v>
      </c>
      <c r="L30" s="107">
        <f t="shared" si="4"/>
        <v>8651.9</v>
      </c>
      <c r="M30" s="107">
        <f t="shared" si="4"/>
        <v>7919.9</v>
      </c>
      <c r="N30" s="107">
        <f t="shared" si="4"/>
        <v>6463.9</v>
      </c>
      <c r="O30" s="107">
        <f t="shared" si="4"/>
        <v>5328</v>
      </c>
      <c r="P30" s="107">
        <f t="shared" si="4"/>
        <v>4701.8999999999996</v>
      </c>
      <c r="Q30" s="52"/>
    </row>
    <row r="31" spans="2:19" x14ac:dyDescent="0.2">
      <c r="B31" s="19"/>
      <c r="C31" s="19"/>
      <c r="D31" s="19"/>
      <c r="E31" s="19"/>
      <c r="F31" s="19"/>
      <c r="G31" s="19"/>
      <c r="H31" s="19"/>
      <c r="I31" s="19"/>
      <c r="J31" s="19"/>
      <c r="K31" s="109"/>
      <c r="L31" s="109"/>
      <c r="M31" s="109"/>
      <c r="N31" s="109"/>
      <c r="O31" s="109"/>
      <c r="P31" s="109"/>
      <c r="Q31" s="109"/>
    </row>
    <row r="32" spans="2:19" x14ac:dyDescent="0.2">
      <c r="B32" s="58"/>
      <c r="C32" s="58"/>
      <c r="D32" s="58"/>
      <c r="E32" s="58"/>
      <c r="F32" s="58"/>
      <c r="G32" s="58"/>
      <c r="H32" s="58"/>
      <c r="I32" s="58"/>
      <c r="J32" s="58"/>
      <c r="K32" s="58"/>
      <c r="L32" s="58"/>
      <c r="M32" s="59"/>
      <c r="N32" s="59"/>
      <c r="O32" s="59"/>
      <c r="P32" s="59"/>
      <c r="Q32" s="100"/>
    </row>
    <row r="33" spans="2:17" ht="16" x14ac:dyDescent="0.2">
      <c r="B33" s="228" t="s">
        <v>261</v>
      </c>
      <c r="C33" s="228"/>
      <c r="D33" s="228"/>
      <c r="E33" s="228"/>
      <c r="F33" s="228"/>
      <c r="G33" s="228"/>
      <c r="H33" s="228"/>
      <c r="I33" s="228"/>
      <c r="J33" s="228"/>
      <c r="K33" s="228"/>
      <c r="L33" s="228"/>
      <c r="M33" s="228"/>
      <c r="N33" s="228"/>
      <c r="O33" s="228"/>
      <c r="P33" s="228"/>
    </row>
    <row r="34" spans="2:17" x14ac:dyDescent="0.2">
      <c r="B34" s="99" t="s">
        <v>246</v>
      </c>
      <c r="C34" s="63">
        <v>2023</v>
      </c>
      <c r="D34" s="63">
        <v>2022</v>
      </c>
      <c r="E34" s="63">
        <v>2021</v>
      </c>
      <c r="F34" s="63">
        <v>2020</v>
      </c>
      <c r="G34" s="63">
        <v>2019</v>
      </c>
      <c r="H34" s="63">
        <v>2018</v>
      </c>
      <c r="I34" s="63">
        <v>2017</v>
      </c>
      <c r="J34" s="63">
        <v>2016</v>
      </c>
      <c r="K34" s="63">
        <v>2015</v>
      </c>
      <c r="L34" s="63">
        <v>2014</v>
      </c>
      <c r="M34" s="63">
        <v>2013</v>
      </c>
      <c r="N34" s="63">
        <v>2012</v>
      </c>
      <c r="O34" s="63">
        <v>2011</v>
      </c>
      <c r="P34" s="63">
        <v>2010</v>
      </c>
    </row>
    <row r="35" spans="2:17" x14ac:dyDescent="0.2">
      <c r="B35" t="s">
        <v>38</v>
      </c>
      <c r="C35" s="21">
        <f>'WD3 - Reform. Totalindkomst'!C4</f>
        <v>22443</v>
      </c>
      <c r="D35" s="21">
        <f>'WD3 - Reform. Totalindkomst'!D4</f>
        <v>19705</v>
      </c>
      <c r="E35" s="21">
        <f>'WD3 - Reform. Totalindkomst'!E4</f>
        <v>17905</v>
      </c>
      <c r="F35" s="21">
        <f>'WD3 - Reform. Totalindkomst'!F4</f>
        <v>14469</v>
      </c>
      <c r="G35" s="21">
        <f>'WD3 - Reform. Totalindkomst'!G4</f>
        <v>14946</v>
      </c>
      <c r="H35" s="21">
        <f>'WD3 - Reform. Totalindkomst'!H4</f>
        <v>13937</v>
      </c>
      <c r="I35" s="21">
        <f>'WD3 - Reform. Totalindkomst'!I4</f>
        <v>13189</v>
      </c>
      <c r="J35" s="21">
        <f>'WD3 - Reform. Totalindkomst'!J4</f>
        <v>12002</v>
      </c>
      <c r="K35" s="21">
        <f>'WD3 - Reform. Totalindkomst'!K4</f>
        <v>10665</v>
      </c>
      <c r="L35" s="21">
        <f>'WD3 - Reform. Totalindkomst'!L4</f>
        <v>9346</v>
      </c>
      <c r="M35" s="21">
        <f>'WD3 - Reform. Totalindkomst'!M4</f>
        <v>8959</v>
      </c>
      <c r="N35" s="21">
        <f>'WD3 - Reform. Totalindkomst'!N4</f>
        <v>8555</v>
      </c>
      <c r="O35" s="21">
        <f>'WD3 - Reform. Totalindkomst'!O4</f>
        <v>8041</v>
      </c>
      <c r="P35" s="21">
        <f>'WD3 - Reform. Totalindkomst'!P4</f>
        <v>6892</v>
      </c>
    </row>
    <row r="36" spans="2:17" x14ac:dyDescent="0.2">
      <c r="B36" t="s">
        <v>207</v>
      </c>
      <c r="C36" s="60">
        <f>'WD3 - Reform. Totalindkomst'!C18</f>
        <v>3137</v>
      </c>
      <c r="D36" s="60">
        <f>'WD3 - Reform. Totalindkomst'!D18</f>
        <v>2452</v>
      </c>
      <c r="E36" s="60">
        <f>'WD3 - Reform. Totalindkomst'!E18</f>
        <v>2679</v>
      </c>
      <c r="F36" s="60">
        <f>'WD3 - Reform. Totalindkomst'!F18</f>
        <v>783</v>
      </c>
      <c r="G36" s="60">
        <f>'WD3 - Reform. Totalindkomst'!G18</f>
        <v>1459</v>
      </c>
      <c r="H36" s="60">
        <f>'WD3 - Reform. Totalindkomst'!H18</f>
        <v>1917</v>
      </c>
      <c r="I36" s="60">
        <f>'WD3 - Reform. Totalindkomst'!I18</f>
        <v>1916</v>
      </c>
      <c r="J36" s="60">
        <f>'WD3 - Reform. Totalindkomst'!J18</f>
        <v>1624</v>
      </c>
      <c r="K36" s="60">
        <f>'WD3 - Reform. Totalindkomst'!K18</f>
        <v>1440</v>
      </c>
      <c r="L36" s="60">
        <f>'WD3 - Reform. Totalindkomst'!L18</f>
        <v>1313</v>
      </c>
      <c r="M36" s="60">
        <f>'WD3 - Reform. Totalindkomst'!M18</f>
        <v>1290.5</v>
      </c>
      <c r="N36" s="60">
        <f>'WD3 - Reform. Totalindkomst'!N18</f>
        <v>1234.25</v>
      </c>
      <c r="O36" s="60">
        <f>'WD3 - Reform. Totalindkomst'!O18</f>
        <v>1266.5</v>
      </c>
      <c r="P36" s="60">
        <f>'WD3 - Reform. Totalindkomst'!P18</f>
        <v>1066.75</v>
      </c>
    </row>
    <row r="37" spans="2:17" x14ac:dyDescent="0.2">
      <c r="B37" t="s">
        <v>262</v>
      </c>
      <c r="C37" s="57">
        <f>'WD3 - Reform. Totalindkomst'!C37</f>
        <v>-128.1</v>
      </c>
      <c r="D37" s="57">
        <f>'WD3 - Reform. Totalindkomst'!D37</f>
        <v>425.1</v>
      </c>
      <c r="E37" s="57">
        <f>'WD3 - Reform. Totalindkomst'!E37</f>
        <v>586.74</v>
      </c>
      <c r="F37" s="57">
        <f>'WD3 - Reform. Totalindkomst'!F37</f>
        <v>165.96000000000004</v>
      </c>
      <c r="G37" s="57">
        <f>'WD3 - Reform. Totalindkomst'!G37</f>
        <v>293.08</v>
      </c>
      <c r="H37" s="57">
        <f>'WD3 - Reform. Totalindkomst'!H37</f>
        <v>-382.08</v>
      </c>
      <c r="I37" s="57">
        <f>'WD3 - Reform. Totalindkomst'!I37</f>
        <v>-296.82</v>
      </c>
      <c r="J37" s="57">
        <f>'WD3 - Reform. Totalindkomst'!J37</f>
        <v>0.84000000000000341</v>
      </c>
      <c r="K37" s="57">
        <f>'WD3 - Reform. Totalindkomst'!K37</f>
        <v>176.36500000000001</v>
      </c>
      <c r="L37" s="57">
        <f>'WD3 - Reform. Totalindkomst'!L37</f>
        <v>180.42500000000001</v>
      </c>
      <c r="M37" s="57">
        <f>'WD3 - Reform. Totalindkomst'!M37</f>
        <v>-125.25</v>
      </c>
      <c r="N37" s="57">
        <f>'WD3 - Reform. Totalindkomst'!N37</f>
        <v>109.25</v>
      </c>
      <c r="O37" s="57">
        <f>'WD3 - Reform. Totalindkomst'!O37</f>
        <v>-36.25</v>
      </c>
      <c r="P37" s="57">
        <f>'WD3 - Reform. Totalindkomst'!P37</f>
        <v>170</v>
      </c>
    </row>
    <row r="38" spans="2:17" x14ac:dyDescent="0.2">
      <c r="B38" t="s">
        <v>187</v>
      </c>
      <c r="C38" s="60">
        <f t="shared" ref="C38:P38" si="5">C36+C37</f>
        <v>3008.9</v>
      </c>
      <c r="D38" s="60">
        <f t="shared" si="5"/>
        <v>2877.1</v>
      </c>
      <c r="E38" s="60">
        <f t="shared" si="5"/>
        <v>3265.74</v>
      </c>
      <c r="F38" s="60">
        <f t="shared" si="5"/>
        <v>948.96</v>
      </c>
      <c r="G38" s="60">
        <f t="shared" si="5"/>
        <v>1752.08</v>
      </c>
      <c r="H38" s="60">
        <f t="shared" si="5"/>
        <v>1534.92</v>
      </c>
      <c r="I38" s="60">
        <f t="shared" si="5"/>
        <v>1619.18</v>
      </c>
      <c r="J38" s="60">
        <f t="shared" si="5"/>
        <v>1624.84</v>
      </c>
      <c r="K38" s="60">
        <f t="shared" si="5"/>
        <v>1616.365</v>
      </c>
      <c r="L38" s="60">
        <f t="shared" si="5"/>
        <v>1493.425</v>
      </c>
      <c r="M38" s="110">
        <f t="shared" si="5"/>
        <v>1165.25</v>
      </c>
      <c r="N38" s="110">
        <f t="shared" si="5"/>
        <v>1343.5</v>
      </c>
      <c r="O38" s="110">
        <f t="shared" si="5"/>
        <v>1230.25</v>
      </c>
      <c r="P38" s="110">
        <f t="shared" si="5"/>
        <v>1236.75</v>
      </c>
    </row>
    <row r="39" spans="2:17" x14ac:dyDescent="0.2">
      <c r="B39" t="s">
        <v>180</v>
      </c>
      <c r="C39" s="57">
        <f>'WD3 - Reform. Totalindkomst'!C46</f>
        <v>-1388.02</v>
      </c>
      <c r="D39" s="57">
        <f>'WD3 - Reform. Totalindkomst'!D46</f>
        <v>-445.5</v>
      </c>
      <c r="E39" s="57">
        <f>'WD3 - Reform. Totalindkomst'!E46</f>
        <v>-367.08</v>
      </c>
      <c r="F39" s="57">
        <f>'WD3 - Reform. Totalindkomst'!F46</f>
        <v>-176.28</v>
      </c>
      <c r="G39" s="57">
        <f>'WD3 - Reform. Totalindkomst'!G46</f>
        <v>-215.28</v>
      </c>
      <c r="H39" s="111">
        <f>'WD3 - Reform. Totalindkomst'!H46</f>
        <v>-153.66</v>
      </c>
      <c r="I39" s="111">
        <f>'WD3 - Reform. Totalindkomst'!I46</f>
        <v>-117</v>
      </c>
      <c r="J39" s="111">
        <f>'WD3 - Reform. Totalindkomst'!J46</f>
        <v>-106.86</v>
      </c>
      <c r="K39" s="111">
        <f>'WD3 - Reform. Totalindkomst'!K46</f>
        <v>-78.56</v>
      </c>
      <c r="L39" s="111">
        <f>'WD3 - Reform. Totalindkomst'!L46</f>
        <v>-75.254999999999995</v>
      </c>
      <c r="M39" s="112">
        <f>'WD3 - Reform. Totalindkomst'!M46</f>
        <v>-69.25</v>
      </c>
      <c r="N39" s="112">
        <f>'WD3 - Reform. Totalindkomst'!N46</f>
        <v>-91.5</v>
      </c>
      <c r="O39" s="112">
        <f>'WD3 - Reform. Totalindkomst'!O46</f>
        <v>-69.25</v>
      </c>
      <c r="P39" s="112">
        <f>'WD3 - Reform. Totalindkomst'!P46</f>
        <v>-93.75</v>
      </c>
    </row>
    <row r="40" spans="2:17" x14ac:dyDescent="0.2">
      <c r="B40" s="19" t="s">
        <v>179</v>
      </c>
      <c r="C40" s="60">
        <f t="shared" ref="C40:P40" si="6">C38+C39</f>
        <v>1620.88</v>
      </c>
      <c r="D40" s="60">
        <f t="shared" si="6"/>
        <v>2431.6</v>
      </c>
      <c r="E40" s="60">
        <f t="shared" si="6"/>
        <v>2898.66</v>
      </c>
      <c r="F40" s="60">
        <f t="shared" si="6"/>
        <v>772.68000000000006</v>
      </c>
      <c r="G40" s="60">
        <f t="shared" si="6"/>
        <v>1536.8</v>
      </c>
      <c r="H40" s="60">
        <f t="shared" si="6"/>
        <v>1381.26</v>
      </c>
      <c r="I40" s="60">
        <f t="shared" si="6"/>
        <v>1502.18</v>
      </c>
      <c r="J40" s="60">
        <f t="shared" si="6"/>
        <v>1517.98</v>
      </c>
      <c r="K40" s="60">
        <f t="shared" si="6"/>
        <v>1537.8050000000001</v>
      </c>
      <c r="L40" s="60">
        <f t="shared" si="6"/>
        <v>1418.17</v>
      </c>
      <c r="M40" s="60">
        <f t="shared" si="6"/>
        <v>1096</v>
      </c>
      <c r="N40" s="60">
        <f t="shared" si="6"/>
        <v>1252</v>
      </c>
      <c r="O40" s="60">
        <f t="shared" si="6"/>
        <v>1161</v>
      </c>
      <c r="P40" s="60">
        <f t="shared" si="6"/>
        <v>1143</v>
      </c>
    </row>
    <row r="41" spans="2:17" x14ac:dyDescent="0.2">
      <c r="B41" t="s">
        <v>263</v>
      </c>
      <c r="C41" s="60">
        <f>'WD3 - Reform. Totalindkomst'!C49</f>
        <v>-3</v>
      </c>
      <c r="D41" s="60">
        <f>'WD3 - Reform. Totalindkomst'!D49</f>
        <v>-2</v>
      </c>
      <c r="E41" s="60">
        <f>'WD3 - Reform. Totalindkomst'!E49</f>
        <v>-15</v>
      </c>
      <c r="F41" s="60">
        <f>'WD3 - Reform. Totalindkomst'!F49</f>
        <v>-13</v>
      </c>
      <c r="G41" s="60">
        <f>'WD3 - Reform. Totalindkomst'!G49</f>
        <v>-5</v>
      </c>
      <c r="H41" s="60">
        <f>'WD3 - Reform. Totalindkomst'!H49</f>
        <v>-7</v>
      </c>
      <c r="I41" s="60">
        <f>'WD3 - Reform. Totalindkomst'!I49</f>
        <v>-5</v>
      </c>
      <c r="J41" s="60">
        <f>'WD3 - Reform. Totalindkomst'!J49</f>
        <v>-5</v>
      </c>
      <c r="K41" s="60">
        <f>'WD3 - Reform. Totalindkomst'!K49</f>
        <v>-3</v>
      </c>
      <c r="L41" s="60">
        <f>'WD3 - Reform. Totalindkomst'!L49</f>
        <v>-1</v>
      </c>
      <c r="M41" s="60">
        <f>'WD3 - Reform. Totalindkomst'!M49</f>
        <v>-1</v>
      </c>
      <c r="N41" s="60">
        <f>'WD3 - Reform. Totalindkomst'!N49</f>
        <v>2</v>
      </c>
      <c r="O41" s="60">
        <f>'WD3 - Reform. Totalindkomst'!O49</f>
        <v>-4</v>
      </c>
      <c r="P41" s="60"/>
    </row>
    <row r="42" spans="2:17" ht="16" thickBot="1" x14ac:dyDescent="0.25">
      <c r="B42" s="19" t="s">
        <v>249</v>
      </c>
      <c r="C42" s="113">
        <f t="shared" ref="C42:P42" si="7">C40+C41</f>
        <v>1617.88</v>
      </c>
      <c r="D42" s="113">
        <f t="shared" si="7"/>
        <v>2429.6</v>
      </c>
      <c r="E42" s="113">
        <f t="shared" si="7"/>
        <v>2883.66</v>
      </c>
      <c r="F42" s="113">
        <f t="shared" si="7"/>
        <v>759.68000000000006</v>
      </c>
      <c r="G42" s="113">
        <f t="shared" si="7"/>
        <v>1531.8</v>
      </c>
      <c r="H42" s="113">
        <f t="shared" si="7"/>
        <v>1374.26</v>
      </c>
      <c r="I42" s="113">
        <f t="shared" si="7"/>
        <v>1497.18</v>
      </c>
      <c r="J42" s="113">
        <f t="shared" si="7"/>
        <v>1512.98</v>
      </c>
      <c r="K42" s="113">
        <f t="shared" si="7"/>
        <v>1534.8050000000001</v>
      </c>
      <c r="L42" s="113">
        <f t="shared" si="7"/>
        <v>1417.17</v>
      </c>
      <c r="M42" s="113">
        <f t="shared" si="7"/>
        <v>1095</v>
      </c>
      <c r="N42" s="113">
        <f t="shared" si="7"/>
        <v>1254</v>
      </c>
      <c r="O42" s="113">
        <f t="shared" si="7"/>
        <v>1157</v>
      </c>
      <c r="P42" s="113">
        <f t="shared" si="7"/>
        <v>1143</v>
      </c>
    </row>
    <row r="43" spans="2:17" ht="16" thickTop="1" x14ac:dyDescent="0.2">
      <c r="D43" s="60"/>
      <c r="E43" s="60"/>
      <c r="F43" s="60"/>
      <c r="G43" s="60"/>
      <c r="H43" s="60"/>
      <c r="I43" s="60"/>
      <c r="J43" s="60"/>
      <c r="K43" s="60"/>
      <c r="L43" s="60"/>
      <c r="M43" s="60"/>
      <c r="N43" s="60"/>
      <c r="O43" s="60"/>
      <c r="P43" s="60"/>
    </row>
    <row r="44" spans="2:17" x14ac:dyDescent="0.2">
      <c r="N44" s="21"/>
      <c r="O44" s="21"/>
      <c r="P44" s="21"/>
      <c r="Q44" s="21"/>
    </row>
    <row r="45" spans="2:17" x14ac:dyDescent="0.2">
      <c r="B45" s="114" t="s">
        <v>264</v>
      </c>
      <c r="C45" s="63">
        <v>2023</v>
      </c>
      <c r="D45" s="63">
        <v>2022</v>
      </c>
      <c r="E45" s="63">
        <v>2021</v>
      </c>
      <c r="F45" s="63">
        <v>2020</v>
      </c>
      <c r="G45" s="63">
        <v>2019</v>
      </c>
      <c r="H45" s="115">
        <v>2018</v>
      </c>
      <c r="I45" s="115">
        <v>2017</v>
      </c>
      <c r="J45" s="63">
        <v>2016</v>
      </c>
      <c r="K45" s="63">
        <v>2015</v>
      </c>
      <c r="L45" s="63">
        <v>2014</v>
      </c>
      <c r="M45" s="63">
        <v>2013</v>
      </c>
      <c r="N45" s="63">
        <v>2012</v>
      </c>
      <c r="O45" s="63">
        <v>2011</v>
      </c>
      <c r="P45" s="19"/>
      <c r="Q45" s="21"/>
    </row>
    <row r="46" spans="2:17" x14ac:dyDescent="0.2">
      <c r="B46" t="s">
        <v>265</v>
      </c>
      <c r="C46" s="116">
        <f t="shared" ref="C46:O46" si="8">C40/((C27+C28+D27+D28)/2)</f>
        <v>0.18114641424244796</v>
      </c>
      <c r="D46" s="116">
        <f t="shared" si="8"/>
        <v>0.29404793576317506</v>
      </c>
      <c r="E46" s="116">
        <f t="shared" si="8"/>
        <v>0.3566308640608275</v>
      </c>
      <c r="F46" s="116">
        <f t="shared" si="8"/>
        <v>9.707157125089512E-2</v>
      </c>
      <c r="G46" s="116">
        <f t="shared" si="8"/>
        <v>0.2090770570309099</v>
      </c>
      <c r="H46" s="116">
        <f t="shared" si="8"/>
        <v>0.1906527350273986</v>
      </c>
      <c r="I46" s="116">
        <f t="shared" si="8"/>
        <v>0.20868248499666595</v>
      </c>
      <c r="J46" s="116">
        <f t="shared" si="8"/>
        <v>0.22549057472630313</v>
      </c>
      <c r="K46" s="116">
        <f t="shared" si="8"/>
        <v>0.25456554486914207</v>
      </c>
      <c r="L46" s="116">
        <f t="shared" si="8"/>
        <v>0.26662843821090831</v>
      </c>
      <c r="M46" s="116">
        <f t="shared" si="8"/>
        <v>0.24054077780704067</v>
      </c>
      <c r="N46" s="116">
        <f t="shared" si="8"/>
        <v>0.34012958611228084</v>
      </c>
      <c r="O46" s="116">
        <f t="shared" si="8"/>
        <v>0.40411423797838464</v>
      </c>
      <c r="P46" s="117"/>
      <c r="Q46" s="116"/>
    </row>
    <row r="47" spans="2:17" x14ac:dyDescent="0.2">
      <c r="B47" t="s">
        <v>144</v>
      </c>
      <c r="C47" s="116">
        <f t="shared" ref="C47:O47" si="9">C42/((C27+D27)/2)</f>
        <v>0.18165364232462053</v>
      </c>
      <c r="D47" s="116">
        <f t="shared" si="9"/>
        <v>0.29389493038502945</v>
      </c>
      <c r="E47" s="116">
        <f t="shared" si="9"/>
        <v>0.35550706413196242</v>
      </c>
      <c r="F47" s="116">
        <f t="shared" si="9"/>
        <v>9.5666738027175777E-2</v>
      </c>
      <c r="G47" s="116">
        <f t="shared" si="9"/>
        <v>0.20865230065110196</v>
      </c>
      <c r="H47" s="116">
        <f t="shared" si="9"/>
        <v>0.18988310719319093</v>
      </c>
      <c r="I47" s="116">
        <f t="shared" si="9"/>
        <v>0.20814692265984513</v>
      </c>
      <c r="J47" s="116">
        <f t="shared" si="9"/>
        <v>0.2248480435137987</v>
      </c>
      <c r="K47" s="116">
        <f t="shared" si="9"/>
        <v>0.25404790280398587</v>
      </c>
      <c r="L47" s="116">
        <f t="shared" si="9"/>
        <v>0.26636531087888132</v>
      </c>
      <c r="M47" s="116">
        <f t="shared" si="9"/>
        <v>0.24024221681037322</v>
      </c>
      <c r="N47" s="116">
        <f t="shared" si="9"/>
        <v>0.34076549953124363</v>
      </c>
      <c r="O47" s="116">
        <f t="shared" si="9"/>
        <v>0.40300249046482872</v>
      </c>
      <c r="P47" s="117"/>
      <c r="Q47" s="21"/>
    </row>
    <row r="48" spans="2:17" x14ac:dyDescent="0.2">
      <c r="N48" s="118"/>
      <c r="O48" s="118"/>
      <c r="P48" s="119"/>
      <c r="Q48" s="21"/>
    </row>
    <row r="49" spans="1:17" x14ac:dyDescent="0.2">
      <c r="A49" s="120"/>
      <c r="B49" t="s">
        <v>266</v>
      </c>
      <c r="C49" s="116">
        <f t="shared" ref="C49:O49" si="10">C38/((C25+D25)/2)</f>
        <v>0.13621403834400961</v>
      </c>
      <c r="D49" s="116">
        <f t="shared" si="10"/>
        <v>0.14433853408919881</v>
      </c>
      <c r="E49" s="116">
        <f t="shared" si="10"/>
        <v>0.1894390625906375</v>
      </c>
      <c r="F49" s="116">
        <f t="shared" si="10"/>
        <v>5.7212793536912554E-2</v>
      </c>
      <c r="G49" s="116">
        <f t="shared" si="10"/>
        <v>0.11527221290174018</v>
      </c>
      <c r="H49" s="116">
        <f t="shared" si="10"/>
        <v>0.11871915848093434</v>
      </c>
      <c r="I49" s="116">
        <f t="shared" si="10"/>
        <v>0.13457280585106385</v>
      </c>
      <c r="J49" s="116">
        <f t="shared" si="10"/>
        <v>0.14303798582684096</v>
      </c>
      <c r="K49" s="116">
        <f t="shared" si="10"/>
        <v>0.16485950328930593</v>
      </c>
      <c r="L49" s="116">
        <f t="shared" si="10"/>
        <v>0.18021298419210813</v>
      </c>
      <c r="M49" s="116">
        <f t="shared" si="10"/>
        <v>0.16199777561518142</v>
      </c>
      <c r="N49" s="116">
        <f t="shared" si="10"/>
        <v>0.22784702789790554</v>
      </c>
      <c r="O49" s="116">
        <f t="shared" si="10"/>
        <v>0.24531405782652044</v>
      </c>
      <c r="P49" s="117"/>
    </row>
    <row r="50" spans="1:17" x14ac:dyDescent="0.2">
      <c r="B50" t="s">
        <v>267</v>
      </c>
      <c r="C50" s="121">
        <f t="shared" ref="C50:O50" si="11">(C28+C29+D28+D29)/(C27+D27)</f>
        <v>1.4799470044013294</v>
      </c>
      <c r="D50" s="121">
        <f t="shared" si="11"/>
        <v>1.4109279173571714</v>
      </c>
      <c r="E50" s="121">
        <f t="shared" si="11"/>
        <v>1.1250215745740564</v>
      </c>
      <c r="F50" s="121">
        <f t="shared" si="11"/>
        <v>1.0884786359228804</v>
      </c>
      <c r="G50" s="121">
        <f t="shared" si="11"/>
        <v>1.0701637289890211</v>
      </c>
      <c r="H50" s="121">
        <f t="shared" si="11"/>
        <v>0.78626302263243708</v>
      </c>
      <c r="I50" s="121">
        <f t="shared" si="11"/>
        <v>0.67260771038107026</v>
      </c>
      <c r="J50" s="121">
        <f t="shared" si="11"/>
        <v>0.68800249669336744</v>
      </c>
      <c r="K50" s="121">
        <f t="shared" si="11"/>
        <v>0.62270334690634621</v>
      </c>
      <c r="L50" s="121">
        <f t="shared" si="11"/>
        <v>0.55738290354108722</v>
      </c>
      <c r="M50" s="121">
        <f t="shared" si="11"/>
        <v>0.57789771605344575</v>
      </c>
      <c r="N50" s="121">
        <f t="shared" si="11"/>
        <v>0.6021820948654194</v>
      </c>
      <c r="O50" s="121">
        <f t="shared" si="11"/>
        <v>0.74679113185530932</v>
      </c>
      <c r="P50" s="121"/>
    </row>
    <row r="51" spans="1:17" x14ac:dyDescent="0.2">
      <c r="B51" s="64" t="s">
        <v>268</v>
      </c>
      <c r="C51" s="116">
        <f t="shared" ref="C51:O51" si="12">-C39/((C29+D29)/2)</f>
        <v>0.10563720080672781</v>
      </c>
      <c r="D51" s="116">
        <f t="shared" si="12"/>
        <v>3.8202632594434675E-2</v>
      </c>
      <c r="E51" s="116">
        <f t="shared" si="12"/>
        <v>4.0298605774508729E-2</v>
      </c>
      <c r="F51" s="116">
        <f t="shared" si="12"/>
        <v>2.0439445764971882E-2</v>
      </c>
      <c r="G51" s="116">
        <f t="shared" si="12"/>
        <v>2.7432940426887546E-2</v>
      </c>
      <c r="H51" s="116">
        <f t="shared" si="12"/>
        <v>2.7038535984515222E-2</v>
      </c>
      <c r="I51" s="116">
        <f t="shared" si="12"/>
        <v>2.421107087428867E-2</v>
      </c>
      <c r="J51" s="116">
        <f t="shared" si="12"/>
        <v>2.3097373824705499E-2</v>
      </c>
      <c r="K51" s="116">
        <f t="shared" si="12"/>
        <v>2.0879734219269103E-2</v>
      </c>
      <c r="L51" s="116">
        <f t="shared" si="12"/>
        <v>2.536400404448938E-2</v>
      </c>
      <c r="M51" s="116">
        <f t="shared" si="12"/>
        <v>2.6275848985012333E-2</v>
      </c>
      <c r="N51" s="116">
        <f t="shared" si="12"/>
        <v>4.1309255079006769E-2</v>
      </c>
      <c r="O51" s="116">
        <f t="shared" si="12"/>
        <v>3.2329598506069097E-2</v>
      </c>
      <c r="P51" s="117"/>
    </row>
    <row r="52" spans="1:17" x14ac:dyDescent="0.2">
      <c r="B52" t="s">
        <v>269</v>
      </c>
      <c r="C52" s="120">
        <f t="shared" ref="C52:O52" si="13">C49-C51</f>
        <v>3.0576837537281798E-2</v>
      </c>
      <c r="D52" s="120">
        <f t="shared" si="13"/>
        <v>0.10613590149476412</v>
      </c>
      <c r="E52" s="120">
        <f t="shared" si="13"/>
        <v>0.14914045681612878</v>
      </c>
      <c r="F52" s="120">
        <f t="shared" si="13"/>
        <v>3.6773347771940676E-2</v>
      </c>
      <c r="G52" s="120">
        <f t="shared" si="13"/>
        <v>8.7839272474852639E-2</v>
      </c>
      <c r="H52" s="120">
        <f t="shared" si="13"/>
        <v>9.1680622496419117E-2</v>
      </c>
      <c r="I52" s="120">
        <f t="shared" si="13"/>
        <v>0.11036173497677518</v>
      </c>
      <c r="J52" s="120">
        <f t="shared" si="13"/>
        <v>0.11994061200213546</v>
      </c>
      <c r="K52" s="120">
        <f t="shared" si="13"/>
        <v>0.14397976907003682</v>
      </c>
      <c r="L52" s="120">
        <f t="shared" si="13"/>
        <v>0.15484898014761875</v>
      </c>
      <c r="M52" s="120">
        <f t="shared" si="13"/>
        <v>0.13572192663016908</v>
      </c>
      <c r="N52" s="120">
        <f t="shared" si="13"/>
        <v>0.18653777281889877</v>
      </c>
      <c r="O52" s="120">
        <f t="shared" si="13"/>
        <v>0.21298445932045135</v>
      </c>
      <c r="P52" s="120"/>
    </row>
    <row r="53" spans="1:17" x14ac:dyDescent="0.2">
      <c r="B53" t="s">
        <v>270</v>
      </c>
      <c r="C53" s="121">
        <f t="shared" ref="C53:O53" si="14">(C42/C40)/((C27+D27+C28+D28)/(C27+D27))</f>
        <v>0.99351977795282365</v>
      </c>
      <c r="D53" s="121">
        <f t="shared" si="14"/>
        <v>0.99887542556316034</v>
      </c>
      <c r="E53" s="121">
        <f t="shared" si="14"/>
        <v>0.99280565551424138</v>
      </c>
      <c r="F53" s="121">
        <f t="shared" si="14"/>
        <v>0.98082863628774875</v>
      </c>
      <c r="G53" s="121">
        <f t="shared" si="14"/>
        <v>0.99552604672210121</v>
      </c>
      <c r="H53" s="121">
        <f t="shared" si="14"/>
        <v>0.99390219869114182</v>
      </c>
      <c r="I53" s="121">
        <f t="shared" si="14"/>
        <v>0.99590998856722679</v>
      </c>
      <c r="J53" s="121">
        <f t="shared" si="14"/>
        <v>0.99626197741268829</v>
      </c>
      <c r="K53" s="121">
        <f t="shared" si="14"/>
        <v>0.99813177513733098</v>
      </c>
      <c r="L53" s="121">
        <f t="shared" si="14"/>
        <v>0.99957668025985469</v>
      </c>
      <c r="M53" s="121">
        <f t="shared" si="14"/>
        <v>0.99941649813817668</v>
      </c>
      <c r="N53" s="121">
        <f t="shared" si="14"/>
        <v>1.0013253411149288</v>
      </c>
      <c r="O53" s="121">
        <f t="shared" si="14"/>
        <v>0.99586094411565518</v>
      </c>
      <c r="P53" s="121"/>
    </row>
    <row r="54" spans="1:17" x14ac:dyDescent="0.2">
      <c r="M54" s="116"/>
      <c r="N54" s="116"/>
      <c r="O54" s="116"/>
      <c r="P54" s="117"/>
    </row>
    <row r="55" spans="1:17" x14ac:dyDescent="0.2">
      <c r="B55" s="114" t="s">
        <v>271</v>
      </c>
      <c r="C55" s="63">
        <v>2023</v>
      </c>
      <c r="D55" s="63">
        <v>2022</v>
      </c>
      <c r="E55" s="63">
        <v>2021</v>
      </c>
      <c r="F55" s="63">
        <v>2020</v>
      </c>
      <c r="G55" s="63">
        <v>2019</v>
      </c>
      <c r="H55" s="115">
        <v>2018</v>
      </c>
      <c r="I55" s="115">
        <v>2017</v>
      </c>
      <c r="J55" s="63">
        <v>2016</v>
      </c>
      <c r="K55" s="63">
        <v>2015</v>
      </c>
      <c r="L55" s="63">
        <v>2014</v>
      </c>
      <c r="M55" s="63">
        <v>2013</v>
      </c>
      <c r="N55" s="63">
        <v>2012</v>
      </c>
      <c r="O55" s="63">
        <v>2011</v>
      </c>
      <c r="P55" s="19"/>
    </row>
    <row r="56" spans="1:17" x14ac:dyDescent="0.2">
      <c r="B56" t="s">
        <v>266</v>
      </c>
      <c r="C56" s="120">
        <f t="shared" ref="C56:O56" si="15">C49</f>
        <v>0.13621403834400961</v>
      </c>
      <c r="D56" s="120">
        <f t="shared" si="15"/>
        <v>0.14433853408919881</v>
      </c>
      <c r="E56" s="120">
        <f t="shared" si="15"/>
        <v>0.1894390625906375</v>
      </c>
      <c r="F56" s="120">
        <f t="shared" si="15"/>
        <v>5.7212793536912554E-2</v>
      </c>
      <c r="G56" s="120">
        <f t="shared" si="15"/>
        <v>0.11527221290174018</v>
      </c>
      <c r="H56" s="120">
        <f t="shared" si="15"/>
        <v>0.11871915848093434</v>
      </c>
      <c r="I56" s="120">
        <f t="shared" si="15"/>
        <v>0.13457280585106385</v>
      </c>
      <c r="J56" s="120">
        <f t="shared" si="15"/>
        <v>0.14303798582684096</v>
      </c>
      <c r="K56" s="120">
        <f t="shared" si="15"/>
        <v>0.16485950328930593</v>
      </c>
      <c r="L56" s="120">
        <f t="shared" si="15"/>
        <v>0.18021298419210813</v>
      </c>
      <c r="M56" s="120">
        <f t="shared" si="15"/>
        <v>0.16199777561518142</v>
      </c>
      <c r="N56" s="120">
        <f t="shared" si="15"/>
        <v>0.22784702789790554</v>
      </c>
      <c r="O56" s="120">
        <f t="shared" si="15"/>
        <v>0.24531405782652044</v>
      </c>
      <c r="P56" s="120"/>
    </row>
    <row r="57" spans="1:17" x14ac:dyDescent="0.2">
      <c r="B57" t="s">
        <v>272</v>
      </c>
      <c r="C57" s="120">
        <f t="shared" ref="C57:O57" si="16">C38/C35</f>
        <v>0.1340685291627679</v>
      </c>
      <c r="D57" s="120">
        <f t="shared" si="16"/>
        <v>0.14600862725196651</v>
      </c>
      <c r="E57" s="120">
        <f t="shared" si="16"/>
        <v>0.18239262775760959</v>
      </c>
      <c r="F57" s="120">
        <f t="shared" si="16"/>
        <v>6.5585735019697292E-2</v>
      </c>
      <c r="G57" s="120">
        <f t="shared" si="16"/>
        <v>0.11722735179981265</v>
      </c>
      <c r="H57" s="120">
        <f t="shared" si="16"/>
        <v>0.11013274018798881</v>
      </c>
      <c r="I57" s="120">
        <f t="shared" si="16"/>
        <v>0.12276745772992646</v>
      </c>
      <c r="J57" s="120">
        <f t="shared" si="16"/>
        <v>0.13538076987168804</v>
      </c>
      <c r="K57" s="120">
        <f t="shared" si="16"/>
        <v>0.15155789967182373</v>
      </c>
      <c r="L57" s="120">
        <f t="shared" si="16"/>
        <v>0.15979295955488979</v>
      </c>
      <c r="M57" s="120">
        <f t="shared" si="16"/>
        <v>0.13006473936823307</v>
      </c>
      <c r="N57" s="120">
        <f t="shared" si="16"/>
        <v>0.1570426651081239</v>
      </c>
      <c r="O57" s="120">
        <f t="shared" si="16"/>
        <v>0.15299713965924636</v>
      </c>
      <c r="P57" s="120"/>
    </row>
    <row r="58" spans="1:17" x14ac:dyDescent="0.2">
      <c r="B58" t="s">
        <v>273</v>
      </c>
      <c r="C58" s="122">
        <f t="shared" ref="C58:O58" si="17">C35/((C25+D25)/2)</f>
        <v>1.0160030783856584</v>
      </c>
      <c r="D58" s="122">
        <f t="shared" si="17"/>
        <v>0.98856168163347213</v>
      </c>
      <c r="E58" s="122">
        <f t="shared" si="17"/>
        <v>1.0386333313997331</v>
      </c>
      <c r="F58" s="122">
        <f t="shared" si="17"/>
        <v>0.87233593585144542</v>
      </c>
      <c r="G58" s="122">
        <f t="shared" si="17"/>
        <v>0.98332181979670386</v>
      </c>
      <c r="H58" s="122">
        <f t="shared" si="17"/>
        <v>1.0779642663779101</v>
      </c>
      <c r="I58" s="122">
        <f t="shared" si="17"/>
        <v>1.096160239361702</v>
      </c>
      <c r="J58" s="122">
        <f t="shared" si="17"/>
        <v>1.0565605880540516</v>
      </c>
      <c r="K58" s="122">
        <f t="shared" si="17"/>
        <v>1.0877658218165129</v>
      </c>
      <c r="L58" s="122">
        <f t="shared" si="17"/>
        <v>1.1277905152648726</v>
      </c>
      <c r="M58" s="122">
        <f t="shared" si="17"/>
        <v>1.2455164743500626</v>
      </c>
      <c r="N58" s="122">
        <f t="shared" si="17"/>
        <v>1.450860680064445</v>
      </c>
      <c r="O58" s="122">
        <f t="shared" si="17"/>
        <v>1.6033898305084746</v>
      </c>
      <c r="P58" s="122"/>
    </row>
    <row r="59" spans="1:17" x14ac:dyDescent="0.2">
      <c r="N59" s="123"/>
      <c r="O59" s="123"/>
      <c r="P59" s="123"/>
    </row>
    <row r="60" spans="1:17" x14ac:dyDescent="0.2">
      <c r="B60" s="114" t="s">
        <v>274</v>
      </c>
      <c r="C60" s="63">
        <v>2023</v>
      </c>
      <c r="D60" s="63">
        <v>2022</v>
      </c>
      <c r="E60" s="63">
        <v>2021</v>
      </c>
      <c r="F60" s="63">
        <v>2020</v>
      </c>
      <c r="G60" s="63">
        <v>2019</v>
      </c>
      <c r="H60" s="115">
        <v>2018</v>
      </c>
      <c r="I60" s="115">
        <v>2017</v>
      </c>
      <c r="J60" s="63">
        <v>2016</v>
      </c>
      <c r="K60" s="63">
        <v>2015</v>
      </c>
      <c r="L60" s="63">
        <v>2014</v>
      </c>
      <c r="M60" s="63">
        <v>2013</v>
      </c>
      <c r="N60" s="63">
        <v>2012</v>
      </c>
      <c r="O60" s="63">
        <v>2011</v>
      </c>
      <c r="P60" s="19"/>
    </row>
    <row r="61" spans="1:17" x14ac:dyDescent="0.2">
      <c r="B61" t="s">
        <v>275</v>
      </c>
      <c r="C61" s="116">
        <f>'WD3 - Reform. Totalindkomst'!C6/'WD3 - Reform. Totalindkomst'!C4</f>
        <v>0.73715635164639304</v>
      </c>
      <c r="D61" s="116">
        <f>'WD3 - Reform. Totalindkomst'!D6/'WD3 - Reform. Totalindkomst'!D4</f>
        <v>0.74443034762750571</v>
      </c>
      <c r="E61" s="116">
        <f>'WD3 - Reform. Totalindkomst'!E6/'WD3 - Reform. Totalindkomst'!E4</f>
        <v>0.75163362189332583</v>
      </c>
      <c r="F61" s="116">
        <f>'WD3 - Reform. Totalindkomst'!F6/'WD3 - Reform. Totalindkomst'!F4</f>
        <v>0.70447162899993088</v>
      </c>
      <c r="G61" s="116">
        <f>'WD3 - Reform. Totalindkomst'!G6/'WD3 - Reform. Totalindkomst'!G4</f>
        <v>0.75772782015254914</v>
      </c>
      <c r="H61" s="116">
        <f>'WD3 - Reform. Totalindkomst'!H6/'WD3 - Reform. Totalindkomst'!H4</f>
        <v>0.77670947836693693</v>
      </c>
      <c r="I61" s="116">
        <f>'WD3 - Reform. Totalindkomst'!I6/'WD3 - Reform. Totalindkomst'!I4</f>
        <v>0.76268102206384103</v>
      </c>
      <c r="J61" s="116">
        <f>'WD3 - Reform. Totalindkomst'!J6/'WD3 - Reform. Totalindkomst'!J4</f>
        <v>0.76028995167472091</v>
      </c>
      <c r="K61" s="116">
        <f>'WD3 - Reform. Totalindkomst'!K6/'WD3 - Reform. Totalindkomst'!K4</f>
        <v>0.74027191748710741</v>
      </c>
      <c r="L61" s="116">
        <f>'WD3 - Reform. Totalindkomst'!L6/'WD3 - Reform. Totalindkomst'!L4</f>
        <v>0.72897496255082384</v>
      </c>
      <c r="M61" s="116">
        <f>'WD3 - Reform. Totalindkomst'!M6/'WD3 - Reform. Totalindkomst'!M4</f>
        <v>0.72775979461993523</v>
      </c>
      <c r="N61" s="116">
        <f>'WD3 - Reform. Totalindkomst'!N6/'WD3 - Reform. Totalindkomst'!N4</f>
        <v>0.71618936294564584</v>
      </c>
      <c r="O61" s="116">
        <f>'WD3 - Reform. Totalindkomst'!O6/'WD3 - Reform. Totalindkomst'!O4</f>
        <v>0.71831861708742695</v>
      </c>
      <c r="P61" s="117"/>
      <c r="Q61" s="124"/>
    </row>
    <row r="62" spans="1:17" x14ac:dyDescent="0.2">
      <c r="B62" t="s">
        <v>41</v>
      </c>
      <c r="C62" s="116">
        <f>'WD3 - Reform. Totalindkomst'!C7/'WD3 - Reform. Totalindkomst'!C4</f>
        <v>-6.2825825424408496E-2</v>
      </c>
      <c r="D62" s="116">
        <f>'WD3 - Reform. Totalindkomst'!D7/'WD3 - Reform. Totalindkomst'!D4</f>
        <v>-6.6683582846993147E-2</v>
      </c>
      <c r="E62" s="116">
        <f>'WD3 - Reform. Totalindkomst'!E7/'WD3 - Reform. Totalindkomst'!E4</f>
        <v>-6.3613515777715721E-2</v>
      </c>
      <c r="F62" s="116">
        <f>'WD3 - Reform. Totalindkomst'!F7/'WD3 - Reform. Totalindkomst'!F4</f>
        <v>-8.7151841868823007E-2</v>
      </c>
      <c r="G62" s="116">
        <f>'WD3 - Reform. Totalindkomst'!G7/'WD3 - Reform. Totalindkomst'!G4</f>
        <v>-7.4936437842901105E-2</v>
      </c>
      <c r="H62" s="116">
        <f>'WD3 - Reform. Totalindkomst'!H7/'WD3 - Reform. Totalindkomst'!H4</f>
        <v>-7.132094424912104E-2</v>
      </c>
      <c r="I62" s="116">
        <f>'WD3 - Reform. Totalindkomst'!I7/'WD3 - Reform. Totalindkomst'!I4</f>
        <v>-6.4902570323754641E-2</v>
      </c>
      <c r="J62" s="116">
        <f>'WD3 - Reform. Totalindkomst'!J7/'WD3 - Reform. Totalindkomst'!J4</f>
        <v>-6.5322446258956834E-2</v>
      </c>
      <c r="K62" s="116">
        <f>'WD3 - Reform. Totalindkomst'!K7/'WD3 - Reform. Totalindkomst'!K4</f>
        <v>-7.1542428504453817E-2</v>
      </c>
      <c r="L62" s="116">
        <f>'WD3 - Reform. Totalindkomst'!L7/'WD3 - Reform. Totalindkomst'!L4</f>
        <v>-7.2758399315215064E-2</v>
      </c>
      <c r="M62" s="116">
        <f>'WD3 - Reform. Totalindkomst'!M7/'WD3 - Reform. Totalindkomst'!M4</f>
        <v>-7.076682665476057E-2</v>
      </c>
      <c r="N62" s="116">
        <f>'WD3 - Reform. Totalindkomst'!N7/'WD3 - Reform. Totalindkomst'!N4</f>
        <v>-7.6212741087083577E-2</v>
      </c>
      <c r="O62" s="116">
        <f>'WD3 - Reform. Totalindkomst'!O7/'WD3 - Reform. Totalindkomst'!O4</f>
        <v>-7.8721552045765447E-2</v>
      </c>
      <c r="P62" s="117"/>
    </row>
    <row r="63" spans="1:17" x14ac:dyDescent="0.2">
      <c r="B63" t="s">
        <v>42</v>
      </c>
      <c r="C63" s="116">
        <f>'WD3 - Reform. Totalindkomst'!C8/'WD3 - Reform. Totalindkomst'!C4</f>
        <v>-0.44187497215167315</v>
      </c>
      <c r="D63" s="116">
        <f>'WD3 - Reform. Totalindkomst'!D8/'WD3 - Reform. Totalindkomst'!D4</f>
        <v>-0.46851053032225326</v>
      </c>
      <c r="E63" s="116">
        <f>'WD3 - Reform. Totalindkomst'!E8/'WD3 - Reform. Totalindkomst'!E4</f>
        <v>-0.44585311365540353</v>
      </c>
      <c r="F63" s="116">
        <f>'WD3 - Reform. Totalindkomst'!F8/'WD3 - Reform. Totalindkomst'!F4</f>
        <v>-0.48842352615937523</v>
      </c>
      <c r="G63" s="116">
        <f>'WD3 - Reform. Totalindkomst'!G8/'WD3 - Reform. Totalindkomst'!G4</f>
        <v>-0.49652080824300815</v>
      </c>
      <c r="H63" s="116">
        <f>'WD3 - Reform. Totalindkomst'!H8/'WD3 - Reform. Totalindkomst'!H4</f>
        <v>-0.47212456052235058</v>
      </c>
      <c r="I63" s="116">
        <f>'WD3 - Reform. Totalindkomst'!I8/'WD3 - Reform. Totalindkomst'!I4</f>
        <v>-0.45932216240806734</v>
      </c>
      <c r="J63" s="116">
        <f>'WD3 - Reform. Totalindkomst'!J8/'WD3 - Reform. Totalindkomst'!J4</f>
        <v>-0.46833861023162804</v>
      </c>
      <c r="K63" s="116">
        <f>'WD3 - Reform. Totalindkomst'!K8/'WD3 - Reform. Totalindkomst'!K4</f>
        <v>-0.43994374120956398</v>
      </c>
      <c r="L63" s="116">
        <f>'WD3 - Reform. Totalindkomst'!L8/'WD3 - Reform. Totalindkomst'!L4</f>
        <v>-0.41515086668093304</v>
      </c>
      <c r="M63" s="116">
        <f>'WD3 - Reform. Totalindkomst'!M8/'WD3 - Reform. Totalindkomst'!M4</f>
        <v>-0.40785801986828885</v>
      </c>
      <c r="N63" s="116">
        <f>'WD3 - Reform. Totalindkomst'!N8/'WD3 - Reform. Totalindkomst'!N4</f>
        <v>-0.38749269433080069</v>
      </c>
      <c r="O63" s="116">
        <f>'WD3 - Reform. Totalindkomst'!O8/'WD3 - Reform. Totalindkomst'!O4</f>
        <v>-0.36836214401193884</v>
      </c>
      <c r="P63" s="117"/>
    </row>
    <row r="64" spans="1:17" x14ac:dyDescent="0.2">
      <c r="B64" t="s">
        <v>43</v>
      </c>
      <c r="C64" s="117">
        <f>'WD3 - Reform. Totalindkomst'!C9/'WD3 - Reform. Totalindkomst'!C4</f>
        <v>-5.0706233569487148E-2</v>
      </c>
      <c r="D64" s="117">
        <f>'WD3 - Reform. Totalindkomst'!D9/'WD3 - Reform. Totalindkomst'!D4</f>
        <v>-5.2676985536665819E-2</v>
      </c>
      <c r="E64" s="117">
        <f>'WD3 - Reform. Totalindkomst'!E9/'WD3 - Reform. Totalindkomst'!E4</f>
        <v>-4.981848645629712E-2</v>
      </c>
      <c r="F64" s="117">
        <f>'WD3 - Reform. Totalindkomst'!F9/'WD3 - Reform. Totalindkomst'!F4</f>
        <v>-5.8055152394775038E-2</v>
      </c>
      <c r="G64" s="117">
        <f>'WD3 - Reform. Totalindkomst'!G9/'WD3 - Reform. Totalindkomst'!G4</f>
        <v>-5.6938311253847185E-2</v>
      </c>
      <c r="H64" s="117">
        <f>'WD3 - Reform. Totalindkomst'!H9/'WD3 - Reform. Totalindkomst'!H4</f>
        <v>-5.2665566477721172E-2</v>
      </c>
      <c r="I64" s="117">
        <f>'WD3 - Reform. Totalindkomst'!I9/'WD3 - Reform. Totalindkomst'!I4</f>
        <v>-5.3226173326256732E-2</v>
      </c>
      <c r="J64" s="117">
        <f>'WD3 - Reform. Totalindkomst'!J9/'WD3 - Reform. Totalindkomst'!J4</f>
        <v>-5.4240959840026665E-2</v>
      </c>
      <c r="K64" s="117">
        <f>'WD3 - Reform. Totalindkomst'!K9/'WD3 - Reform. Totalindkomst'!K4</f>
        <v>-5.7571495546179088E-2</v>
      </c>
      <c r="L64" s="117">
        <f>'WD3 - Reform. Totalindkomst'!L9/'WD3 - Reform. Totalindkomst'!L4</f>
        <v>-5.9811684142948858E-2</v>
      </c>
      <c r="M64" s="117">
        <f>'WD3 - Reform. Totalindkomst'!M9/'WD3 - Reform. Totalindkomst'!M4</f>
        <v>-6.0832682218997659E-2</v>
      </c>
      <c r="N64" s="117">
        <f>'WD3 - Reform. Totalindkomst'!N9/'WD3 - Reform. Totalindkomst'!N4</f>
        <v>-6.1250730566919931E-2</v>
      </c>
      <c r="O64" s="117">
        <f>'WD3 - Reform. Totalindkomst'!O9/'WD3 - Reform. Totalindkomst'!O4</f>
        <v>-6.0067155826389752E-2</v>
      </c>
      <c r="P64" s="117"/>
    </row>
    <row r="65" spans="2:16" x14ac:dyDescent="0.2">
      <c r="B65" t="s">
        <v>276</v>
      </c>
      <c r="C65" s="125">
        <f>'WD3 - Reform. Totalindkomst'!C16/'WD3 - Reform. Totalindkomst'!C4</f>
        <v>-4.4780109611014571E-2</v>
      </c>
      <c r="D65" s="125">
        <f>'WD3 - Reform. Totalindkomst'!D16/'WD3 - Reform. Totalindkomst'!D4</f>
        <v>-3.61837097183456E-2</v>
      </c>
      <c r="E65" s="125">
        <f>'WD3 - Reform. Totalindkomst'!E16/'WD3 - Reform. Totalindkomst'!E4</f>
        <v>-4.3172298240714883E-2</v>
      </c>
      <c r="F65" s="125">
        <f>'WD3 - Reform. Totalindkomst'!F16/'WD3 - Reform. Totalindkomst'!F4</f>
        <v>-1.7001866058469831E-2</v>
      </c>
      <c r="G65" s="125">
        <f>'WD3 - Reform. Totalindkomst'!G16/'WD3 - Reform. Totalindkomst'!G4</f>
        <v>-3.1781078549444668E-2</v>
      </c>
      <c r="H65" s="125">
        <f>'WD3 - Reform. Totalindkomst'!H16/'WD3 - Reform. Totalindkomst'!H4</f>
        <v>-4.305087178015355E-2</v>
      </c>
      <c r="I65" s="125">
        <f>'WD3 - Reform. Totalindkomst'!I16/'WD3 - Reform. Totalindkomst'!I4</f>
        <v>-3.9957540374554554E-2</v>
      </c>
      <c r="J65" s="125">
        <f>'WD3 - Reform. Totalindkomst'!J16/'WD3 - Reform. Totalindkomst'!J4</f>
        <v>-3.7077153807698715E-2</v>
      </c>
      <c r="K65" s="125">
        <f>'WD3 - Reform. Totalindkomst'!K16/'WD3 - Reform. Totalindkomst'!K4</f>
        <v>-3.6193155180496955E-2</v>
      </c>
      <c r="L65" s="125">
        <f>'WD3 - Reform. Totalindkomst'!L16/'WD3 - Reform. Totalindkomst'!L4</f>
        <v>-4.0766103145730793E-2</v>
      </c>
      <c r="M65" s="125">
        <f>'WD3 - Reform. Totalindkomst'!M16/'WD3 - Reform. Totalindkomst'!M4</f>
        <v>-4.425717155932582E-2</v>
      </c>
      <c r="N65" s="125">
        <f>'WD3 - Reform. Totalindkomst'!N16/'WD3 - Reform. Totalindkomst'!N4</f>
        <v>-4.6960841613091761E-2</v>
      </c>
      <c r="O65" s="125">
        <f>'WD3 - Reform. Totalindkomst'!O16/'WD3 - Reform. Totalindkomst'!O4</f>
        <v>-5.3662479791070763E-2</v>
      </c>
      <c r="P65" s="117"/>
    </row>
    <row r="66" spans="2:16" ht="17" x14ac:dyDescent="0.25">
      <c r="B66" t="s">
        <v>277</v>
      </c>
      <c r="C66" s="116">
        <f t="shared" ref="C66:O66" si="18">SUM(C61:C65)</f>
        <v>0.13696921088980968</v>
      </c>
      <c r="D66" s="116">
        <f t="shared" si="18"/>
        <v>0.12037553920324785</v>
      </c>
      <c r="E66" s="116">
        <f t="shared" si="18"/>
        <v>0.14917620776319462</v>
      </c>
      <c r="F66" s="116">
        <f t="shared" si="18"/>
        <v>5.3839242518487804E-2</v>
      </c>
      <c r="G66" s="116">
        <f t="shared" si="18"/>
        <v>9.7551184263348079E-2</v>
      </c>
      <c r="H66" s="116">
        <f t="shared" si="18"/>
        <v>0.13754753533759059</v>
      </c>
      <c r="I66" s="116">
        <f t="shared" si="18"/>
        <v>0.14527257563120771</v>
      </c>
      <c r="J66" s="116">
        <f t="shared" si="18"/>
        <v>0.1353107815364106</v>
      </c>
      <c r="K66" s="116">
        <f t="shared" si="18"/>
        <v>0.1350210970464136</v>
      </c>
      <c r="L66" s="116">
        <f t="shared" si="18"/>
        <v>0.14048790926599605</v>
      </c>
      <c r="M66" s="116">
        <f t="shared" si="18"/>
        <v>0.14404509431856238</v>
      </c>
      <c r="N66" s="116">
        <f t="shared" si="18"/>
        <v>0.1442723553477499</v>
      </c>
      <c r="O66" s="116">
        <f t="shared" si="18"/>
        <v>0.15750528541226211</v>
      </c>
      <c r="P66" s="117"/>
    </row>
    <row r="67" spans="2:16" ht="17" x14ac:dyDescent="0.25">
      <c r="B67" t="s">
        <v>278</v>
      </c>
      <c r="C67" s="116">
        <f>'WD3 - Reform. Totalindkomst'!C37/'WD3 - Reform. Totalindkomst'!C4</f>
        <v>-5.7077930757920064E-3</v>
      </c>
      <c r="D67" s="116">
        <f>'WD3 - Reform. Totalindkomst'!D37/'WD3 - Reform. Totalindkomst'!D4</f>
        <v>2.1573204770362852E-2</v>
      </c>
      <c r="E67" s="116">
        <f>'WD3 - Reform. Totalindkomst'!E37/'WD3 - Reform. Totalindkomst'!E4</f>
        <v>3.2769617425300199E-2</v>
      </c>
      <c r="F67" s="116">
        <f>'WD3 - Reform. Totalindkomst'!F37/'WD3 - Reform. Totalindkomst'!F4</f>
        <v>1.1470039394567699E-2</v>
      </c>
      <c r="G67" s="116">
        <f>'WD3 - Reform. Totalindkomst'!G37/'WD3 - Reform. Totalindkomst'!G4</f>
        <v>1.96092600026763E-2</v>
      </c>
      <c r="H67" s="116">
        <f>'WD3 - Reform. Totalindkomst'!H37/'WD3 - Reform. Totalindkomst'!H4</f>
        <v>-2.7414795149601778E-2</v>
      </c>
      <c r="I67" s="116">
        <f>'WD3 - Reform. Totalindkomst'!I37/'WD3 - Reform. Totalindkomst'!I4</f>
        <v>-2.2505117901281371E-2</v>
      </c>
      <c r="J67" s="116">
        <f>'WD3 - Reform. Totalindkomst'!J37/'WD3 - Reform. Totalindkomst'!J4</f>
        <v>6.9988335277454042E-5</v>
      </c>
      <c r="K67" s="116">
        <f>'WD3 - Reform. Totalindkomst'!K37/'WD3 - Reform. Totalindkomst'!K4</f>
        <v>1.653680262541022E-2</v>
      </c>
      <c r="L67" s="116">
        <f>'WD3 - Reform. Totalindkomst'!L37/'WD3 - Reform. Totalindkomst'!L4</f>
        <v>1.9305050288893646E-2</v>
      </c>
      <c r="M67" s="116">
        <f>'WD3 - Reform. Totalindkomst'!M37/'WD3 - Reform. Totalindkomst'!M4</f>
        <v>-1.3980354950329277E-2</v>
      </c>
      <c r="N67" s="116">
        <f>'WD3 - Reform. Totalindkomst'!N37/'WD3 - Reform. Totalindkomst'!N4</f>
        <v>1.2770309760374051E-2</v>
      </c>
      <c r="O67" s="116">
        <f>'WD3 - Reform. Totalindkomst'!O37/'WD3 - Reform. Totalindkomst'!O4</f>
        <v>-4.5081457530157937E-3</v>
      </c>
      <c r="P67" s="117"/>
    </row>
    <row r="68" spans="2:16" x14ac:dyDescent="0.2">
      <c r="B68" t="s">
        <v>272</v>
      </c>
      <c r="C68" s="126">
        <f t="shared" ref="C68:O68" si="19">C66+C67</f>
        <v>0.13126141781401768</v>
      </c>
      <c r="D68" s="126">
        <f t="shared" si="19"/>
        <v>0.14194874397361071</v>
      </c>
      <c r="E68" s="126">
        <f t="shared" si="19"/>
        <v>0.18194582518849484</v>
      </c>
      <c r="F68" s="126">
        <f t="shared" si="19"/>
        <v>6.5309281913055503E-2</v>
      </c>
      <c r="G68" s="126">
        <f t="shared" si="19"/>
        <v>0.11716044426602437</v>
      </c>
      <c r="H68" s="126">
        <f t="shared" si="19"/>
        <v>0.11013274018798881</v>
      </c>
      <c r="I68" s="126">
        <f t="shared" si="19"/>
        <v>0.12276745772992634</v>
      </c>
      <c r="J68" s="126">
        <f t="shared" si="19"/>
        <v>0.13538076987168807</v>
      </c>
      <c r="K68" s="126">
        <f t="shared" si="19"/>
        <v>0.15155789967182381</v>
      </c>
      <c r="L68" s="126">
        <f t="shared" si="19"/>
        <v>0.1597929595548897</v>
      </c>
      <c r="M68" s="126">
        <f t="shared" si="19"/>
        <v>0.1300647393682331</v>
      </c>
      <c r="N68" s="126">
        <f t="shared" si="19"/>
        <v>0.15704266510812395</v>
      </c>
      <c r="O68" s="126">
        <f t="shared" si="19"/>
        <v>0.15299713965924633</v>
      </c>
      <c r="P68" s="117"/>
    </row>
    <row r="69" spans="2:16" x14ac:dyDescent="0.2">
      <c r="M69" s="116"/>
      <c r="N69" s="116"/>
      <c r="O69" s="116"/>
      <c r="P69" s="117"/>
    </row>
    <row r="71" spans="2:16" x14ac:dyDescent="0.2">
      <c r="B71" s="114" t="s">
        <v>279</v>
      </c>
      <c r="C71" s="63">
        <v>2023</v>
      </c>
      <c r="D71" s="63">
        <v>2022</v>
      </c>
      <c r="E71" s="63">
        <v>2021</v>
      </c>
      <c r="F71" s="63">
        <v>2020</v>
      </c>
      <c r="G71" s="63">
        <v>2019</v>
      </c>
      <c r="H71" s="115">
        <v>2018</v>
      </c>
      <c r="I71" s="115">
        <v>2017</v>
      </c>
      <c r="J71" s="63">
        <v>2016</v>
      </c>
      <c r="K71" s="63">
        <v>2015</v>
      </c>
      <c r="L71" s="20">
        <v>2014</v>
      </c>
      <c r="M71" s="20">
        <v>2013</v>
      </c>
      <c r="N71" s="20">
        <v>2012</v>
      </c>
      <c r="O71" s="20">
        <v>2011</v>
      </c>
      <c r="P71" s="19"/>
    </row>
    <row r="72" spans="2:16" x14ac:dyDescent="0.2">
      <c r="B72" t="s">
        <v>280</v>
      </c>
      <c r="C72" s="127">
        <f t="shared" ref="C72:O72" si="20">((C25+D25)/2)/C35</f>
        <v>0.98424898632090185</v>
      </c>
      <c r="D72" s="127">
        <f t="shared" si="20"/>
        <v>1.0115706673433138</v>
      </c>
      <c r="E72" s="127">
        <f t="shared" si="20"/>
        <v>0.96280368612119516</v>
      </c>
      <c r="F72" s="127">
        <f t="shared" si="20"/>
        <v>1.1463473633284953</v>
      </c>
      <c r="G72" s="127">
        <f t="shared" si="20"/>
        <v>1.0169610598153351</v>
      </c>
      <c r="H72" s="127">
        <f t="shared" si="20"/>
        <v>0.92767453540934208</v>
      </c>
      <c r="I72" s="127">
        <f t="shared" si="20"/>
        <v>0.9122753809993176</v>
      </c>
      <c r="J72" s="127">
        <f t="shared" si="20"/>
        <v>0.94646725545742372</v>
      </c>
      <c r="K72" s="127">
        <f t="shared" si="20"/>
        <v>0.91931551804969525</v>
      </c>
      <c r="L72" s="127">
        <f t="shared" si="20"/>
        <v>0.88668949283115772</v>
      </c>
      <c r="M72" s="127">
        <f t="shared" si="20"/>
        <v>0.80287978569036722</v>
      </c>
      <c r="N72" s="127">
        <f t="shared" si="20"/>
        <v>0.68924605493863234</v>
      </c>
      <c r="O72" s="127">
        <f t="shared" si="20"/>
        <v>0.62367864693446085</v>
      </c>
      <c r="P72" s="127"/>
    </row>
    <row r="73" spans="2:16" x14ac:dyDescent="0.2">
      <c r="C73" s="128"/>
      <c r="D73" s="128"/>
      <c r="E73" s="128"/>
      <c r="F73" s="128"/>
      <c r="G73" s="128"/>
      <c r="H73" s="128"/>
      <c r="I73" s="128"/>
      <c r="J73" s="128"/>
      <c r="K73" s="128"/>
      <c r="L73" s="128"/>
      <c r="M73" s="128"/>
      <c r="N73" s="128"/>
      <c r="O73" s="128"/>
      <c r="P73" s="128"/>
    </row>
    <row r="74" spans="2:16" x14ac:dyDescent="0.2">
      <c r="B74" t="s">
        <v>281</v>
      </c>
      <c r="C74" s="129">
        <f>(([1]BalancerReformuleret!B21+[1]BalancerReformuleret!C21)/2)/'WD5 - Rentabilitetsanalyse'!C35</f>
        <v>0.12808002495210088</v>
      </c>
      <c r="D74" s="129">
        <f>(([1]BalancerReformuleret!C21+[1]BalancerReformuleret!D21)/2)/'WD5 - Rentabilitetsanalyse'!D35</f>
        <v>0.13372240548084244</v>
      </c>
      <c r="E74" s="129">
        <f>(([1]BalancerReformuleret!D21+[1]BalancerReformuleret!E21)/2)/'WD5 - Rentabilitetsanalyse'!E35</f>
        <v>0.12102764590896398</v>
      </c>
      <c r="F74" s="129">
        <f>(([1]BalancerReformuleret!E21+[1]BalancerReformuleret!F21)/2)/'WD5 - Rentabilitetsanalyse'!F35</f>
        <v>0.13200635842145275</v>
      </c>
      <c r="G74" s="129">
        <f>(([1]BalancerReformuleret!F21+[1]BalancerReformuleret!G21)/2)/'WD5 - Rentabilitetsanalyse'!G35</f>
        <v>0.11685400776127391</v>
      </c>
      <c r="H74" s="129">
        <f>(([1]BalancerReformuleret!G21+[1]BalancerReformuleret!H21)/2)/'WD5 - Rentabilitetsanalyse'!H35</f>
        <v>0.10734017363851618</v>
      </c>
      <c r="I74" s="129">
        <f>(([1]BalancerReformuleret!H21+[1]BalancerReformuleret!I21)/2)/'WD5 - Rentabilitetsanalyse'!I35</f>
        <v>0.10050041701417849</v>
      </c>
      <c r="J74" s="129">
        <f>(([1]BalancerReformuleret!I21+[1]BalancerReformuleret!J21)/2)/'WD5 - Rentabilitetsanalyse'!J35</f>
        <v>0.10931511414764206</v>
      </c>
      <c r="K74" s="129">
        <f>(([1]BalancerReformuleret!J21+[1]BalancerReformuleret!K21)/2)/'WD5 - Rentabilitetsanalyse'!K35</f>
        <v>0.11847163619315518</v>
      </c>
      <c r="L74" s="129">
        <f>(([1]BalancerReformuleret!K21+[1]BalancerReformuleret!L21)/2)/'WD5 - Rentabilitetsanalyse'!L35</f>
        <v>0.1254547399957201</v>
      </c>
      <c r="M74" s="129">
        <f>(([1]BalancerReformuleret!L21+[1]BalancerReformuleret!M21)/2)/'WD5 - Rentabilitetsanalyse'!M35</f>
        <v>0.12032592923317334</v>
      </c>
      <c r="N74" s="129">
        <f>(([1]BalancerReformuleret!M21+[1]BalancerReformuleret!N21)/2)/'WD5 - Rentabilitetsanalyse'!N35</f>
        <v>0.12250146113383986</v>
      </c>
      <c r="O74" s="129">
        <f>(([1]BalancerReformuleret!N21+[1]BalancerReformuleret!O21)/2)/'WD5 - Rentabilitetsanalyse'!O35</f>
        <v>0.12902624051734859</v>
      </c>
      <c r="P74" s="129"/>
    </row>
    <row r="75" spans="2:16" x14ac:dyDescent="0.2">
      <c r="B75" t="s">
        <v>282</v>
      </c>
      <c r="C75" s="129">
        <f>(([1]BalancerReformuleret!B22+[1]BalancerReformuleret!C22)/2)/'WD5 - Rentabilitetsanalyse'!C35</f>
        <v>0.16209954105957314</v>
      </c>
      <c r="D75" s="129">
        <f>(([1]BalancerReformuleret!C22+[1]BalancerReformuleret!D22)/2)/'WD5 - Rentabilitetsanalyse'!D35</f>
        <v>0.17328089317432124</v>
      </c>
      <c r="E75" s="129">
        <f>(([1]BalancerReformuleret!D22+[1]BalancerReformuleret!E22)/2)/'WD5 - Rentabilitetsanalyse'!E35</f>
        <v>0.16785814018430606</v>
      </c>
      <c r="F75" s="129">
        <f>(([1]BalancerReformuleret!E22+[1]BalancerReformuleret!F22)/2)/'WD5 - Rentabilitetsanalyse'!F35</f>
        <v>0.20792729283295322</v>
      </c>
      <c r="G75" s="129">
        <f>(([1]BalancerReformuleret!F22+[1]BalancerReformuleret!G22)/2)/'WD5 - Rentabilitetsanalyse'!G35</f>
        <v>0.19978589589187742</v>
      </c>
      <c r="H75" s="129">
        <f>(([1]BalancerReformuleret!G22+[1]BalancerReformuleret!H22)/2)/'WD5 - Rentabilitetsanalyse'!H35</f>
        <v>0.19143287651574944</v>
      </c>
      <c r="I75" s="129">
        <f>(([1]BalancerReformuleret!H22+[1]BalancerReformuleret!I22)/2)/'WD5 - Rentabilitetsanalyse'!I35</f>
        <v>0.19004473424823717</v>
      </c>
      <c r="J75" s="129">
        <f>(([1]BalancerReformuleret!I22+[1]BalancerReformuleret!J22)/2)/'WD5 - Rentabilitetsanalyse'!J35</f>
        <v>0.19342609565072488</v>
      </c>
      <c r="K75" s="129">
        <f>(([1]BalancerReformuleret!J22+[1]BalancerReformuleret!K22)/2)/'WD5 - Rentabilitetsanalyse'!K35</f>
        <v>0.19676511954992967</v>
      </c>
      <c r="L75" s="129">
        <f>(([1]BalancerReformuleret!K22+[1]BalancerReformuleret!L22)/2)/'WD5 - Rentabilitetsanalyse'!L35</f>
        <v>0.20629146158784506</v>
      </c>
      <c r="M75" s="129">
        <f>(([1]BalancerReformuleret!L22+[1]BalancerReformuleret!M22)/2)/'WD5 - Rentabilitetsanalyse'!M35</f>
        <v>0.20180823752650964</v>
      </c>
      <c r="N75" s="129">
        <f>(([1]BalancerReformuleret!M22+[1]BalancerReformuleret!N22)/2)/'WD5 - Rentabilitetsanalyse'!N35</f>
        <v>0.20251315020455873</v>
      </c>
      <c r="O75" s="129">
        <f>(([1]BalancerReformuleret!N22+[1]BalancerReformuleret!O22)/2)/'WD5 - Rentabilitetsanalyse'!O35</f>
        <v>0.20644198482775775</v>
      </c>
      <c r="P75" s="129"/>
    </row>
    <row r="76" spans="2:16" x14ac:dyDescent="0.2">
      <c r="B76" t="s">
        <v>283</v>
      </c>
      <c r="C76" s="129">
        <f>-(([1]BalancerReformuleret!B35+[1]BalancerReformuleret!C35)/2)/'WD5 - Rentabilitetsanalyse'!C35</f>
        <v>-3.7071692732700619E-2</v>
      </c>
      <c r="D76" s="129">
        <f>-(([1]BalancerReformuleret!C35+[1]BalancerReformuleret!D35)/2)/'WD5 - Rentabilitetsanalyse'!D35</f>
        <v>-4.2451154529307283E-2</v>
      </c>
      <c r="E76" s="129">
        <f>-(([1]BalancerReformuleret!D35+[1]BalancerReformuleret!E35)/2)/'WD5 - Rentabilitetsanalyse'!E35</f>
        <v>-4.4959508517173973E-2</v>
      </c>
      <c r="F76" s="129">
        <f>-(([1]BalancerReformuleret!E35+[1]BalancerReformuleret!F35)/2)/'WD5 - Rentabilitetsanalyse'!F35</f>
        <v>-5.0245352132144587E-2</v>
      </c>
      <c r="G76" s="129">
        <f>-(([1]BalancerReformuleret!F35+[1]BalancerReformuleret!G35)/2)/'WD5 - Rentabilitetsanalyse'!G35</f>
        <v>-3.8505285695169277E-2</v>
      </c>
      <c r="H76" s="129">
        <f>-(([1]BalancerReformuleret!G35+[1]BalancerReformuleret!H35)/2)/'WD5 - Rentabilitetsanalyse'!H35</f>
        <v>-3.6413862380713209E-2</v>
      </c>
      <c r="I76" s="129">
        <f>-(([1]BalancerReformuleret!H35+[1]BalancerReformuleret!I35)/2)/'WD5 - Rentabilitetsanalyse'!I35</f>
        <v>-3.9009780878004399E-2</v>
      </c>
      <c r="J76" s="129">
        <f>-(([1]BalancerReformuleret!I35+[1]BalancerReformuleret!J35)/2)/'WD5 - Rentabilitetsanalyse'!J35</f>
        <v>-4.1618063656057323E-2</v>
      </c>
      <c r="K76" s="129">
        <f>-(([1]BalancerReformuleret!J35+[1]BalancerReformuleret!K35)/2)/'WD5 - Rentabilitetsanalyse'!K35</f>
        <v>-3.8818565400843885E-2</v>
      </c>
      <c r="L76" s="129">
        <f>-(([1]BalancerReformuleret!K35+[1]BalancerReformuleret!L35)/2)/'WD5 - Rentabilitetsanalyse'!L35</f>
        <v>-3.7021185533918255E-2</v>
      </c>
      <c r="M76" s="129">
        <f>-(([1]BalancerReformuleret!L35+[1]BalancerReformuleret!M35)/2)/'WD5 - Rentabilitetsanalyse'!M35</f>
        <v>-3.9122669940841612E-2</v>
      </c>
      <c r="N76" s="129">
        <f>-(([1]BalancerReformuleret!M35+[1]BalancerReformuleret!N35)/2)/'WD5 - Rentabilitetsanalyse'!N35</f>
        <v>-4.4184687317358272E-2</v>
      </c>
      <c r="O76" s="129">
        <f>-(([1]BalancerReformuleret!N35+[1]BalancerReformuleret!O35)/2)/'WD5 - Rentabilitetsanalyse'!O35</f>
        <v>-4.6449446586245495E-2</v>
      </c>
      <c r="P76" s="129"/>
    </row>
    <row r="77" spans="2:16" x14ac:dyDescent="0.2">
      <c r="B77" t="s">
        <v>284</v>
      </c>
      <c r="C77" s="129">
        <f>(([1]BalancerReformuleret!B23+[1]BalancerReformuleret!B24+[1]BalancerReformuleret!B26+[1]BalancerReformuleret!B27+[1]BalancerReformuleret!B28-[1]BalancerReformuleret!B37-[1]BalancerReformuleret!B38-[1]BalancerReformuleret!B39-[1]BalancerReformuleret!B40-[1]BalancerReformuleret!B41+[1]BalancerReformuleret!C23+[1]BalancerReformuleret!C24+[1]BalancerReformuleret!C26+[1]BalancerReformuleret!C27+[1]BalancerReformuleret!C28-[1]BalancerReformuleret!C37-[1]BalancerReformuleret!C38-[1]BalancerReformuleret!C39-[1]BalancerReformuleret!C40-[1]BalancerReformuleret!C41)/2)/'WD5 - Rentabilitetsanalyse'!C35</f>
        <v>-0.10261551485986722</v>
      </c>
      <c r="D77" s="129">
        <f>(([1]BalancerReformuleret!C23+[1]BalancerReformuleret!C24+[1]BalancerReformuleret!C26+[1]BalancerReformuleret!C27+[1]BalancerReformuleret!C28-[1]BalancerReformuleret!C37-[1]BalancerReformuleret!C38-[1]BalancerReformuleret!C39-[1]BalancerReformuleret!C40-[1]BalancerReformuleret!C41+[1]BalancerReformuleret!D23+[1]BalancerReformuleret!D24+[1]BalancerReformuleret!D26+[1]BalancerReformuleret!D27+[1]BalancerReformuleret!D28-[1]BalancerReformuleret!D37-[1]BalancerReformuleret!D38-[1]BalancerReformuleret!D39-[1]BalancerReformuleret!D40-[1]BalancerReformuleret!D41)/2)/'WD5 - Rentabilitetsanalyse'!D35</f>
        <v>-0.11243339253996448</v>
      </c>
      <c r="E77" s="129">
        <f>(([1]BalancerReformuleret!D23+[1]BalancerReformuleret!D24+[1]BalancerReformuleret!D26+[1]BalancerReformuleret!D27+[1]BalancerReformuleret!D28-[1]BalancerReformuleret!D37-[1]BalancerReformuleret!D38-[1]BalancerReformuleret!D39-[1]BalancerReformuleret!D40-[1]BalancerReformuleret!D41+[1]BalancerReformuleret!E23+[1]BalancerReformuleret!E24+[1]BalancerReformuleret!E26+[1]BalancerReformuleret!E27+[1]BalancerReformuleret!E28-[1]BalancerReformuleret!E37-[1]BalancerReformuleret!E38-[1]BalancerReformuleret!E39-[1]BalancerReformuleret!E40-[1]BalancerReformuleret!E41)/2)/'WD5 - Rentabilitetsanalyse'!E35</f>
        <v>-0.10675788885786093</v>
      </c>
      <c r="F77" s="129">
        <f>(([1]BalancerReformuleret!E23+[1]BalancerReformuleret!E24+[1]BalancerReformuleret!E26+[1]BalancerReformuleret!E27+[1]BalancerReformuleret!E28-[1]BalancerReformuleret!E37-[1]BalancerReformuleret!E38-[1]BalancerReformuleret!E39-[1]BalancerReformuleret!E40-[1]BalancerReformuleret!E41+[1]BalancerReformuleret!F23+[1]BalancerReformuleret!F24+[1]BalancerReformuleret!F26+[1]BalancerReformuleret!F27+[1]BalancerReformuleret!F28-[1]BalancerReformuleret!F37-[1]BalancerReformuleret!F38-[1]BalancerReformuleret!F39-[1]BalancerReformuleret!F40-[1]BalancerReformuleret!F41)/2)/'WD5 - Rentabilitetsanalyse'!F35</f>
        <v>-9.4581519109821002E-2</v>
      </c>
      <c r="G77" s="129">
        <f>(([1]BalancerReformuleret!F23+[1]BalancerReformuleret!F24+[1]BalancerReformuleret!F26+[1]BalancerReformuleret!F27+[1]BalancerReformuleret!F28-[1]BalancerReformuleret!F37-[1]BalancerReformuleret!F38-[1]BalancerReformuleret!F39-[1]BalancerReformuleret!F40-[1]BalancerReformuleret!F41+[1]BalancerReformuleret!G23+[1]BalancerReformuleret!G24+[1]BalancerReformuleret!G26+[1]BalancerReformuleret!G27+[1]BalancerReformuleret!G28-[1]BalancerReformuleret!G37-[1]BalancerReformuleret!G38-[1]BalancerReformuleret!G39-[1]BalancerReformuleret!G40-[1]BalancerReformuleret!G41)/2)/'WD5 - Rentabilitetsanalyse'!G35</f>
        <v>-7.523752174494848E-2</v>
      </c>
      <c r="H77" s="129">
        <f>(([1]BalancerReformuleret!G23+[1]BalancerReformuleret!G24+[1]BalancerReformuleret!G26+[1]BalancerReformuleret!G27+[1]BalancerReformuleret!G28-[1]BalancerReformuleret!G37-[1]BalancerReformuleret!G38-[1]BalancerReformuleret!G39-[1]BalancerReformuleret!G40-[1]BalancerReformuleret!G41+[1]BalancerReformuleret!H23+[1]BalancerReformuleret!H24+[1]BalancerReformuleret!H26+[1]BalancerReformuleret!H27+[1]BalancerReformuleret!H28-[1]BalancerReformuleret!H37-[1]BalancerReformuleret!H38-[1]BalancerReformuleret!H39-[1]BalancerReformuleret!H40-[1]BalancerReformuleret!H41)/2)/'WD5 - Rentabilitetsanalyse'!H35</f>
        <v>-8.1150893305589444E-2</v>
      </c>
      <c r="I77" s="129">
        <f>(([1]BalancerReformuleret!H23+[1]BalancerReformuleret!H24+[1]BalancerReformuleret!H26+[1]BalancerReformuleret!H27+[1]BalancerReformuleret!H28-[1]BalancerReformuleret!H37-[1]BalancerReformuleret!H38-[1]BalancerReformuleret!H39-[1]BalancerReformuleret!H40-[1]BalancerReformuleret!H41+[1]BalancerReformuleret!I23+[1]BalancerReformuleret!I24+[1]BalancerReformuleret!I26+[1]BalancerReformuleret!I27+[1]BalancerReformuleret!I28-[1]BalancerReformuleret!I37-[1]BalancerReformuleret!I38-[1]BalancerReformuleret!I39-[1]BalancerReformuleret!I40-[1]BalancerReformuleret!I41)/2)/'WD5 - Rentabilitetsanalyse'!I35</f>
        <v>-8.7307604822200319E-2</v>
      </c>
      <c r="J77" s="129">
        <f>(([1]BalancerReformuleret!I23+[1]BalancerReformuleret!I24+[1]BalancerReformuleret!I26+[1]BalancerReformuleret!I27+[1]BalancerReformuleret!I28-[1]BalancerReformuleret!I37-[1]BalancerReformuleret!I38-[1]BalancerReformuleret!I39-[1]BalancerReformuleret!I40-[1]BalancerReformuleret!I41+[1]BalancerReformuleret!J23+[1]BalancerReformuleret!J24+[1]BalancerReformuleret!J26+[1]BalancerReformuleret!J27+[1]BalancerReformuleret!J28-[1]BalancerReformuleret!J37-[1]BalancerReformuleret!J38-[1]BalancerReformuleret!J39-[1]BalancerReformuleret!J40-[1]BalancerReformuleret!J41)/2)/'WD5 - Rentabilitetsanalyse'!J35</f>
        <v>-8.6527245459090157E-2</v>
      </c>
      <c r="K77" s="129">
        <f>(([1]BalancerReformuleret!J23+[1]BalancerReformuleret!J24+[1]BalancerReformuleret!J26+[1]BalancerReformuleret!J27+[1]BalancerReformuleret!J28-[1]BalancerReformuleret!J37-[1]BalancerReformuleret!J38-[1]BalancerReformuleret!J39-[1]BalancerReformuleret!J40-[1]BalancerReformuleret!J41+[1]BalancerReformuleret!K23+[1]BalancerReformuleret!K24+[1]BalancerReformuleret!K26+[1]BalancerReformuleret!K27+[1]BalancerReformuleret!K28-[1]BalancerReformuleret!K37-[1]BalancerReformuleret!K38-[1]BalancerReformuleret!K39-[1]BalancerReformuleret!K40-[1]BalancerReformuleret!K41)/2)/'WD5 - Rentabilitetsanalyse'!K35</f>
        <v>-8.9592123769338963E-2</v>
      </c>
      <c r="L77" s="129">
        <f>(([1]BalancerReformuleret!K23+[1]BalancerReformuleret!K24+[1]BalancerReformuleret!K26+[1]BalancerReformuleret!K27+[1]BalancerReformuleret!K28-[1]BalancerReformuleret!K37-[1]BalancerReformuleret!K38-[1]BalancerReformuleret!K39-[1]BalancerReformuleret!K40-[1]BalancerReformuleret!K41+[1]BalancerReformuleret!L23+[1]BalancerReformuleret!L24+[1]BalancerReformuleret!L26+[1]BalancerReformuleret!L27+[1]BalancerReformuleret!L28-[1]BalancerReformuleret!L37-[1]BalancerReformuleret!L38-[1]BalancerReformuleret!L39-[1]BalancerReformuleret!L40-[1]BalancerReformuleret!L41)/2)/'WD5 - Rentabilitetsanalyse'!L35</f>
        <v>-9.0092017975604538E-2</v>
      </c>
      <c r="M77" s="129">
        <f>(([1]BalancerReformuleret!L23+[1]BalancerReformuleret!L24+[1]BalancerReformuleret!L26+[1]BalancerReformuleret!L27+[1]BalancerReformuleret!L28-[1]BalancerReformuleret!L37-[1]BalancerReformuleret!L38-[1]BalancerReformuleret!L39-[1]BalancerReformuleret!L40-[1]BalancerReformuleret!L41+[1]BalancerReformuleret!M23+[1]BalancerReformuleret!M24+[1]BalancerReformuleret!M26+[1]BalancerReformuleret!M27+[1]BalancerReformuleret!M28-[1]BalancerReformuleret!M37-[1]BalancerReformuleret!M38-[1]BalancerReformuleret!M39-[1]BalancerReformuleret!M40-[1]BalancerReformuleret!M41)/2)/'WD5 - Rentabilitetsanalyse'!M35</f>
        <v>-9.0858354727090071E-2</v>
      </c>
      <c r="N77" s="129">
        <f>(([1]BalancerReformuleret!M23+[1]BalancerReformuleret!M24+[1]BalancerReformuleret!M26+[1]BalancerReformuleret!M27+[1]BalancerReformuleret!M28-[1]BalancerReformuleret!M37-[1]BalancerReformuleret!M38-[1]BalancerReformuleret!M39-[1]BalancerReformuleret!M40-[1]BalancerReformuleret!M41+[1]BalancerReformuleret!N23+[1]BalancerReformuleret!N24+[1]BalancerReformuleret!N26+[1]BalancerReformuleret!N27+[1]BalancerReformuleret!N28-[1]BalancerReformuleret!N37-[1]BalancerReformuleret!N38-[1]BalancerReformuleret!N39-[1]BalancerReformuleret!N40-[1]BalancerReformuleret!N41)/2)/'WD5 - Rentabilitetsanalyse'!N35</f>
        <v>-0.10035067212156634</v>
      </c>
      <c r="O77" s="129">
        <f>(([1]BalancerReformuleret!N23+[1]BalancerReformuleret!N24+[1]BalancerReformuleret!N26+[1]BalancerReformuleret!N27+[1]BalancerReformuleret!N28-[1]BalancerReformuleret!N37-[1]BalancerReformuleret!N38-[1]BalancerReformuleret!N39-[1]BalancerReformuleret!N40-[1]BalancerReformuleret!N41+[1]BalancerReformuleret!O23+[1]BalancerReformuleret!O24+[1]BalancerReformuleret!O26+[1]BalancerReformuleret!O27+[1]BalancerReformuleret!O28-[1]BalancerReformuleret!O37-[1]BalancerReformuleret!O38-[1]BalancerReformuleret!O39-[1]BalancerReformuleret!O40-[1]BalancerReformuleret!O41)/2)/'WD5 - Rentabilitetsanalyse'!O35</f>
        <v>-0.10564606392239771</v>
      </c>
      <c r="P77" s="129"/>
    </row>
    <row r="78" spans="2:16" x14ac:dyDescent="0.2">
      <c r="B78" t="s">
        <v>285</v>
      </c>
      <c r="C78" s="130">
        <f t="shared" ref="C78:O78" si="21">SUM(C74:C77)</f>
        <v>0.15049235841910621</v>
      </c>
      <c r="D78" s="130">
        <f t="shared" si="21"/>
        <v>0.15211875158589189</v>
      </c>
      <c r="E78" s="130">
        <f t="shared" si="21"/>
        <v>0.13716838871823511</v>
      </c>
      <c r="F78" s="130">
        <f t="shared" si="21"/>
        <v>0.19510678001244042</v>
      </c>
      <c r="G78" s="130">
        <f t="shared" si="21"/>
        <v>0.20289709621303359</v>
      </c>
      <c r="H78" s="130">
        <f t="shared" si="21"/>
        <v>0.18120829446796299</v>
      </c>
      <c r="I78" s="130">
        <f t="shared" si="21"/>
        <v>0.16422776556221094</v>
      </c>
      <c r="J78" s="130">
        <f t="shared" si="21"/>
        <v>0.17459590068321948</v>
      </c>
      <c r="K78" s="130">
        <f t="shared" si="21"/>
        <v>0.18682606657290202</v>
      </c>
      <c r="L78" s="130">
        <f t="shared" si="21"/>
        <v>0.20463299807404237</v>
      </c>
      <c r="M78" s="130">
        <f t="shared" si="21"/>
        <v>0.19215314209175127</v>
      </c>
      <c r="N78" s="130">
        <f t="shared" si="21"/>
        <v>0.180479251899474</v>
      </c>
      <c r="O78" s="130">
        <f t="shared" si="21"/>
        <v>0.18337271483646311</v>
      </c>
      <c r="P78" s="129"/>
    </row>
    <row r="79" spans="2:16" x14ac:dyDescent="0.2">
      <c r="L79" s="129"/>
      <c r="M79" s="129"/>
      <c r="N79" s="129"/>
      <c r="O79" s="129"/>
      <c r="P79" s="129"/>
    </row>
    <row r="80" spans="2:16" x14ac:dyDescent="0.2">
      <c r="B80" t="s">
        <v>286</v>
      </c>
      <c r="C80" s="127">
        <f t="shared" ref="C80:O80" si="22">((C17+D17)/2)/C35</f>
        <v>0.58196319565120525</v>
      </c>
      <c r="D80" s="127">
        <f t="shared" si="22"/>
        <v>0.58104541994417658</v>
      </c>
      <c r="E80" s="127">
        <f t="shared" si="22"/>
        <v>0.54233454342362464</v>
      </c>
      <c r="F80" s="127">
        <f t="shared" si="22"/>
        <v>0.6109613656783468</v>
      </c>
      <c r="G80" s="127">
        <f t="shared" si="22"/>
        <v>0.55004683527365184</v>
      </c>
      <c r="H80" s="127">
        <f t="shared" si="22"/>
        <v>0.52945397144292172</v>
      </c>
      <c r="I80" s="127">
        <f t="shared" si="22"/>
        <v>0.51785578891500494</v>
      </c>
      <c r="J80" s="127">
        <f t="shared" si="22"/>
        <v>0.5309531744709215</v>
      </c>
      <c r="K80" s="127">
        <f t="shared" si="22"/>
        <v>0.46788560712611343</v>
      </c>
      <c r="L80" s="127">
        <f t="shared" si="22"/>
        <v>0.40755403381125616</v>
      </c>
      <c r="M80" s="127">
        <f t="shared" si="22"/>
        <v>0.34953677865833238</v>
      </c>
      <c r="N80" s="127">
        <f t="shared" si="22"/>
        <v>0.27486849795441265</v>
      </c>
      <c r="O80" s="127">
        <f t="shared" si="22"/>
        <v>0.23684865066534014</v>
      </c>
      <c r="P80" s="127"/>
    </row>
    <row r="81" spans="2:16" x14ac:dyDescent="0.2">
      <c r="B81" t="s">
        <v>287</v>
      </c>
      <c r="C81" s="127">
        <f t="shared" ref="C81:O81" si="23">((C18+D18)/2)/C35</f>
        <v>0.11954729759836029</v>
      </c>
      <c r="D81" s="127">
        <f t="shared" si="23"/>
        <v>0.12255772646536411</v>
      </c>
      <c r="E81" s="127">
        <f t="shared" si="23"/>
        <v>0.12331750907567718</v>
      </c>
      <c r="F81" s="127">
        <f t="shared" si="23"/>
        <v>0.14513788098693758</v>
      </c>
      <c r="G81" s="127">
        <f t="shared" si="23"/>
        <v>0.12993443061688748</v>
      </c>
      <c r="H81" s="127">
        <f t="shared" si="23"/>
        <v>0.12703594747793642</v>
      </c>
      <c r="I81" s="127">
        <f t="shared" si="23"/>
        <v>0.13116991432254152</v>
      </c>
      <c r="J81" s="127">
        <f t="shared" si="23"/>
        <v>0.14622562906182304</v>
      </c>
      <c r="K81" s="127">
        <f t="shared" si="23"/>
        <v>0.15588373183309892</v>
      </c>
      <c r="L81" s="127">
        <f t="shared" si="23"/>
        <v>0.1629039161138455</v>
      </c>
      <c r="M81" s="127">
        <f t="shared" si="23"/>
        <v>0.15961602857461771</v>
      </c>
      <c r="N81" s="127">
        <f t="shared" si="23"/>
        <v>0.15476329631794272</v>
      </c>
      <c r="O81" s="127">
        <f t="shared" si="23"/>
        <v>0.14842681258549931</v>
      </c>
      <c r="P81" s="127"/>
    </row>
    <row r="82" spans="2:16" x14ac:dyDescent="0.2">
      <c r="B82" t="s">
        <v>288</v>
      </c>
      <c r="C82" s="127">
        <f t="shared" ref="C82:O82" si="24">((C19+D19)/2)/C35</f>
        <v>0.21184779218464556</v>
      </c>
      <c r="D82" s="127">
        <f t="shared" si="24"/>
        <v>0.23039837604668867</v>
      </c>
      <c r="E82" s="127">
        <f t="shared" si="24"/>
        <v>0.23392907009215302</v>
      </c>
      <c r="F82" s="127">
        <f t="shared" si="24"/>
        <v>0.28488492639436036</v>
      </c>
      <c r="G82" s="127">
        <f t="shared" si="24"/>
        <v>0.21704803960926</v>
      </c>
      <c r="H82" s="127">
        <f t="shared" si="24"/>
        <v>0.1619071536198608</v>
      </c>
      <c r="I82" s="127">
        <f t="shared" si="24"/>
        <v>0.15850329820304798</v>
      </c>
      <c r="J82" s="127">
        <f t="shared" si="24"/>
        <v>0.15605732377937009</v>
      </c>
      <c r="K82" s="127">
        <f t="shared" si="24"/>
        <v>0.16160337552742615</v>
      </c>
      <c r="L82" s="127">
        <f t="shared" si="24"/>
        <v>0.16386689492831158</v>
      </c>
      <c r="M82" s="127">
        <f t="shared" si="24"/>
        <v>0.15392342895412434</v>
      </c>
      <c r="N82" s="127">
        <f t="shared" si="24"/>
        <v>0.13196960841613092</v>
      </c>
      <c r="O82" s="127">
        <f t="shared" si="24"/>
        <v>0.11273473448576048</v>
      </c>
      <c r="P82" s="127"/>
    </row>
    <row r="83" spans="2:16" x14ac:dyDescent="0.2">
      <c r="B83" t="s">
        <v>289</v>
      </c>
      <c r="C83" s="131">
        <f t="shared" ref="C83:O83" si="25">SUM(C80:C82)</f>
        <v>0.91335828543421105</v>
      </c>
      <c r="D83" s="131">
        <f t="shared" si="25"/>
        <v>0.93400152245622936</v>
      </c>
      <c r="E83" s="131">
        <f t="shared" si="25"/>
        <v>0.89958112259145484</v>
      </c>
      <c r="F83" s="131">
        <f t="shared" si="25"/>
        <v>1.0409841730596447</v>
      </c>
      <c r="G83" s="131">
        <f t="shared" si="25"/>
        <v>0.89702930549979931</v>
      </c>
      <c r="H83" s="131">
        <f t="shared" si="25"/>
        <v>0.81839707254071903</v>
      </c>
      <c r="I83" s="131">
        <f t="shared" si="25"/>
        <v>0.80752900144059447</v>
      </c>
      <c r="J83" s="131">
        <f t="shared" si="25"/>
        <v>0.83323612731211461</v>
      </c>
      <c r="K83" s="131">
        <f t="shared" si="25"/>
        <v>0.78537271448663848</v>
      </c>
      <c r="L83" s="131">
        <f t="shared" si="25"/>
        <v>0.73432484485341321</v>
      </c>
      <c r="M83" s="131">
        <f t="shared" si="25"/>
        <v>0.66307623618707445</v>
      </c>
      <c r="N83" s="131">
        <f t="shared" si="25"/>
        <v>0.56160140268848635</v>
      </c>
      <c r="O83" s="131">
        <f t="shared" si="25"/>
        <v>0.49801019773659994</v>
      </c>
      <c r="P83" s="127"/>
    </row>
    <row r="84" spans="2:16" x14ac:dyDescent="0.2">
      <c r="M84" s="127"/>
      <c r="N84" s="127"/>
      <c r="O84" s="127"/>
      <c r="P84" s="127"/>
    </row>
    <row r="86" spans="2:16" x14ac:dyDescent="0.2">
      <c r="B86" s="114"/>
      <c r="C86" s="114"/>
      <c r="D86" s="62"/>
      <c r="E86" s="62"/>
      <c r="F86" s="62"/>
      <c r="G86" s="62"/>
      <c r="H86" s="132"/>
      <c r="I86" s="132"/>
      <c r="J86" s="62"/>
      <c r="K86" s="62"/>
      <c r="L86" s="19"/>
      <c r="M86" s="19"/>
      <c r="N86" s="19"/>
      <c r="O86" s="19"/>
      <c r="P86" s="19"/>
    </row>
    <row r="88" spans="2:16" x14ac:dyDescent="0.2">
      <c r="D88" s="117"/>
      <c r="E88" s="117"/>
      <c r="F88" s="117"/>
      <c r="G88" s="117"/>
      <c r="H88" s="117"/>
      <c r="I88" s="117"/>
      <c r="J88" s="117"/>
      <c r="K88" s="117"/>
      <c r="L88" s="117"/>
      <c r="M88" s="117"/>
      <c r="N88" s="117"/>
      <c r="O88" s="117"/>
      <c r="P88" s="117"/>
    </row>
    <row r="89" spans="2:16" x14ac:dyDescent="0.2">
      <c r="D89" s="117"/>
      <c r="E89" s="117"/>
      <c r="F89" s="117"/>
      <c r="G89" s="117"/>
      <c r="H89" s="117"/>
      <c r="I89" s="117"/>
      <c r="J89" s="117"/>
      <c r="K89" s="117"/>
      <c r="L89" s="117"/>
      <c r="M89" s="117"/>
      <c r="N89" s="117"/>
      <c r="O89" s="117"/>
      <c r="P89" s="117"/>
    </row>
    <row r="90" spans="2:16" x14ac:dyDescent="0.2">
      <c r="D90" s="120"/>
      <c r="E90" s="120"/>
      <c r="F90" s="120"/>
      <c r="G90" s="120"/>
      <c r="H90" s="120"/>
      <c r="I90" s="120"/>
      <c r="J90" s="120"/>
      <c r="K90" s="120"/>
      <c r="L90" s="120"/>
      <c r="M90" s="120"/>
      <c r="N90" s="120"/>
      <c r="O90" s="120"/>
      <c r="P90" s="120"/>
    </row>
    <row r="94" spans="2:16" x14ac:dyDescent="0.2">
      <c r="H94" s="116"/>
    </row>
    <row r="95" spans="2:16" x14ac:dyDescent="0.2">
      <c r="H95" s="117"/>
    </row>
    <row r="96" spans="2:16" x14ac:dyDescent="0.2">
      <c r="H96" s="120"/>
    </row>
    <row r="113" spans="2:4" x14ac:dyDescent="0.2">
      <c r="B113" s="21"/>
      <c r="C113" s="21"/>
      <c r="D113" s="21"/>
    </row>
    <row r="114" spans="2:4" x14ac:dyDescent="0.2">
      <c r="B114" s="21"/>
      <c r="C114" s="21"/>
      <c r="D114" s="21"/>
    </row>
    <row r="115" spans="2:4" x14ac:dyDescent="0.2">
      <c r="B115" s="21"/>
      <c r="C115" s="21"/>
      <c r="D115" s="21"/>
    </row>
    <row r="116" spans="2:4" x14ac:dyDescent="0.2">
      <c r="B116" s="21"/>
      <c r="C116" s="21"/>
      <c r="D116" s="21"/>
    </row>
    <row r="117" spans="2:4" x14ac:dyDescent="0.2">
      <c r="B117" s="21"/>
      <c r="C117" s="21"/>
      <c r="D117" s="21"/>
    </row>
    <row r="118" spans="2:4" x14ac:dyDescent="0.2">
      <c r="B118" s="21"/>
      <c r="C118" s="21"/>
      <c r="D118" s="21"/>
    </row>
    <row r="119" spans="2:4" x14ac:dyDescent="0.2">
      <c r="B119" s="21"/>
      <c r="C119" s="21"/>
      <c r="D119" s="21"/>
    </row>
    <row r="120" spans="2:4" x14ac:dyDescent="0.2">
      <c r="B120" s="21"/>
      <c r="C120" s="21"/>
      <c r="D120" s="21"/>
    </row>
    <row r="121" spans="2:4" x14ac:dyDescent="0.2">
      <c r="B121" s="103"/>
      <c r="C121" s="104"/>
      <c r="D121" s="104"/>
    </row>
  </sheetData>
  <mergeCells count="3">
    <mergeCell ref="B8:P8"/>
    <mergeCell ref="B33:P33"/>
    <mergeCell ref="B15:Q15"/>
  </mergeCells>
  <pageMargins left="0.7" right="0.7" top="0.75" bottom="0.75" header="0.3" footer="0.3"/>
  <pageSetup paperSize="9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407AE-7B37-424F-AEDA-9B060F7D7DB1}">
  <dimension ref="A14:AF87"/>
  <sheetViews>
    <sheetView workbookViewId="0">
      <selection activeCell="B27" sqref="B27"/>
    </sheetView>
  </sheetViews>
  <sheetFormatPr baseColWidth="10" defaultColWidth="9.1640625" defaultRowHeight="14" x14ac:dyDescent="0.2"/>
  <cols>
    <col min="1" max="1" width="9.1640625" style="2"/>
    <col min="2" max="2" width="100.1640625" style="2" customWidth="1"/>
    <col min="3" max="13" width="8.83203125" style="2" customWidth="1"/>
    <col min="14" max="14" width="9" style="2" bestFit="1" customWidth="1"/>
    <col min="15" max="15" width="8.83203125" style="2" customWidth="1"/>
    <col min="16" max="16" width="8.6640625" style="2" bestFit="1" customWidth="1"/>
    <col min="17" max="17" width="10.1640625" style="30" customWidth="1"/>
    <col min="18" max="18" width="15.33203125" style="2" bestFit="1" customWidth="1"/>
    <col min="19" max="35" width="8.6640625" style="2" customWidth="1"/>
    <col min="36" max="16384" width="9.1640625" style="2"/>
  </cols>
  <sheetData>
    <row r="14" spans="2:32" ht="16" x14ac:dyDescent="0.2">
      <c r="B14" s="1" t="s">
        <v>169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  <row r="16" spans="2:32" x14ac:dyDescent="0.2">
      <c r="B16" s="6" t="s">
        <v>23</v>
      </c>
      <c r="C16" s="67">
        <v>2023</v>
      </c>
      <c r="D16" s="67">
        <v>2022</v>
      </c>
      <c r="E16" s="67">
        <v>2021</v>
      </c>
      <c r="F16" s="67">
        <v>2020</v>
      </c>
      <c r="G16" s="67">
        <v>2019</v>
      </c>
      <c r="H16" s="67">
        <v>2018</v>
      </c>
      <c r="I16" s="67">
        <v>2017</v>
      </c>
      <c r="J16" s="67">
        <v>2016</v>
      </c>
      <c r="K16" s="67">
        <v>2015</v>
      </c>
      <c r="L16" s="67">
        <v>2014</v>
      </c>
      <c r="M16" s="67">
        <v>2013</v>
      </c>
      <c r="N16" s="67">
        <v>2012</v>
      </c>
      <c r="O16" s="67">
        <v>2011</v>
      </c>
      <c r="P16" s="67">
        <v>2010</v>
      </c>
      <c r="Q16" s="133"/>
      <c r="S16" s="65">
        <v>2023</v>
      </c>
      <c r="T16" s="65">
        <v>2022</v>
      </c>
      <c r="U16" s="65">
        <v>2021</v>
      </c>
      <c r="V16" s="65">
        <v>2020</v>
      </c>
      <c r="W16" s="65">
        <v>2019</v>
      </c>
      <c r="X16" s="65">
        <v>2018</v>
      </c>
      <c r="Y16" s="65">
        <v>2017</v>
      </c>
      <c r="Z16" s="65">
        <v>2016</v>
      </c>
      <c r="AA16" s="65">
        <v>2015</v>
      </c>
      <c r="AB16" s="65">
        <v>2014</v>
      </c>
      <c r="AC16" s="65">
        <v>2013</v>
      </c>
      <c r="AD16" s="65">
        <v>2012</v>
      </c>
      <c r="AE16" s="65">
        <v>2011</v>
      </c>
      <c r="AF16" s="65">
        <v>2010</v>
      </c>
    </row>
    <row r="17" spans="2:32" ht="16" x14ac:dyDescent="0.25">
      <c r="B17" s="2" t="s">
        <v>38</v>
      </c>
      <c r="C17" s="7">
        <v>22443</v>
      </c>
      <c r="D17" s="7">
        <v>19705</v>
      </c>
      <c r="E17" s="7">
        <v>17905</v>
      </c>
      <c r="F17" s="7">
        <v>14469</v>
      </c>
      <c r="G17" s="29">
        <v>14946</v>
      </c>
      <c r="H17" s="29">
        <v>13937</v>
      </c>
      <c r="I17" s="29">
        <v>13189</v>
      </c>
      <c r="J17" s="29">
        <v>12002</v>
      </c>
      <c r="K17" s="29">
        <v>10665</v>
      </c>
      <c r="L17" s="29">
        <v>9346</v>
      </c>
      <c r="M17" s="29">
        <v>8959</v>
      </c>
      <c r="N17" s="29">
        <v>8555</v>
      </c>
      <c r="O17" s="29">
        <v>8041</v>
      </c>
      <c r="P17" s="29">
        <v>6892</v>
      </c>
      <c r="Q17" s="134"/>
      <c r="R17" s="2" t="s">
        <v>290</v>
      </c>
      <c r="S17" s="135">
        <f>C37/(('WD5 - Rentabilitetsanalyse'!C25+'WD5 - Rentabilitetsanalyse'!D25)/2)</f>
        <v>0.13875370651214378</v>
      </c>
      <c r="T17" s="135">
        <f>D37/(('WD5 - Rentabilitetsanalyse'!D25+'WD5 - Rentabilitetsanalyse'!E25)/2)</f>
        <v>0.11904881352530979</v>
      </c>
      <c r="U17" s="135">
        <f>E37/(('WD5 - Rentabilitetsanalyse'!E25+'WD5 - Rentabilitetsanalyse'!F25)/2)</f>
        <v>0.15493938163466558</v>
      </c>
      <c r="V17" s="135">
        <f>F37/(('WD5 - Rentabilitetsanalyse'!F25+'WD5 - Rentabilitetsanalyse'!G25)/2)</f>
        <v>4.7026196002773336E-2</v>
      </c>
      <c r="W17" s="135">
        <f>G37/(('WD5 - Rentabilitetsanalyse'!G25+'WD5 - Rentabilitetsanalyse'!H25)/2)</f>
        <v>9.5792624757393335E-2</v>
      </c>
      <c r="X17" s="135">
        <f>H37/(('WD5 - Rentabilitetsanalyse'!H25+'WD5 - Rentabilitetsanalyse'!I25)/2)</f>
        <v>0.14827132802227549</v>
      </c>
      <c r="Y17" s="135">
        <f>I37/(('WD5 - Rentabilitetsanalyse'!I25+'WD5 - Rentabilitetsanalyse'!J25)/2)</f>
        <v>0.15915890957446807</v>
      </c>
      <c r="Z17" s="135">
        <f>J37/(('WD5 - Rentabilitetsanalyse'!J25+'WD5 - Rentabilitetsanalyse'!K25)/2)</f>
        <v>0.14278797482283551</v>
      </c>
      <c r="AA17" s="135">
        <f>K37/(('WD5 - Rentabilitetsanalyse'!K25+'WD5 - Rentabilitetsanalyse'!L25)/2)</f>
        <v>0.14840124432658472</v>
      </c>
      <c r="AB17" s="135">
        <f>L37/(('WD5 - Rentabilitetsanalyse'!L25+'WD5 - Rentabilitetsanalyse'!M25)/2)</f>
        <v>0.15828948956196451</v>
      </c>
      <c r="AC17" s="135">
        <f>M37/(('WD5 - Rentabilitetsanalyse'!M25+'WD5 - Rentabilitetsanalyse'!N25)/2)</f>
        <v>0.18024468233004309</v>
      </c>
      <c r="AD17" s="135">
        <f>N37/(('WD5 - Rentabilitetsanalyse'!N25+'WD5 - Rentabilitetsanalyse'!O25)/2)</f>
        <v>0.20881031120156024</v>
      </c>
      <c r="AE17" s="135">
        <f>O37/(('WD5 - Rentabilitetsanalyse'!O25+'WD5 - Rentabilitetsanalyse'!P25)/2)</f>
        <v>0.25209371884346959</v>
      </c>
      <c r="AF17" s="135">
        <f>P37/(('WD5 - Rentabilitetsanalyse'!P25+'WD5 - Rentabilitetsanalyse'!Q25)/2)</f>
        <v>0.4531050616758826</v>
      </c>
    </row>
    <row r="18" spans="2:32" ht="16" x14ac:dyDescent="0.25">
      <c r="B18" s="68" t="s">
        <v>39</v>
      </c>
      <c r="C18" s="15">
        <v>-5899</v>
      </c>
      <c r="D18" s="15">
        <v>-5036</v>
      </c>
      <c r="E18" s="15">
        <v>-4447</v>
      </c>
      <c r="F18" s="15">
        <v>-4276</v>
      </c>
      <c r="G18" s="31">
        <v>-3621</v>
      </c>
      <c r="H18" s="15">
        <v>-3153</v>
      </c>
      <c r="I18" s="15">
        <v>-3163</v>
      </c>
      <c r="J18" s="15">
        <v>-2972</v>
      </c>
      <c r="K18" s="15">
        <v>-2770</v>
      </c>
      <c r="L18" s="15">
        <v>-2533</v>
      </c>
      <c r="M18" s="15">
        <v>-2441</v>
      </c>
      <c r="N18" s="15">
        <v>-2428</v>
      </c>
      <c r="O18" s="15">
        <v>-2264</v>
      </c>
      <c r="P18" s="15">
        <v>-1933</v>
      </c>
      <c r="Q18" s="136"/>
      <c r="R18" s="2" t="s">
        <v>291</v>
      </c>
      <c r="S18" s="137">
        <f>C48/(('WD5 - Rentabilitetsanalyse'!C25+'WD5 - Rentabilitetsanalyse'!D25)/2)</f>
        <v>5.0657552230697848E-3</v>
      </c>
      <c r="T18" s="137">
        <f>D48/(('WD5 - Rentabilitetsanalyse'!D25+'WD5 - Rentabilitetsanalyse'!E25)/2)</f>
        <v>7.8814026990417889E-3</v>
      </c>
      <c r="U18" s="137">
        <f>E48/(('WD5 - Rentabilitetsanalyse'!E25+'WD5 - Rentabilitetsanalyse'!F25)/2)</f>
        <v>8.5445791519229656E-3</v>
      </c>
      <c r="V18" s="137">
        <f>F48/(('WD5 - Rentabilitetsanalyse'!F25+'WD5 - Rentabilitetsanalyse'!G25)/2)</f>
        <v>3.1951285684140719E-2</v>
      </c>
      <c r="W18" s="137">
        <f>G48/(('WD5 - Rentabilitetsanalyse'!G25+'WD5 - Rentabilitetsanalyse'!H25)/2)</f>
        <v>1.4896542649429259E-2</v>
      </c>
      <c r="X18" s="137">
        <f>H48/(('WD5 - Rentabilitetsanalyse'!H25+'WD5 - Rentabilitetsanalyse'!I25)/2)</f>
        <v>1.2415500038672752E-2</v>
      </c>
      <c r="Y18" s="137">
        <f>I48/(('WD5 - Rentabilitetsanalyse'!I25+'WD5 - Rentabilitetsanalyse'!J25)/2)</f>
        <v>6.9980053191489363E-3</v>
      </c>
      <c r="Z18" s="137">
        <f>J48/(('WD5 - Rentabilitetsanalyse'!J25+'WD5 - Rentabilitetsanalyse'!K25)/2)</f>
        <v>9.7398653109731937E-3</v>
      </c>
      <c r="AA18" s="137">
        <f>K48/(('WD5 - Rentabilitetsanalyse'!K25+'WD5 - Rentabilitetsanalyse'!L25)/2)</f>
        <v>8.0167270131062257E-3</v>
      </c>
      <c r="AB18" s="137">
        <f>L48/(('WD5 - Rentabilitetsanalyse'!L25+'WD5 - Rentabilitetsanalyse'!M25)/2)</f>
        <v>1.112344636177145E-2</v>
      </c>
      <c r="AC18" s="137">
        <f>M48/(('WD5 - Rentabilitetsanalyse'!M25+'WD5 - Rentabilitetsanalyse'!N25)/2)</f>
        <v>1.0044487696371472E-2</v>
      </c>
      <c r="AD18" s="137">
        <f>N48/(('WD5 - Rentabilitetsanalyse'!N25+'WD5 - Rentabilitetsanalyse'!O25)/2)</f>
        <v>4.8333757313660649E-3</v>
      </c>
      <c r="AE18" s="137">
        <f>O48/(('WD5 - Rentabilitetsanalyse'!O25+'WD5 - Rentabilitetsanalyse'!P25)/2)</f>
        <v>3.4396809571286143E-3</v>
      </c>
      <c r="AF18" s="137">
        <f>P48/(('WD5 - Rentabilitetsanalyse'!P25+'WD5 - Rentabilitetsanalyse'!Q25)/2)</f>
        <v>6.0612505316886434E-3</v>
      </c>
    </row>
    <row r="19" spans="2:32" x14ac:dyDescent="0.2">
      <c r="B19" s="3" t="s">
        <v>40</v>
      </c>
      <c r="C19" s="32">
        <f t="shared" ref="C19:P19" si="0">C17+C18</f>
        <v>16544</v>
      </c>
      <c r="D19" s="32">
        <f t="shared" si="0"/>
        <v>14669</v>
      </c>
      <c r="E19" s="32">
        <f t="shared" si="0"/>
        <v>13458</v>
      </c>
      <c r="F19" s="32">
        <f t="shared" si="0"/>
        <v>10193</v>
      </c>
      <c r="G19" s="18">
        <f t="shared" si="0"/>
        <v>11325</v>
      </c>
      <c r="H19" s="18">
        <f t="shared" si="0"/>
        <v>10784</v>
      </c>
      <c r="I19" s="18">
        <f t="shared" si="0"/>
        <v>10026</v>
      </c>
      <c r="J19" s="18">
        <f t="shared" si="0"/>
        <v>9030</v>
      </c>
      <c r="K19" s="18">
        <f t="shared" si="0"/>
        <v>7895</v>
      </c>
      <c r="L19" s="18">
        <f t="shared" si="0"/>
        <v>6813</v>
      </c>
      <c r="M19" s="32">
        <f t="shared" si="0"/>
        <v>6518</v>
      </c>
      <c r="N19" s="32">
        <f t="shared" si="0"/>
        <v>6127</v>
      </c>
      <c r="O19" s="32">
        <f t="shared" si="0"/>
        <v>5777</v>
      </c>
      <c r="P19" s="32">
        <f t="shared" si="0"/>
        <v>4959</v>
      </c>
      <c r="Q19" s="138"/>
      <c r="R19" s="2" t="s">
        <v>292</v>
      </c>
      <c r="S19" s="139">
        <f t="shared" ref="S19:AF19" si="1">S17+S18</f>
        <v>0.14381946173521357</v>
      </c>
      <c r="T19" s="139">
        <f t="shared" si="1"/>
        <v>0.12693021622435158</v>
      </c>
      <c r="U19" s="139">
        <f t="shared" si="1"/>
        <v>0.16348396078658856</v>
      </c>
      <c r="V19" s="139">
        <f t="shared" si="1"/>
        <v>7.8977481686914056E-2</v>
      </c>
      <c r="W19" s="139">
        <f t="shared" si="1"/>
        <v>0.11068916740682259</v>
      </c>
      <c r="X19" s="139">
        <f t="shared" si="1"/>
        <v>0.16068682806094825</v>
      </c>
      <c r="Y19" s="139">
        <f t="shared" si="1"/>
        <v>0.166156914893617</v>
      </c>
      <c r="Z19" s="139">
        <f t="shared" si="1"/>
        <v>0.15252784013380871</v>
      </c>
      <c r="AA19" s="139">
        <f t="shared" si="1"/>
        <v>0.15641797133969093</v>
      </c>
      <c r="AB19" s="139">
        <f t="shared" si="1"/>
        <v>0.16941293592373596</v>
      </c>
      <c r="AC19" s="139">
        <f t="shared" si="1"/>
        <v>0.19028917002641457</v>
      </c>
      <c r="AD19" s="139">
        <f t="shared" si="1"/>
        <v>0.21364368693292629</v>
      </c>
      <c r="AE19" s="139">
        <f t="shared" si="1"/>
        <v>0.25553339980059819</v>
      </c>
      <c r="AF19" s="139">
        <f t="shared" si="1"/>
        <v>0.45916631220757126</v>
      </c>
    </row>
    <row r="20" spans="2:32" x14ac:dyDescent="0.2">
      <c r="B20" s="16" t="s">
        <v>41</v>
      </c>
      <c r="C20" s="7">
        <v>-1410</v>
      </c>
      <c r="D20" s="7">
        <v>-1314</v>
      </c>
      <c r="E20" s="7">
        <v>-1139</v>
      </c>
      <c r="F20" s="7">
        <v>-1261</v>
      </c>
      <c r="G20" s="29">
        <v>-1120</v>
      </c>
      <c r="H20" s="7">
        <v>-1009</v>
      </c>
      <c r="I20" s="7">
        <v>-919</v>
      </c>
      <c r="J20" s="7">
        <v>-839</v>
      </c>
      <c r="K20" s="7">
        <v>-763</v>
      </c>
      <c r="L20" s="7">
        <v>-680</v>
      </c>
      <c r="M20" s="2">
        <v>-634</v>
      </c>
      <c r="N20" s="7">
        <v>-652</v>
      </c>
      <c r="O20" s="7">
        <v>-633</v>
      </c>
      <c r="P20" s="7">
        <v>-615</v>
      </c>
      <c r="Q20" s="134"/>
      <c r="R20" s="2" t="s">
        <v>293</v>
      </c>
      <c r="S20" s="135">
        <f>C64/(('WD5 - Rentabilitetsanalyse'!C25+'WD5 - Rentabilitetsanalyse'!D25)/2)</f>
        <v>-1.0476470721383462E-2</v>
      </c>
      <c r="T20" s="135">
        <f>D64/(('WD5 - Rentabilitetsanalyse'!D25+'WD5 - Rentabilitetsanalyse'!E25)/2)</f>
        <v>1.3445040886971354E-2</v>
      </c>
      <c r="U20" s="135">
        <f>E64/(('WD5 - Rentabilitetsanalyse'!E25+'WD5 - Rentabilitetsanalyse'!F25)/2)</f>
        <v>2.5478276002088289E-2</v>
      </c>
      <c r="V20" s="135">
        <f>F64/(('WD5 - Rentabilitetsanalyse'!F25+'WD5 - Rentabilitetsanalyse'!G25)/2)</f>
        <v>-2.194555813462756E-2</v>
      </c>
      <c r="W20" s="135">
        <f>G64/(('WD5 - Rentabilitetsanalyse'!G25+'WD5 - Rentabilitetsanalyse'!H25)/2)</f>
        <v>4.5396230139149313E-3</v>
      </c>
      <c r="X20" s="135">
        <f>H64/(('WD5 - Rentabilitetsanalyse'!H25+'WD5 - Rentabilitetsanalyse'!I25)/2)</f>
        <v>-4.1907340088173865E-2</v>
      </c>
      <c r="Y20" s="135">
        <f>I64/(('WD5 - Rentabilitetsanalyse'!I25+'WD5 - Rentabilitetsanalyse'!J25)/2)</f>
        <v>-3.1602393617021281E-2</v>
      </c>
      <c r="Z20" s="135">
        <f>J64/(('WD5 - Rentabilitetsanalyse'!J25+'WD5 - Rentabilitetsanalyse'!K25)/2)</f>
        <v>-9.5285884061798495E-3</v>
      </c>
      <c r="AA20" s="135">
        <f>K64/(('WD5 - Rentabilitetsanalyse'!K25+'WD5 - Rentabilitetsanalyse'!L25)/2)</f>
        <v>8.3329083584068528E-3</v>
      </c>
      <c r="AB20" s="135">
        <f>L64/(('WD5 - Rentabilitetsanalyse'!L25+'WD5 - Rentabilitetsanalyse'!M25)/2)</f>
        <v>1.092192590804875E-2</v>
      </c>
      <c r="AC20" s="135">
        <f>M64/(('WD5 - Rentabilitetsanalyse'!M25+'WD5 - Rentabilitetsanalyse'!N25)/2)</f>
        <v>-2.8291394411233142E-2</v>
      </c>
      <c r="AD20" s="135">
        <f>N64/(('WD5 - Rentabilitetsanalyse'!N25+'WD5 - Rentabilitetsanalyse'!O25)/2)</f>
        <v>1.4203340964979225E-2</v>
      </c>
      <c r="AE20" s="135">
        <f>O64/(('WD5 - Rentabilitetsanalyse'!O25+'WD5 - Rentabilitetsanalyse'!P25)/2)</f>
        <v>-1.0219341974077766E-2</v>
      </c>
      <c r="AF20" s="135">
        <f>P64/(('WD5 - Rentabilitetsanalyse'!P25+'WD5 - Rentabilitetsanalyse'!Q25)/2)</f>
        <v>6.6886431305827304E-2</v>
      </c>
    </row>
    <row r="21" spans="2:32" x14ac:dyDescent="0.2">
      <c r="B21" s="16" t="s">
        <v>42</v>
      </c>
      <c r="C21" s="7">
        <v>-9917</v>
      </c>
      <c r="D21" s="7">
        <v>-9232</v>
      </c>
      <c r="E21" s="7">
        <v>-7983</v>
      </c>
      <c r="F21" s="7">
        <v>-7067</v>
      </c>
      <c r="G21" s="29">
        <v>-7421</v>
      </c>
      <c r="H21" s="7">
        <v>-6616</v>
      </c>
      <c r="I21" s="7">
        <v>-6095</v>
      </c>
      <c r="J21" s="7">
        <v>-5654</v>
      </c>
      <c r="K21" s="7">
        <v>-4689</v>
      </c>
      <c r="L21" s="7">
        <v>-3877</v>
      </c>
      <c r="M21" s="29">
        <v>-3652</v>
      </c>
      <c r="N21" s="7">
        <v>-3311</v>
      </c>
      <c r="O21" s="7">
        <v>-2959</v>
      </c>
      <c r="P21" s="7">
        <v>-2471</v>
      </c>
      <c r="Q21" s="134"/>
      <c r="R21" s="2" t="s">
        <v>266</v>
      </c>
      <c r="S21" s="140">
        <f t="shared" ref="S21:AF21" si="2">S19+S20</f>
        <v>0.1333429910138301</v>
      </c>
      <c r="T21" s="140">
        <f t="shared" si="2"/>
        <v>0.14037525711132293</v>
      </c>
      <c r="U21" s="140">
        <f t="shared" si="2"/>
        <v>0.18896223678867685</v>
      </c>
      <c r="V21" s="140">
        <f t="shared" si="2"/>
        <v>5.7031923552286493E-2</v>
      </c>
      <c r="W21" s="140">
        <f t="shared" si="2"/>
        <v>0.11522879042073753</v>
      </c>
      <c r="X21" s="140">
        <f t="shared" si="2"/>
        <v>0.11877948797277438</v>
      </c>
      <c r="Y21" s="140">
        <f t="shared" si="2"/>
        <v>0.13455452127659573</v>
      </c>
      <c r="Z21" s="140">
        <f t="shared" si="2"/>
        <v>0.14299925172762887</v>
      </c>
      <c r="AA21" s="140">
        <f t="shared" si="2"/>
        <v>0.16475087969809779</v>
      </c>
      <c r="AB21" s="140">
        <f t="shared" si="2"/>
        <v>0.18033486183178471</v>
      </c>
      <c r="AC21" s="140">
        <f t="shared" si="2"/>
        <v>0.16199777561518142</v>
      </c>
      <c r="AD21" s="140">
        <f t="shared" si="2"/>
        <v>0.22784702789790551</v>
      </c>
      <c r="AE21" s="140">
        <f t="shared" si="2"/>
        <v>0.24531405782652044</v>
      </c>
      <c r="AF21" s="140">
        <f t="shared" si="2"/>
        <v>0.52605274351339859</v>
      </c>
    </row>
    <row r="22" spans="2:32" x14ac:dyDescent="0.2">
      <c r="B22" s="68" t="s">
        <v>43</v>
      </c>
      <c r="C22" s="15">
        <v>-1138</v>
      </c>
      <c r="D22" s="15">
        <v>-1038</v>
      </c>
      <c r="E22" s="15">
        <v>-892</v>
      </c>
      <c r="F22" s="15">
        <v>-840</v>
      </c>
      <c r="G22" s="31">
        <v>-851</v>
      </c>
      <c r="H22" s="15">
        <v>-761</v>
      </c>
      <c r="I22" s="15">
        <v>-727</v>
      </c>
      <c r="J22" s="15">
        <v>-676</v>
      </c>
      <c r="K22" s="15">
        <v>-613</v>
      </c>
      <c r="L22" s="15">
        <v>-560</v>
      </c>
      <c r="M22" s="14">
        <v>-545</v>
      </c>
      <c r="N22" s="15">
        <v>-523</v>
      </c>
      <c r="O22" s="15">
        <v>-482</v>
      </c>
      <c r="P22" s="15">
        <v>-449</v>
      </c>
      <c r="Q22" s="136"/>
      <c r="S22" s="139"/>
      <c r="T22" s="139"/>
      <c r="U22" s="139"/>
      <c r="V22" s="139"/>
      <c r="W22" s="139"/>
      <c r="X22" s="139"/>
      <c r="Y22" s="139"/>
      <c r="Z22" s="139"/>
    </row>
    <row r="23" spans="2:32" x14ac:dyDescent="0.2">
      <c r="B23" s="3" t="s">
        <v>170</v>
      </c>
      <c r="C23" s="32">
        <f>C19+C20+C21+C22</f>
        <v>4079</v>
      </c>
      <c r="D23" s="32">
        <f t="shared" ref="D23:J23" si="3">SUM(D19:D22)</f>
        <v>3085</v>
      </c>
      <c r="E23" s="32">
        <f t="shared" si="3"/>
        <v>3444</v>
      </c>
      <c r="F23" s="18">
        <f t="shared" si="3"/>
        <v>1025</v>
      </c>
      <c r="G23" s="18">
        <f t="shared" si="3"/>
        <v>1933</v>
      </c>
      <c r="H23" s="18">
        <f t="shared" si="3"/>
        <v>2398</v>
      </c>
      <c r="I23" s="18">
        <f t="shared" si="3"/>
        <v>2285</v>
      </c>
      <c r="J23" s="18">
        <f t="shared" si="3"/>
        <v>1861</v>
      </c>
      <c r="K23" s="18">
        <f t="shared" ref="K23:P23" si="4">K19+K20+K21+K22</f>
        <v>1830</v>
      </c>
      <c r="L23" s="18">
        <f t="shared" si="4"/>
        <v>1696</v>
      </c>
      <c r="M23" s="32">
        <f t="shared" si="4"/>
        <v>1687</v>
      </c>
      <c r="N23" s="32">
        <f t="shared" si="4"/>
        <v>1641</v>
      </c>
      <c r="O23" s="32">
        <f t="shared" si="4"/>
        <v>1703</v>
      </c>
      <c r="P23" s="32">
        <f t="shared" si="4"/>
        <v>1424</v>
      </c>
      <c r="Q23" s="138"/>
    </row>
    <row r="24" spans="2:32" ht="16" x14ac:dyDescent="0.25"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2"/>
      <c r="N24" s="32"/>
      <c r="O24" s="32"/>
      <c r="P24" s="32"/>
      <c r="Q24" s="138"/>
      <c r="R24" s="2" t="s">
        <v>294</v>
      </c>
      <c r="S24" s="135">
        <f t="shared" ref="S24:X24" si="5">C37/C17</f>
        <v>0.13656819498284542</v>
      </c>
      <c r="T24" s="135">
        <f t="shared" si="5"/>
        <v>0.12042628774422735</v>
      </c>
      <c r="U24" s="135">
        <f t="shared" si="5"/>
        <v>0.14917620776319465</v>
      </c>
      <c r="V24" s="135">
        <f t="shared" si="5"/>
        <v>5.3908355795148251E-2</v>
      </c>
      <c r="W24" s="135">
        <f t="shared" si="5"/>
        <v>9.7417369195771444E-2</v>
      </c>
      <c r="X24" s="135">
        <f t="shared" si="5"/>
        <v>0.13754753533759059</v>
      </c>
      <c r="Y24" s="135">
        <f>I49/I17</f>
        <v>0.15158086284024566</v>
      </c>
      <c r="Z24" s="135">
        <f>J49/J17</f>
        <v>0.14436260623229463</v>
      </c>
      <c r="AA24" s="135">
        <f>K49/K17</f>
        <v>0.14379746835443036</v>
      </c>
      <c r="AB24" s="135">
        <f>L37/L17</f>
        <v>0.14035362722020114</v>
      </c>
      <c r="AC24" s="135">
        <f>M37/M17</f>
        <v>0.14471481192097332</v>
      </c>
      <c r="AD24" s="135">
        <f>N37/N17</f>
        <v>0.14392168322618351</v>
      </c>
      <c r="AE24" s="135">
        <f>O37/O17</f>
        <v>0.15722546946897151</v>
      </c>
      <c r="AF24" s="135">
        <f>P37/P17</f>
        <v>0.15456326175275681</v>
      </c>
    </row>
    <row r="25" spans="2:32" x14ac:dyDescent="0.2">
      <c r="B25" s="12" t="s">
        <v>295</v>
      </c>
      <c r="C25" s="39">
        <v>-11</v>
      </c>
      <c r="D25" s="39">
        <v>1</v>
      </c>
      <c r="E25" s="12"/>
      <c r="F25" s="12"/>
      <c r="G25" s="12"/>
      <c r="H25" s="39">
        <v>-1</v>
      </c>
      <c r="I25" s="39">
        <v>-8</v>
      </c>
      <c r="J25" s="39">
        <v>-3</v>
      </c>
      <c r="K25" s="39">
        <v>-4</v>
      </c>
      <c r="L25" s="39">
        <v>-2</v>
      </c>
      <c r="M25" s="29"/>
      <c r="N25" s="29">
        <v>-5</v>
      </c>
      <c r="O25" s="29">
        <v>-5</v>
      </c>
      <c r="P25" s="29">
        <v>-3</v>
      </c>
      <c r="Q25" s="141"/>
      <c r="R25" s="2" t="s">
        <v>273</v>
      </c>
      <c r="S25" s="142">
        <f>'WD5 - Rentabilitetsanalyse'!C58</f>
        <v>1.0160030783856584</v>
      </c>
      <c r="T25" s="142">
        <f>'WD5 - Rentabilitetsanalyse'!D58</f>
        <v>0.98856168163347213</v>
      </c>
      <c r="U25" s="142">
        <f>'WD5 - Rentabilitetsanalyse'!E58</f>
        <v>1.0386333313997331</v>
      </c>
      <c r="V25" s="142">
        <f>'WD5 - Rentabilitetsanalyse'!F58</f>
        <v>0.87233593585144542</v>
      </c>
      <c r="W25" s="142">
        <f>'WD5 - Rentabilitetsanalyse'!G58</f>
        <v>0.98332181979670386</v>
      </c>
      <c r="X25" s="142">
        <f>'WD5 - Rentabilitetsanalyse'!H58</f>
        <v>1.0779642663779101</v>
      </c>
      <c r="Y25" s="142">
        <f>'WD5 - Rentabilitetsanalyse'!I58</f>
        <v>1.096160239361702</v>
      </c>
      <c r="Z25" s="142">
        <f>'WD5 - Rentabilitetsanalyse'!J58</f>
        <v>1.0565605880540516</v>
      </c>
      <c r="AA25" s="142">
        <f>'WD5 - Rentabilitetsanalyse'!K58</f>
        <v>1.0877658218165129</v>
      </c>
      <c r="AB25" s="142">
        <f>'WD5 - Rentabilitetsanalyse'!L58</f>
        <v>1.1277905152648726</v>
      </c>
      <c r="AC25" s="142">
        <f>'WD5 - Rentabilitetsanalyse'!M58</f>
        <v>1.2455164743500626</v>
      </c>
      <c r="AD25" s="142">
        <f>'WD5 - Rentabilitetsanalyse'!N58</f>
        <v>1.450860680064445</v>
      </c>
      <c r="AE25" s="142">
        <f>'WD5 - Rentabilitetsanalyse'!O58</f>
        <v>1.6033898305084746</v>
      </c>
      <c r="AF25" s="142">
        <f>'WD5 - Rentabilitetsanalyse'!P58</f>
        <v>0</v>
      </c>
    </row>
    <row r="26" spans="2:32" x14ac:dyDescent="0.2">
      <c r="B26" s="12" t="s">
        <v>296</v>
      </c>
      <c r="C26" s="12"/>
      <c r="D26" s="12"/>
      <c r="E26" s="12"/>
      <c r="F26" s="12"/>
      <c r="G26" s="12"/>
      <c r="H26" s="39"/>
      <c r="I26" s="39"/>
      <c r="J26" s="39">
        <v>23</v>
      </c>
      <c r="K26" s="12"/>
      <c r="L26" s="12"/>
      <c r="M26" s="29">
        <v>10</v>
      </c>
      <c r="N26" s="29"/>
      <c r="O26" s="29"/>
      <c r="P26" s="29"/>
      <c r="Q26" s="141"/>
      <c r="S26" s="142"/>
      <c r="T26" s="142"/>
      <c r="U26" s="142"/>
      <c r="V26" s="142"/>
      <c r="W26" s="142"/>
      <c r="X26" s="142"/>
      <c r="Y26" s="142"/>
      <c r="Z26" s="142"/>
      <c r="AC26" s="135"/>
    </row>
    <row r="27" spans="2:32" x14ac:dyDescent="0.2">
      <c r="B27" s="12" t="s">
        <v>200</v>
      </c>
      <c r="C27" s="12"/>
      <c r="D27" s="12"/>
      <c r="E27" s="12"/>
      <c r="F27" s="12"/>
      <c r="G27" s="12"/>
      <c r="H27" s="39">
        <v>120</v>
      </c>
      <c r="I27" s="39">
        <v>166</v>
      </c>
      <c r="J27" s="39">
        <v>188</v>
      </c>
      <c r="K27" s="39">
        <v>24</v>
      </c>
      <c r="L27" s="12"/>
      <c r="M27" s="29"/>
      <c r="N27" s="29"/>
      <c r="O27" s="29"/>
      <c r="P27" s="29"/>
      <c r="Q27" s="141"/>
      <c r="R27" s="2" t="s">
        <v>297</v>
      </c>
      <c r="S27" s="143">
        <f>S21-T21</f>
        <v>-7.0322660974928286E-3</v>
      </c>
      <c r="T27" s="143"/>
      <c r="U27" s="143"/>
      <c r="V27" s="143"/>
      <c r="W27" s="143"/>
      <c r="X27" s="142"/>
      <c r="Y27" s="142"/>
      <c r="Z27" s="142"/>
      <c r="AC27" s="135"/>
    </row>
    <row r="28" spans="2:32" x14ac:dyDescent="0.2">
      <c r="B28" s="12" t="s">
        <v>298</v>
      </c>
      <c r="C28" s="144"/>
      <c r="D28" s="144"/>
      <c r="E28" s="144">
        <v>-1</v>
      </c>
      <c r="F28" s="145"/>
      <c r="G28" s="144">
        <v>-3</v>
      </c>
      <c r="H28" s="144">
        <v>-1</v>
      </c>
      <c r="I28" s="144">
        <v>-1</v>
      </c>
      <c r="J28" s="144">
        <v>-2</v>
      </c>
      <c r="K28" s="144">
        <v>-3</v>
      </c>
      <c r="L28" s="144">
        <v>-3</v>
      </c>
      <c r="M28" s="31">
        <v>-2</v>
      </c>
      <c r="N28" s="31">
        <v>-4</v>
      </c>
      <c r="O28" s="31">
        <v>-3</v>
      </c>
      <c r="P28" s="31">
        <v>-2</v>
      </c>
      <c r="Q28" s="141"/>
      <c r="R28" s="2" t="s">
        <v>299</v>
      </c>
      <c r="S28" s="143">
        <f>S24-T24</f>
        <v>1.6141907238618067E-2</v>
      </c>
      <c r="T28" s="143"/>
      <c r="U28" s="143"/>
      <c r="V28" s="143"/>
      <c r="W28" s="143"/>
    </row>
    <row r="29" spans="2:32" x14ac:dyDescent="0.2">
      <c r="B29" s="3" t="s">
        <v>300</v>
      </c>
      <c r="C29" s="18">
        <f>SUM(C23:C28)</f>
        <v>4068</v>
      </c>
      <c r="D29" s="18">
        <f>SUM(D23:D28)</f>
        <v>3086</v>
      </c>
      <c r="E29" s="18">
        <f>SUM(E23:E28)</f>
        <v>3443</v>
      </c>
      <c r="F29" s="18">
        <f>F23</f>
        <v>1025</v>
      </c>
      <c r="G29" s="18">
        <f t="shared" ref="G29:P29" si="6">SUM(G23:G28)</f>
        <v>1930</v>
      </c>
      <c r="H29" s="18">
        <f t="shared" si="6"/>
        <v>2516</v>
      </c>
      <c r="I29" s="18">
        <f t="shared" si="6"/>
        <v>2442</v>
      </c>
      <c r="J29" s="18">
        <f t="shared" si="6"/>
        <v>2067</v>
      </c>
      <c r="K29" s="18">
        <f t="shared" si="6"/>
        <v>1847</v>
      </c>
      <c r="L29" s="18">
        <f t="shared" si="6"/>
        <v>1691</v>
      </c>
      <c r="M29" s="18">
        <f t="shared" si="6"/>
        <v>1695</v>
      </c>
      <c r="N29" s="18">
        <f t="shared" si="6"/>
        <v>1632</v>
      </c>
      <c r="O29" s="18">
        <f t="shared" si="6"/>
        <v>1695</v>
      </c>
      <c r="P29" s="18">
        <f t="shared" si="6"/>
        <v>1419</v>
      </c>
      <c r="Q29" s="138"/>
      <c r="R29" s="2" t="s">
        <v>301</v>
      </c>
      <c r="S29" s="142">
        <f>S25-T25</f>
        <v>2.7441396752186265E-2</v>
      </c>
      <c r="T29" s="142"/>
      <c r="U29" s="142"/>
      <c r="V29" s="142"/>
      <c r="W29" s="142"/>
    </row>
    <row r="30" spans="2:32" x14ac:dyDescent="0.2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2"/>
      <c r="N30" s="32"/>
      <c r="O30" s="32"/>
      <c r="P30" s="32"/>
      <c r="Q30" s="138"/>
      <c r="R30" s="2" t="s">
        <v>302</v>
      </c>
      <c r="S30" s="146">
        <f>S18-T18</f>
        <v>-2.8156474759720041E-3</v>
      </c>
      <c r="T30" s="146"/>
      <c r="U30" s="146"/>
      <c r="V30" s="146"/>
      <c r="W30" s="146"/>
    </row>
    <row r="31" spans="2:32" x14ac:dyDescent="0.2">
      <c r="B31" s="16" t="s">
        <v>213</v>
      </c>
      <c r="C31" s="29">
        <v>-839</v>
      </c>
      <c r="D31" s="29">
        <v>-651</v>
      </c>
      <c r="E31" s="29">
        <v>-750</v>
      </c>
      <c r="F31" s="29">
        <v>-202</v>
      </c>
      <c r="G31" s="29">
        <v>-444</v>
      </c>
      <c r="H31" s="29">
        <v>-538</v>
      </c>
      <c r="I31" s="29">
        <v>-468</v>
      </c>
      <c r="J31" s="29">
        <v>-377</v>
      </c>
      <c r="K31" s="29">
        <v>-370</v>
      </c>
      <c r="L31" s="29">
        <v>-364</v>
      </c>
      <c r="M31" s="29">
        <v>-378</v>
      </c>
      <c r="N31" s="29">
        <v>-370</v>
      </c>
      <c r="O31" s="29">
        <v>-407</v>
      </c>
      <c r="P31" s="29">
        <v>-326</v>
      </c>
      <c r="Q31" s="134"/>
      <c r="R31" s="2" t="s">
        <v>303</v>
      </c>
      <c r="S31" s="146">
        <f>S20-T20</f>
        <v>-2.3921511608354817E-2</v>
      </c>
      <c r="T31" s="146"/>
      <c r="U31" s="146"/>
      <c r="V31" s="146"/>
      <c r="W31" s="146"/>
      <c r="AA31" s="139"/>
    </row>
    <row r="32" spans="2:32" x14ac:dyDescent="0.2">
      <c r="B32" s="16" t="s">
        <v>211</v>
      </c>
      <c r="C32" s="29">
        <v>-178</v>
      </c>
      <c r="D32" s="29">
        <v>-72</v>
      </c>
      <c r="E32" s="29">
        <v>-52</v>
      </c>
      <c r="F32" s="29">
        <v>-50</v>
      </c>
      <c r="G32" s="29">
        <v>-61</v>
      </c>
      <c r="H32" s="29">
        <v>-43</v>
      </c>
      <c r="I32" s="29">
        <v>-33</v>
      </c>
      <c r="J32" s="29">
        <v>-30</v>
      </c>
      <c r="K32" s="29">
        <v>-26</v>
      </c>
      <c r="L32" s="29">
        <f>-L70</f>
        <v>-24.745000000000001</v>
      </c>
      <c r="M32" s="29">
        <f>-M70</f>
        <v>-25.75</v>
      </c>
      <c r="N32" s="29">
        <f>-N70</f>
        <v>-37.5</v>
      </c>
      <c r="O32" s="29">
        <f>-O70</f>
        <v>-28.75</v>
      </c>
      <c r="P32" s="29">
        <f>-P70</f>
        <v>-31.25</v>
      </c>
      <c r="Q32" s="134"/>
    </row>
    <row r="33" spans="2:26" x14ac:dyDescent="0.2">
      <c r="B33" s="16" t="s">
        <v>304</v>
      </c>
      <c r="C33" s="75">
        <v>12</v>
      </c>
      <c r="D33" s="75">
        <v>10</v>
      </c>
      <c r="E33" s="75">
        <v>8</v>
      </c>
      <c r="F33" s="75">
        <v>7</v>
      </c>
      <c r="G33" s="75">
        <v>31</v>
      </c>
      <c r="H33" s="75">
        <v>7</v>
      </c>
      <c r="I33" s="75">
        <v>9</v>
      </c>
      <c r="J33" s="75">
        <v>8</v>
      </c>
      <c r="K33" s="75">
        <v>9</v>
      </c>
      <c r="L33" s="75">
        <v>9</v>
      </c>
      <c r="M33" s="75">
        <f>-M45</f>
        <v>7.75</v>
      </c>
      <c r="N33" s="75">
        <f>-N45</f>
        <v>5.5</v>
      </c>
      <c r="O33" s="75">
        <f>-O45</f>
        <v>3.75</v>
      </c>
      <c r="P33" s="75">
        <f>-P45</f>
        <v>2.75</v>
      </c>
      <c r="Q33" s="136"/>
    </row>
    <row r="34" spans="2:26" x14ac:dyDescent="0.2">
      <c r="B34" s="16" t="s">
        <v>305</v>
      </c>
      <c r="C34" s="31">
        <v>2</v>
      </c>
      <c r="D34" s="31"/>
      <c r="E34" s="31">
        <v>22</v>
      </c>
      <c r="F34" s="31"/>
      <c r="G34" s="31"/>
      <c r="H34" s="31">
        <v>-25</v>
      </c>
      <c r="I34" s="31">
        <v>-35</v>
      </c>
      <c r="J34" s="31">
        <v>-46</v>
      </c>
      <c r="K34" s="31">
        <v>-5</v>
      </c>
      <c r="L34" s="31">
        <f>-L56</f>
        <v>0.49</v>
      </c>
      <c r="M34" s="31">
        <f>-M56</f>
        <v>-2.5</v>
      </c>
      <c r="N34" s="31">
        <f>-N56</f>
        <v>1.25</v>
      </c>
      <c r="O34" s="31">
        <f>-O56</f>
        <v>1.25</v>
      </c>
      <c r="P34" s="31">
        <f>-P56</f>
        <v>0.75</v>
      </c>
      <c r="Q34" s="136"/>
    </row>
    <row r="35" spans="2:26" x14ac:dyDescent="0.2">
      <c r="B35" s="16" t="s">
        <v>208</v>
      </c>
      <c r="C35" s="147">
        <f t="shared" ref="C35:P35" si="7">SUM(C31:C34)</f>
        <v>-1003</v>
      </c>
      <c r="D35" s="147">
        <f t="shared" si="7"/>
        <v>-713</v>
      </c>
      <c r="E35" s="147">
        <f t="shared" si="7"/>
        <v>-772</v>
      </c>
      <c r="F35" s="147">
        <f t="shared" si="7"/>
        <v>-245</v>
      </c>
      <c r="G35" s="147">
        <f t="shared" si="7"/>
        <v>-474</v>
      </c>
      <c r="H35" s="147">
        <f t="shared" si="7"/>
        <v>-599</v>
      </c>
      <c r="I35" s="147">
        <f t="shared" si="7"/>
        <v>-527</v>
      </c>
      <c r="J35" s="147">
        <f t="shared" si="7"/>
        <v>-445</v>
      </c>
      <c r="K35" s="147">
        <f t="shared" si="7"/>
        <v>-392</v>
      </c>
      <c r="L35" s="147">
        <f t="shared" si="7"/>
        <v>-379.255</v>
      </c>
      <c r="M35" s="29">
        <f t="shared" si="7"/>
        <v>-398.5</v>
      </c>
      <c r="N35" s="29">
        <f t="shared" si="7"/>
        <v>-400.75</v>
      </c>
      <c r="O35" s="29">
        <f t="shared" si="7"/>
        <v>-430.75</v>
      </c>
      <c r="P35" s="29">
        <f t="shared" si="7"/>
        <v>-353.75</v>
      </c>
      <c r="Q35" s="134"/>
      <c r="S35" s="135"/>
      <c r="T35" s="135"/>
      <c r="U35" s="135"/>
      <c r="V35" s="135"/>
      <c r="W35" s="135"/>
    </row>
    <row r="36" spans="2:26" x14ac:dyDescent="0.2">
      <c r="B36" s="80"/>
      <c r="C36" s="80"/>
      <c r="D36" s="80"/>
      <c r="E36" s="80"/>
      <c r="F36" s="80"/>
      <c r="G36" s="80"/>
      <c r="H36" s="80"/>
      <c r="I36" s="80"/>
      <c r="J36" s="80"/>
      <c r="K36" s="80"/>
      <c r="L36" s="80"/>
      <c r="M36" s="32"/>
      <c r="N36" s="32"/>
      <c r="O36" s="32"/>
      <c r="P36" s="32"/>
      <c r="Q36" s="138"/>
    </row>
    <row r="37" spans="2:26" x14ac:dyDescent="0.2">
      <c r="B37" s="3" t="s">
        <v>306</v>
      </c>
      <c r="C37" s="74">
        <f t="shared" ref="C37:P37" si="8">C29+C35</f>
        <v>3065</v>
      </c>
      <c r="D37" s="74">
        <f t="shared" si="8"/>
        <v>2373</v>
      </c>
      <c r="E37" s="74">
        <f t="shared" si="8"/>
        <v>2671</v>
      </c>
      <c r="F37" s="74">
        <f t="shared" si="8"/>
        <v>780</v>
      </c>
      <c r="G37" s="74">
        <f t="shared" si="8"/>
        <v>1456</v>
      </c>
      <c r="H37" s="74">
        <f t="shared" si="8"/>
        <v>1917</v>
      </c>
      <c r="I37" s="74">
        <f t="shared" si="8"/>
        <v>1915</v>
      </c>
      <c r="J37" s="74">
        <f t="shared" si="8"/>
        <v>1622</v>
      </c>
      <c r="K37" s="74">
        <f t="shared" si="8"/>
        <v>1455</v>
      </c>
      <c r="L37" s="74">
        <f t="shared" si="8"/>
        <v>1311.7449999999999</v>
      </c>
      <c r="M37" s="79">
        <f t="shared" si="8"/>
        <v>1296.5</v>
      </c>
      <c r="N37" s="79">
        <f t="shared" si="8"/>
        <v>1231.25</v>
      </c>
      <c r="O37" s="79">
        <f t="shared" si="8"/>
        <v>1264.25</v>
      </c>
      <c r="P37" s="79">
        <f t="shared" si="8"/>
        <v>1065.25</v>
      </c>
      <c r="Q37" s="148"/>
    </row>
    <row r="38" spans="2:26" x14ac:dyDescent="0.2"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2"/>
      <c r="N38" s="32"/>
      <c r="O38" s="32"/>
      <c r="P38" s="32"/>
      <c r="Q38" s="138"/>
    </row>
    <row r="39" spans="2:26" x14ac:dyDescent="0.2">
      <c r="B39" s="3" t="s">
        <v>307</v>
      </c>
      <c r="C39" s="3"/>
      <c r="D39" s="3"/>
      <c r="E39" s="3"/>
      <c r="F39" s="3"/>
      <c r="G39" s="3"/>
      <c r="H39" s="3"/>
      <c r="I39" s="3"/>
      <c r="J39" s="3"/>
      <c r="K39" s="3"/>
      <c r="L39" s="3"/>
      <c r="M39" s="32"/>
      <c r="N39" s="32"/>
      <c r="O39" s="32"/>
      <c r="P39" s="32"/>
      <c r="Q39" s="138"/>
    </row>
    <row r="40" spans="2:26" x14ac:dyDescent="0.2">
      <c r="B40" s="12" t="s">
        <v>298</v>
      </c>
      <c r="C40" s="39"/>
      <c r="D40" s="39"/>
      <c r="E40" s="39">
        <v>1</v>
      </c>
      <c r="F40" s="12"/>
      <c r="G40" s="39">
        <v>3</v>
      </c>
      <c r="H40" s="39">
        <v>1</v>
      </c>
      <c r="I40" s="39">
        <v>1</v>
      </c>
      <c r="J40" s="39">
        <v>2</v>
      </c>
      <c r="K40" s="39">
        <v>3</v>
      </c>
      <c r="L40" s="39">
        <v>3</v>
      </c>
      <c r="M40" s="2">
        <v>2</v>
      </c>
      <c r="N40" s="2">
        <v>4</v>
      </c>
      <c r="O40" s="2">
        <v>3</v>
      </c>
      <c r="P40" s="2">
        <v>2</v>
      </c>
      <c r="Q40" s="141"/>
    </row>
    <row r="41" spans="2:26" x14ac:dyDescent="0.2">
      <c r="B41" s="39" t="s">
        <v>308</v>
      </c>
      <c r="C41" s="39"/>
      <c r="D41" s="39"/>
      <c r="E41" s="39"/>
      <c r="F41" s="39"/>
      <c r="G41" s="39">
        <v>100</v>
      </c>
      <c r="H41" s="39"/>
      <c r="I41" s="39"/>
      <c r="J41" s="39"/>
      <c r="K41" s="39"/>
      <c r="L41" s="39"/>
      <c r="Q41" s="141"/>
    </row>
    <row r="42" spans="2:26" ht="16" x14ac:dyDescent="0.2">
      <c r="B42" s="2" t="s">
        <v>198</v>
      </c>
      <c r="C42" s="2">
        <v>55</v>
      </c>
      <c r="D42" s="2">
        <v>45</v>
      </c>
      <c r="E42" s="2">
        <v>34</v>
      </c>
      <c r="F42" s="2">
        <v>32</v>
      </c>
      <c r="G42" s="2">
        <v>36</v>
      </c>
      <c r="H42" s="2">
        <v>33</v>
      </c>
      <c r="I42" s="2">
        <v>39</v>
      </c>
      <c r="J42" s="2">
        <v>36</v>
      </c>
      <c r="K42" s="2">
        <v>38</v>
      </c>
      <c r="L42" s="2">
        <v>34</v>
      </c>
      <c r="M42" s="2">
        <v>31</v>
      </c>
      <c r="N42" s="75">
        <v>19</v>
      </c>
      <c r="O42" s="75">
        <v>14</v>
      </c>
      <c r="P42" s="75">
        <v>9</v>
      </c>
      <c r="Q42" s="136"/>
    </row>
    <row r="43" spans="2:26" ht="16" x14ac:dyDescent="0.2">
      <c r="B43" s="2" t="s">
        <v>197</v>
      </c>
      <c r="C43" s="14"/>
      <c r="D43" s="14"/>
      <c r="E43" s="14"/>
      <c r="F43" s="14"/>
      <c r="G43" s="14"/>
      <c r="H43" s="14"/>
      <c r="I43" s="14"/>
      <c r="J43" s="14"/>
      <c r="K43" s="14">
        <v>-1</v>
      </c>
      <c r="L43" s="14">
        <v>-1</v>
      </c>
      <c r="M43" s="14">
        <v>-2</v>
      </c>
      <c r="N43" s="31">
        <v>-1</v>
      </c>
      <c r="O43" s="31">
        <v>-2</v>
      </c>
      <c r="P43" s="14">
        <v>0</v>
      </c>
    </row>
    <row r="44" spans="2:26" x14ac:dyDescent="0.2">
      <c r="C44" s="2">
        <f t="shared" ref="C44:J44" si="9">SUM(C40:C43)</f>
        <v>55</v>
      </c>
      <c r="D44" s="2">
        <f t="shared" si="9"/>
        <v>45</v>
      </c>
      <c r="E44" s="2">
        <f t="shared" si="9"/>
        <v>35</v>
      </c>
      <c r="F44" s="2">
        <f t="shared" si="9"/>
        <v>32</v>
      </c>
      <c r="G44" s="2">
        <f t="shared" si="9"/>
        <v>139</v>
      </c>
      <c r="H44" s="2">
        <f t="shared" si="9"/>
        <v>34</v>
      </c>
      <c r="I44" s="2">
        <f t="shared" si="9"/>
        <v>40</v>
      </c>
      <c r="J44" s="2">
        <f t="shared" si="9"/>
        <v>38</v>
      </c>
      <c r="K44" s="2">
        <f>K40+K42+K43</f>
        <v>40</v>
      </c>
      <c r="L44" s="2">
        <f>L40+L42+L43</f>
        <v>36</v>
      </c>
      <c r="M44" s="2">
        <f>SUM(M40:M43)</f>
        <v>31</v>
      </c>
      <c r="N44" s="2">
        <f>SUM(N40:N43)</f>
        <v>22</v>
      </c>
      <c r="O44" s="2">
        <f>SUM(O40:O43)</f>
        <v>15</v>
      </c>
      <c r="P44" s="2">
        <f>SUM(P40:P43)</f>
        <v>11</v>
      </c>
    </row>
    <row r="45" spans="2:26" x14ac:dyDescent="0.2">
      <c r="B45" s="30" t="s">
        <v>309</v>
      </c>
      <c r="C45" s="31">
        <f t="shared" ref="C45:J45" si="10">-0.22*C44</f>
        <v>-12.1</v>
      </c>
      <c r="D45" s="31">
        <f t="shared" si="10"/>
        <v>-9.9</v>
      </c>
      <c r="E45" s="31">
        <f t="shared" si="10"/>
        <v>-7.7</v>
      </c>
      <c r="F45" s="31">
        <f t="shared" si="10"/>
        <v>-7.04</v>
      </c>
      <c r="G45" s="31">
        <f t="shared" si="10"/>
        <v>-30.580000000000002</v>
      </c>
      <c r="H45" s="31">
        <f t="shared" si="10"/>
        <v>-7.48</v>
      </c>
      <c r="I45" s="31">
        <f t="shared" si="10"/>
        <v>-8.8000000000000007</v>
      </c>
      <c r="J45" s="31">
        <f t="shared" si="10"/>
        <v>-8.36</v>
      </c>
      <c r="K45" s="31">
        <f>-0.235*K44</f>
        <v>-9.3999999999999986</v>
      </c>
      <c r="L45" s="31">
        <f>-0.245*L44</f>
        <v>-8.82</v>
      </c>
      <c r="M45" s="31">
        <f>-0.25*M44</f>
        <v>-7.75</v>
      </c>
      <c r="N45" s="31">
        <f>-0.25*N44</f>
        <v>-5.5</v>
      </c>
      <c r="O45" s="31">
        <f>-0.25*O44</f>
        <v>-3.75</v>
      </c>
      <c r="P45" s="31">
        <f>-0.25*P44</f>
        <v>-2.75</v>
      </c>
      <c r="Q45" s="136"/>
      <c r="S45" s="149"/>
      <c r="T45" s="149"/>
      <c r="U45" s="149"/>
      <c r="V45" s="149"/>
      <c r="W45" s="149"/>
      <c r="X45" s="149"/>
      <c r="Y45" s="149"/>
      <c r="Z45" s="149"/>
    </row>
    <row r="46" spans="2:26" x14ac:dyDescent="0.2">
      <c r="B46" s="2" t="s">
        <v>310</v>
      </c>
      <c r="C46" s="11">
        <f>C44+C45</f>
        <v>42.9</v>
      </c>
      <c r="D46" s="11">
        <f>D44+D45</f>
        <v>35.1</v>
      </c>
      <c r="E46" s="11">
        <f>SUM(E44:E45)</f>
        <v>27.3</v>
      </c>
      <c r="F46" s="11">
        <f t="shared" ref="F46:P46" si="11">F44+F45</f>
        <v>24.96</v>
      </c>
      <c r="G46" s="11">
        <f t="shared" si="11"/>
        <v>108.42</v>
      </c>
      <c r="H46" s="11">
        <f t="shared" si="11"/>
        <v>26.52</v>
      </c>
      <c r="I46" s="11">
        <f t="shared" si="11"/>
        <v>31.2</v>
      </c>
      <c r="J46" s="11">
        <f t="shared" si="11"/>
        <v>29.64</v>
      </c>
      <c r="K46" s="11">
        <f t="shared" si="11"/>
        <v>30.6</v>
      </c>
      <c r="L46" s="11">
        <f t="shared" si="11"/>
        <v>27.18</v>
      </c>
      <c r="M46" s="11">
        <f t="shared" si="11"/>
        <v>23.25</v>
      </c>
      <c r="N46" s="11">
        <f t="shared" si="11"/>
        <v>16.5</v>
      </c>
      <c r="O46" s="11">
        <f t="shared" si="11"/>
        <v>11.25</v>
      </c>
      <c r="P46" s="11">
        <f t="shared" si="11"/>
        <v>8.25</v>
      </c>
      <c r="Q46" s="150"/>
      <c r="S46" s="149"/>
      <c r="T46" s="149"/>
      <c r="U46" s="149"/>
      <c r="V46" s="149"/>
      <c r="W46" s="149"/>
      <c r="X46" s="149"/>
      <c r="Y46" s="149"/>
      <c r="Z46" s="149"/>
    </row>
    <row r="47" spans="2:26" x14ac:dyDescent="0.2">
      <c r="B47" s="2" t="s">
        <v>195</v>
      </c>
      <c r="C47" s="2">
        <v>69</v>
      </c>
      <c r="D47" s="2">
        <v>122</v>
      </c>
      <c r="E47" s="2">
        <v>120</v>
      </c>
      <c r="F47" s="2">
        <v>505</v>
      </c>
      <c r="G47" s="2">
        <v>118</v>
      </c>
      <c r="H47" s="2">
        <v>134</v>
      </c>
      <c r="I47" s="2">
        <v>53</v>
      </c>
      <c r="J47" s="2">
        <v>81</v>
      </c>
      <c r="K47" s="2">
        <v>48</v>
      </c>
      <c r="L47" s="2">
        <v>65</v>
      </c>
      <c r="M47" s="2">
        <v>49</v>
      </c>
      <c r="N47" s="75">
        <v>12</v>
      </c>
      <c r="O47" s="75">
        <v>6</v>
      </c>
      <c r="P47" s="75">
        <v>6</v>
      </c>
      <c r="Q47" s="136"/>
      <c r="S47" s="139"/>
      <c r="T47" s="139"/>
      <c r="U47" s="139"/>
      <c r="V47" s="139"/>
      <c r="W47" s="139"/>
      <c r="X47" s="139"/>
      <c r="Y47" s="139"/>
      <c r="Z47" s="139"/>
    </row>
    <row r="48" spans="2:26" x14ac:dyDescent="0.2">
      <c r="C48" s="74">
        <f t="shared" ref="C48:P48" si="12">C46+C47</f>
        <v>111.9</v>
      </c>
      <c r="D48" s="74">
        <f t="shared" si="12"/>
        <v>157.1</v>
      </c>
      <c r="E48" s="74">
        <f t="shared" si="12"/>
        <v>147.30000000000001</v>
      </c>
      <c r="F48" s="74">
        <f t="shared" si="12"/>
        <v>529.96</v>
      </c>
      <c r="G48" s="74">
        <f t="shared" si="12"/>
        <v>226.42000000000002</v>
      </c>
      <c r="H48" s="74">
        <f t="shared" si="12"/>
        <v>160.52000000000001</v>
      </c>
      <c r="I48" s="74">
        <f t="shared" si="12"/>
        <v>84.2</v>
      </c>
      <c r="J48" s="74">
        <f t="shared" si="12"/>
        <v>110.64</v>
      </c>
      <c r="K48" s="74">
        <f t="shared" si="12"/>
        <v>78.599999999999994</v>
      </c>
      <c r="L48" s="74">
        <f t="shared" si="12"/>
        <v>92.18</v>
      </c>
      <c r="M48" s="74">
        <f t="shared" si="12"/>
        <v>72.25</v>
      </c>
      <c r="N48" s="74">
        <f t="shared" si="12"/>
        <v>28.5</v>
      </c>
      <c r="O48" s="74">
        <f t="shared" si="12"/>
        <v>17.25</v>
      </c>
      <c r="P48" s="74">
        <f t="shared" si="12"/>
        <v>14.25</v>
      </c>
      <c r="Q48" s="151"/>
      <c r="S48" s="152"/>
      <c r="T48" s="152"/>
      <c r="U48" s="152"/>
      <c r="V48" s="152"/>
      <c r="W48" s="152"/>
      <c r="X48" s="152"/>
      <c r="Y48" s="152"/>
      <c r="Z48" s="152"/>
    </row>
    <row r="49" spans="1:29" x14ac:dyDescent="0.2">
      <c r="B49" s="3" t="s">
        <v>311</v>
      </c>
      <c r="C49" s="18">
        <f t="shared" ref="C49:P49" si="13">C37+C48</f>
        <v>3176.9</v>
      </c>
      <c r="D49" s="18">
        <f t="shared" si="13"/>
        <v>2530.1</v>
      </c>
      <c r="E49" s="18">
        <f t="shared" si="13"/>
        <v>2818.3</v>
      </c>
      <c r="F49" s="18">
        <f t="shared" si="13"/>
        <v>1309.96</v>
      </c>
      <c r="G49" s="18">
        <f t="shared" si="13"/>
        <v>1682.42</v>
      </c>
      <c r="H49" s="18">
        <f t="shared" si="13"/>
        <v>2077.52</v>
      </c>
      <c r="I49" s="18">
        <f t="shared" si="13"/>
        <v>1999.2</v>
      </c>
      <c r="J49" s="18">
        <f t="shared" si="13"/>
        <v>1732.64</v>
      </c>
      <c r="K49" s="18">
        <f t="shared" si="13"/>
        <v>1533.6</v>
      </c>
      <c r="L49" s="18">
        <f t="shared" si="13"/>
        <v>1403.925</v>
      </c>
      <c r="M49" s="18">
        <f t="shared" si="13"/>
        <v>1368.75</v>
      </c>
      <c r="N49" s="18">
        <f t="shared" si="13"/>
        <v>1259.75</v>
      </c>
      <c r="O49" s="18">
        <f t="shared" si="13"/>
        <v>1281.5</v>
      </c>
      <c r="P49" s="18">
        <f t="shared" si="13"/>
        <v>1079.5</v>
      </c>
      <c r="Q49" s="151"/>
      <c r="S49" s="152"/>
      <c r="T49" s="152"/>
      <c r="U49" s="152"/>
      <c r="V49" s="152"/>
      <c r="W49" s="152"/>
      <c r="X49" s="152"/>
      <c r="Y49" s="152"/>
      <c r="Z49" s="139"/>
    </row>
    <row r="50" spans="1:29" x14ac:dyDescent="0.2">
      <c r="N50" s="75"/>
      <c r="O50" s="75"/>
      <c r="P50" s="75"/>
      <c r="Q50" s="136"/>
    </row>
    <row r="51" spans="1:29" x14ac:dyDescent="0.2">
      <c r="B51" s="3"/>
      <c r="C51" s="153"/>
      <c r="D51" s="153"/>
      <c r="E51" s="153"/>
      <c r="F51" s="153"/>
      <c r="G51" s="153"/>
      <c r="H51" s="153"/>
      <c r="I51" s="153"/>
      <c r="J51" s="153"/>
      <c r="K51" s="153"/>
      <c r="L51" s="153"/>
      <c r="M51" s="153"/>
      <c r="N51" s="153"/>
      <c r="O51" s="153"/>
      <c r="P51" s="153"/>
      <c r="Q51" s="136"/>
      <c r="R51" s="146"/>
    </row>
    <row r="52" spans="1:29" x14ac:dyDescent="0.2">
      <c r="B52" s="12" t="s">
        <v>295</v>
      </c>
      <c r="C52" s="39">
        <v>11</v>
      </c>
      <c r="D52" s="39">
        <v>-1</v>
      </c>
      <c r="E52" s="39">
        <v>99</v>
      </c>
      <c r="F52" s="12"/>
      <c r="G52" s="12"/>
      <c r="H52" s="39">
        <v>1</v>
      </c>
      <c r="I52" s="39">
        <v>8</v>
      </c>
      <c r="J52" s="39">
        <v>3</v>
      </c>
      <c r="K52" s="39">
        <v>4</v>
      </c>
      <c r="L52" s="39">
        <v>2</v>
      </c>
      <c r="N52" s="75">
        <v>5</v>
      </c>
      <c r="O52" s="75">
        <v>5</v>
      </c>
      <c r="P52" s="75">
        <v>3</v>
      </c>
      <c r="Q52" s="141"/>
      <c r="S52" s="135"/>
      <c r="T52" s="135"/>
      <c r="U52" s="135"/>
      <c r="V52" s="135"/>
      <c r="W52" s="135"/>
      <c r="X52" s="135"/>
      <c r="Y52" s="135"/>
      <c r="Z52" s="135"/>
    </row>
    <row r="53" spans="1:29" x14ac:dyDescent="0.2">
      <c r="B53" s="12" t="s">
        <v>296</v>
      </c>
      <c r="C53" s="12"/>
      <c r="D53" s="12"/>
      <c r="E53" s="39"/>
      <c r="F53" s="12"/>
      <c r="G53" s="12"/>
      <c r="J53" s="2">
        <v>-23</v>
      </c>
      <c r="L53" s="12"/>
      <c r="M53" s="2">
        <v>-10</v>
      </c>
      <c r="N53" s="75"/>
      <c r="O53" s="75"/>
      <c r="P53" s="75"/>
      <c r="Q53" s="141"/>
      <c r="S53" s="142"/>
      <c r="T53" s="142"/>
      <c r="U53" s="142"/>
      <c r="V53" s="142"/>
      <c r="W53" s="142"/>
      <c r="X53" s="142"/>
      <c r="Y53" s="142"/>
      <c r="Z53" s="142"/>
    </row>
    <row r="54" spans="1:29" x14ac:dyDescent="0.2">
      <c r="B54" s="12" t="s">
        <v>200</v>
      </c>
      <c r="C54" s="145"/>
      <c r="D54" s="145"/>
      <c r="E54" s="144"/>
      <c r="F54" s="145"/>
      <c r="G54" s="145"/>
      <c r="H54" s="14">
        <v>-120</v>
      </c>
      <c r="I54" s="14">
        <v>-166</v>
      </c>
      <c r="J54" s="14">
        <v>-188</v>
      </c>
      <c r="K54" s="14">
        <v>-24</v>
      </c>
      <c r="L54" s="145"/>
      <c r="M54" s="14"/>
      <c r="N54" s="31"/>
      <c r="O54" s="31"/>
      <c r="P54" s="31"/>
      <c r="Q54" s="141"/>
      <c r="S54" s="142"/>
      <c r="T54" s="142"/>
      <c r="U54" s="142"/>
      <c r="V54" s="142"/>
      <c r="W54" s="142"/>
      <c r="X54" s="142"/>
      <c r="Y54" s="142"/>
      <c r="Z54" s="142"/>
    </row>
    <row r="55" spans="1:29" x14ac:dyDescent="0.2">
      <c r="B55" s="12"/>
      <c r="C55" s="39">
        <f>SUM(C52:C54)</f>
        <v>11</v>
      </c>
      <c r="D55" s="12"/>
      <c r="E55" s="39">
        <f>SUM(E52:E54)</f>
        <v>99</v>
      </c>
      <c r="F55" s="12"/>
      <c r="G55" s="12"/>
      <c r="H55" s="154">
        <f>SUM(H52:H54)</f>
        <v>-119</v>
      </c>
      <c r="I55" s="154">
        <f>SUM(I52:I54)</f>
        <v>-158</v>
      </c>
      <c r="J55" s="154">
        <f t="shared" ref="J55:P55" si="14">J52+J53+J54</f>
        <v>-208</v>
      </c>
      <c r="K55" s="154">
        <f t="shared" si="14"/>
        <v>-20</v>
      </c>
      <c r="L55" s="154">
        <f t="shared" si="14"/>
        <v>2</v>
      </c>
      <c r="M55" s="154">
        <f t="shared" si="14"/>
        <v>-10</v>
      </c>
      <c r="N55" s="154">
        <f t="shared" si="14"/>
        <v>5</v>
      </c>
      <c r="O55" s="154">
        <f t="shared" si="14"/>
        <v>5</v>
      </c>
      <c r="P55" s="154">
        <f t="shared" si="14"/>
        <v>3</v>
      </c>
    </row>
    <row r="56" spans="1:29" x14ac:dyDescent="0.2">
      <c r="B56" s="30" t="s">
        <v>312</v>
      </c>
      <c r="C56" s="155">
        <f>-0.22*C55</f>
        <v>-2.42</v>
      </c>
      <c r="D56" s="156"/>
      <c r="E56" s="155">
        <f>-0.22*E55</f>
        <v>-21.78</v>
      </c>
      <c r="F56" s="156"/>
      <c r="G56" s="156"/>
      <c r="H56" s="155">
        <f>-0.22*H55</f>
        <v>26.18</v>
      </c>
      <c r="I56" s="155">
        <f>-0.22*I55</f>
        <v>34.76</v>
      </c>
      <c r="J56" s="155">
        <f>-0.22*J55</f>
        <v>45.76</v>
      </c>
      <c r="K56" s="155">
        <f>-0.235*K55</f>
        <v>4.6999999999999993</v>
      </c>
      <c r="L56" s="155">
        <f>-0.245*L55</f>
        <v>-0.49</v>
      </c>
      <c r="M56" s="157">
        <f>-0.25*M55</f>
        <v>2.5</v>
      </c>
      <c r="N56" s="157">
        <f>-0.25*N55</f>
        <v>-1.25</v>
      </c>
      <c r="O56" s="157">
        <f>-0.25*O55</f>
        <v>-1.25</v>
      </c>
      <c r="P56" s="157">
        <f>-0.25*P55</f>
        <v>-0.75</v>
      </c>
      <c r="Q56" s="158"/>
    </row>
    <row r="57" spans="1:29" x14ac:dyDescent="0.2">
      <c r="B57" s="12"/>
      <c r="C57" s="154">
        <f>C55+C56</f>
        <v>8.58</v>
      </c>
      <c r="D57" s="12"/>
      <c r="E57" s="39">
        <f>SUM(E55:E56)</f>
        <v>77.22</v>
      </c>
      <c r="F57" s="12"/>
      <c r="G57" s="12"/>
      <c r="H57" s="154">
        <f t="shared" ref="H57:P57" si="15">H55+H56</f>
        <v>-92.82</v>
      </c>
      <c r="I57" s="154">
        <f t="shared" si="15"/>
        <v>-123.24000000000001</v>
      </c>
      <c r="J57" s="154">
        <f t="shared" si="15"/>
        <v>-162.24</v>
      </c>
      <c r="K57" s="154">
        <f t="shared" si="15"/>
        <v>-15.3</v>
      </c>
      <c r="L57" s="154">
        <f t="shared" si="15"/>
        <v>1.51</v>
      </c>
      <c r="M57" s="70">
        <f t="shared" si="15"/>
        <v>-7.5</v>
      </c>
      <c r="N57" s="70">
        <f t="shared" si="15"/>
        <v>3.75</v>
      </c>
      <c r="O57" s="70">
        <f t="shared" si="15"/>
        <v>3.75</v>
      </c>
      <c r="P57" s="70">
        <f t="shared" si="15"/>
        <v>2.25</v>
      </c>
      <c r="Q57" s="158"/>
    </row>
    <row r="58" spans="1:29" x14ac:dyDescent="0.2">
      <c r="A58" s="2" t="s">
        <v>189</v>
      </c>
      <c r="B58" s="2" t="s">
        <v>194</v>
      </c>
      <c r="C58" s="39">
        <v>-174</v>
      </c>
      <c r="D58" s="2">
        <v>63</v>
      </c>
      <c r="E58" s="2">
        <v>422</v>
      </c>
      <c r="F58" s="2">
        <v>-448</v>
      </c>
      <c r="G58" s="2">
        <v>136</v>
      </c>
      <c r="H58" s="11">
        <v>39</v>
      </c>
      <c r="I58" s="11">
        <v>-340</v>
      </c>
      <c r="J58" s="11">
        <v>40</v>
      </c>
      <c r="K58" s="2">
        <v>98</v>
      </c>
      <c r="L58" s="2">
        <v>186</v>
      </c>
      <c r="M58" s="11">
        <v>-212</v>
      </c>
      <c r="N58" s="75">
        <v>9</v>
      </c>
      <c r="O58" s="75">
        <v>48</v>
      </c>
      <c r="P58" s="75">
        <v>140</v>
      </c>
      <c r="Q58" s="136"/>
    </row>
    <row r="59" spans="1:29" x14ac:dyDescent="0.2">
      <c r="A59" s="2" t="s">
        <v>189</v>
      </c>
      <c r="B59" s="2" t="s">
        <v>193</v>
      </c>
      <c r="C59" s="39"/>
      <c r="G59" s="2">
        <v>-14</v>
      </c>
      <c r="H59" s="11"/>
      <c r="I59" s="11"/>
      <c r="J59" s="11"/>
      <c r="M59" s="11"/>
      <c r="N59" s="75"/>
      <c r="O59" s="75"/>
      <c r="P59" s="75"/>
      <c r="Q59" s="136"/>
    </row>
    <row r="60" spans="1:29" x14ac:dyDescent="0.2">
      <c r="A60" s="2" t="s">
        <v>189</v>
      </c>
      <c r="B60" s="2" t="s">
        <v>192</v>
      </c>
      <c r="C60" s="39">
        <v>32</v>
      </c>
      <c r="D60" s="2">
        <v>-31</v>
      </c>
      <c r="E60" s="2">
        <v>-138</v>
      </c>
      <c r="F60" s="2">
        <v>85</v>
      </c>
      <c r="G60" s="2">
        <v>-79</v>
      </c>
      <c r="H60" s="11">
        <v>-49</v>
      </c>
      <c r="I60" s="11">
        <v>115</v>
      </c>
      <c r="J60" s="11">
        <v>36</v>
      </c>
      <c r="K60" s="2">
        <v>123</v>
      </c>
      <c r="L60" s="2">
        <v>-77</v>
      </c>
      <c r="M60" s="11">
        <v>63</v>
      </c>
      <c r="N60" s="75">
        <v>3</v>
      </c>
      <c r="O60" s="75">
        <v>-60</v>
      </c>
      <c r="P60" s="75">
        <v>-45</v>
      </c>
      <c r="Q60" s="148"/>
    </row>
    <row r="61" spans="1:29" x14ac:dyDescent="0.2">
      <c r="A61" s="2" t="s">
        <v>189</v>
      </c>
      <c r="B61" s="30" t="s">
        <v>191</v>
      </c>
      <c r="C61" s="39">
        <v>-83</v>
      </c>
      <c r="D61" s="2">
        <v>158</v>
      </c>
      <c r="E61" s="2">
        <v>28</v>
      </c>
      <c r="F61" s="2">
        <v>-9</v>
      </c>
      <c r="G61" s="2">
        <v>71</v>
      </c>
      <c r="H61" s="11">
        <v>-16</v>
      </c>
      <c r="I61" s="11">
        <v>-38</v>
      </c>
      <c r="J61" s="11">
        <v>-16</v>
      </c>
      <c r="K61" s="11">
        <v>-117</v>
      </c>
      <c r="L61" s="11">
        <v>-8</v>
      </c>
      <c r="M61" s="11">
        <v>-51</v>
      </c>
      <c r="N61" s="75">
        <v>76</v>
      </c>
      <c r="O61" s="75">
        <v>-19</v>
      </c>
      <c r="P61" s="75">
        <v>58</v>
      </c>
      <c r="Q61" s="148"/>
      <c r="AC61" s="11"/>
    </row>
    <row r="62" spans="1:29" x14ac:dyDescent="0.2">
      <c r="A62" s="2" t="s">
        <v>189</v>
      </c>
      <c r="B62" s="2" t="s">
        <v>190</v>
      </c>
      <c r="C62" s="39">
        <v>-15</v>
      </c>
      <c r="D62" s="2">
        <v>78</v>
      </c>
      <c r="E62" s="2">
        <v>50</v>
      </c>
      <c r="F62" s="2">
        <v>8</v>
      </c>
      <c r="G62" s="2">
        <v>-45</v>
      </c>
      <c r="H62" s="11">
        <v>-16</v>
      </c>
      <c r="I62" s="11">
        <v>6</v>
      </c>
      <c r="J62" s="11">
        <v>-6</v>
      </c>
      <c r="K62" s="11">
        <v>-7</v>
      </c>
      <c r="L62" s="11">
        <v>-12</v>
      </c>
      <c r="M62" s="11">
        <v>4</v>
      </c>
      <c r="N62" s="75">
        <v>-8</v>
      </c>
      <c r="O62" s="75">
        <v>-24</v>
      </c>
      <c r="P62" s="75">
        <v>2</v>
      </c>
      <c r="Q62" s="148"/>
    </row>
    <row r="63" spans="1:29" x14ac:dyDescent="0.2">
      <c r="A63" s="2" t="s">
        <v>189</v>
      </c>
      <c r="B63" s="2" t="s">
        <v>188</v>
      </c>
      <c r="H63" s="2">
        <v>-407</v>
      </c>
      <c r="Q63" s="151"/>
      <c r="AC63" s="11"/>
    </row>
    <row r="64" spans="1:29" x14ac:dyDescent="0.2">
      <c r="B64" s="3"/>
      <c r="C64" s="74">
        <f>SUM(C57:C63)</f>
        <v>-231.42</v>
      </c>
      <c r="D64" s="74">
        <f>SUM(D57:D63)</f>
        <v>268</v>
      </c>
      <c r="E64" s="74">
        <f>SUM(E57:E63)</f>
        <v>439.22</v>
      </c>
      <c r="F64" s="74">
        <f>SUM(F58:F63)</f>
        <v>-364</v>
      </c>
      <c r="G64" s="74">
        <f>SUM(G57:G63)</f>
        <v>69</v>
      </c>
      <c r="H64" s="74">
        <f>SUM(H57:H63)</f>
        <v>-541.81999999999994</v>
      </c>
      <c r="I64" s="74">
        <f>SUM(I57:I62)</f>
        <v>-380.24</v>
      </c>
      <c r="J64" s="74">
        <f>J57+J58+J60+J61+J62</f>
        <v>-108.24000000000001</v>
      </c>
      <c r="K64" s="74">
        <f>K57+K58+K60+K61+K62</f>
        <v>81.699999999999989</v>
      </c>
      <c r="L64" s="74">
        <f>L57+L58+L60+L61+L62</f>
        <v>90.509999999999991</v>
      </c>
      <c r="M64" s="74">
        <f>SUM(M57:M62)</f>
        <v>-203.5</v>
      </c>
      <c r="N64" s="74">
        <f>SUM(N57:N62)</f>
        <v>83.75</v>
      </c>
      <c r="O64" s="74">
        <f>SUM(O57:O62)</f>
        <v>-51.25</v>
      </c>
      <c r="P64" s="74">
        <f>SUM(P57:P62)</f>
        <v>157.25</v>
      </c>
      <c r="Q64" s="151"/>
      <c r="AB64" s="11"/>
    </row>
    <row r="65" spans="1:17" x14ac:dyDescent="0.2">
      <c r="B65" s="3" t="s">
        <v>187</v>
      </c>
      <c r="C65" s="18">
        <f t="shared" ref="C65:H65" si="16">C49+C64</f>
        <v>2945.48</v>
      </c>
      <c r="D65" s="18">
        <f t="shared" si="16"/>
        <v>2798.1</v>
      </c>
      <c r="E65" s="18">
        <f t="shared" si="16"/>
        <v>3257.5200000000004</v>
      </c>
      <c r="F65" s="18">
        <f t="shared" si="16"/>
        <v>945.96</v>
      </c>
      <c r="G65" s="18">
        <f t="shared" si="16"/>
        <v>1751.42</v>
      </c>
      <c r="H65" s="18">
        <f t="shared" si="16"/>
        <v>1535.7</v>
      </c>
      <c r="I65" s="18">
        <f>I37+I48+I64</f>
        <v>1618.96</v>
      </c>
      <c r="J65" s="18">
        <f t="shared" ref="J65:P65" si="17">J49+J64</f>
        <v>1624.4</v>
      </c>
      <c r="K65" s="18">
        <f t="shared" si="17"/>
        <v>1615.3</v>
      </c>
      <c r="L65" s="18">
        <f t="shared" si="17"/>
        <v>1494.4349999999999</v>
      </c>
      <c r="M65" s="18">
        <f t="shared" si="17"/>
        <v>1165.25</v>
      </c>
      <c r="N65" s="18">
        <f t="shared" si="17"/>
        <v>1343.5</v>
      </c>
      <c r="O65" s="18">
        <f t="shared" si="17"/>
        <v>1230.25</v>
      </c>
      <c r="P65" s="18">
        <f t="shared" si="17"/>
        <v>1236.75</v>
      </c>
    </row>
    <row r="66" spans="1:17" x14ac:dyDescent="0.2">
      <c r="Q66" s="136"/>
    </row>
    <row r="67" spans="1:17" ht="16" x14ac:dyDescent="0.2">
      <c r="B67" s="2" t="s">
        <v>313</v>
      </c>
      <c r="C67" s="2">
        <v>-855</v>
      </c>
      <c r="D67" s="2">
        <v>-363</v>
      </c>
      <c r="E67" s="2">
        <v>-245</v>
      </c>
      <c r="F67" s="2">
        <v>-232</v>
      </c>
      <c r="G67" s="2">
        <v>-281</v>
      </c>
      <c r="H67" s="2">
        <v>-203</v>
      </c>
      <c r="I67" s="2">
        <v>-160</v>
      </c>
      <c r="J67" s="2">
        <v>-143</v>
      </c>
      <c r="K67" s="2">
        <v>-110</v>
      </c>
      <c r="L67" s="2">
        <v>-106</v>
      </c>
      <c r="M67" s="2">
        <v>-117</v>
      </c>
      <c r="N67" s="26">
        <v>-175</v>
      </c>
      <c r="O67" s="26">
        <v>-141</v>
      </c>
      <c r="P67" s="26">
        <v>-148</v>
      </c>
    </row>
    <row r="68" spans="1:17" ht="16" x14ac:dyDescent="0.2">
      <c r="B68" s="2" t="s">
        <v>314</v>
      </c>
      <c r="C68" s="14">
        <v>46</v>
      </c>
      <c r="D68" s="14">
        <v>38</v>
      </c>
      <c r="E68" s="14">
        <v>9</v>
      </c>
      <c r="F68" s="14">
        <v>6</v>
      </c>
      <c r="G68" s="14">
        <v>5</v>
      </c>
      <c r="H68" s="14">
        <v>6</v>
      </c>
      <c r="I68" s="14">
        <v>10</v>
      </c>
      <c r="J68" s="14">
        <v>6</v>
      </c>
      <c r="K68" s="14">
        <v>6</v>
      </c>
      <c r="L68" s="14">
        <v>5</v>
      </c>
      <c r="M68" s="14">
        <v>14</v>
      </c>
      <c r="N68" s="14">
        <v>25</v>
      </c>
      <c r="O68" s="14">
        <v>26</v>
      </c>
      <c r="P68" s="14">
        <v>23</v>
      </c>
      <c r="Q68" s="151"/>
    </row>
    <row r="69" spans="1:17" x14ac:dyDescent="0.2">
      <c r="B69" s="2" t="s">
        <v>184</v>
      </c>
      <c r="C69" s="2">
        <f t="shared" ref="C69:P69" si="18">C67+C68</f>
        <v>-809</v>
      </c>
      <c r="D69" s="2">
        <f t="shared" si="18"/>
        <v>-325</v>
      </c>
      <c r="E69" s="2">
        <f t="shared" si="18"/>
        <v>-236</v>
      </c>
      <c r="F69" s="2">
        <f t="shared" si="18"/>
        <v>-226</v>
      </c>
      <c r="G69" s="2">
        <f t="shared" si="18"/>
        <v>-276</v>
      </c>
      <c r="H69" s="2">
        <f t="shared" si="18"/>
        <v>-197</v>
      </c>
      <c r="I69" s="2">
        <f t="shared" si="18"/>
        <v>-150</v>
      </c>
      <c r="J69" s="2">
        <f t="shared" si="18"/>
        <v>-137</v>
      </c>
      <c r="K69" s="2">
        <f t="shared" si="18"/>
        <v>-104</v>
      </c>
      <c r="L69" s="2">
        <f t="shared" si="18"/>
        <v>-101</v>
      </c>
      <c r="M69" s="18">
        <f t="shared" si="18"/>
        <v>-103</v>
      </c>
      <c r="N69" s="18">
        <f t="shared" si="18"/>
        <v>-150</v>
      </c>
      <c r="O69" s="18">
        <f t="shared" si="18"/>
        <v>-115</v>
      </c>
      <c r="P69" s="18">
        <f t="shared" si="18"/>
        <v>-125</v>
      </c>
      <c r="Q69" s="158"/>
    </row>
    <row r="70" spans="1:17" x14ac:dyDescent="0.2">
      <c r="B70" s="16" t="s">
        <v>315</v>
      </c>
      <c r="C70" s="70">
        <f t="shared" ref="C70:J70" si="19">-0.22*C69</f>
        <v>177.98</v>
      </c>
      <c r="D70" s="70">
        <f t="shared" si="19"/>
        <v>71.5</v>
      </c>
      <c r="E70" s="70">
        <f t="shared" si="19"/>
        <v>51.92</v>
      </c>
      <c r="F70" s="70">
        <f t="shared" si="19"/>
        <v>49.72</v>
      </c>
      <c r="G70" s="70">
        <f t="shared" si="19"/>
        <v>60.72</v>
      </c>
      <c r="H70" s="70">
        <f t="shared" si="19"/>
        <v>43.34</v>
      </c>
      <c r="I70" s="70">
        <f t="shared" si="19"/>
        <v>33</v>
      </c>
      <c r="J70" s="70">
        <f t="shared" si="19"/>
        <v>30.14</v>
      </c>
      <c r="K70" s="70">
        <f>-0.235*K69</f>
        <v>24.439999999999998</v>
      </c>
      <c r="L70" s="70">
        <f>-0.245*L69</f>
        <v>24.745000000000001</v>
      </c>
      <c r="M70" s="70">
        <f>-0.25*M69</f>
        <v>25.75</v>
      </c>
      <c r="N70" s="70">
        <f>-0.25*N69</f>
        <v>37.5</v>
      </c>
      <c r="O70" s="70">
        <f>-0.25*O69</f>
        <v>28.75</v>
      </c>
      <c r="P70" s="70">
        <f>-0.25*P69</f>
        <v>31.25</v>
      </c>
      <c r="Q70" s="158"/>
    </row>
    <row r="71" spans="1:17" x14ac:dyDescent="0.2">
      <c r="B71" s="16" t="s">
        <v>182</v>
      </c>
      <c r="C71" s="26">
        <v>-757</v>
      </c>
      <c r="D71" s="26">
        <v>-192</v>
      </c>
      <c r="E71" s="26">
        <v>-183</v>
      </c>
      <c r="F71" s="70"/>
      <c r="G71" s="70"/>
      <c r="H71" s="70"/>
      <c r="I71" s="70"/>
      <c r="J71" s="70"/>
      <c r="K71" s="70"/>
      <c r="L71" s="70"/>
      <c r="M71" s="70"/>
      <c r="N71" s="70"/>
      <c r="O71" s="70"/>
      <c r="P71" s="70"/>
      <c r="Q71" s="158"/>
    </row>
    <row r="72" spans="1:17" x14ac:dyDescent="0.2">
      <c r="A72" s="2" t="s">
        <v>189</v>
      </c>
      <c r="B72" s="16" t="s">
        <v>181</v>
      </c>
      <c r="C72" s="16"/>
      <c r="D72" s="16"/>
      <c r="E72" s="16"/>
      <c r="F72" s="16"/>
      <c r="G72" s="16"/>
      <c r="H72" s="70"/>
      <c r="I72" s="70"/>
      <c r="J72" s="70">
        <v>0</v>
      </c>
      <c r="K72" s="70">
        <v>1</v>
      </c>
      <c r="L72" s="70">
        <v>1</v>
      </c>
      <c r="M72" s="70">
        <v>8</v>
      </c>
      <c r="N72" s="70">
        <v>21</v>
      </c>
      <c r="O72" s="70">
        <v>17</v>
      </c>
      <c r="P72" s="70"/>
      <c r="Q72" s="159"/>
    </row>
    <row r="73" spans="1:17" x14ac:dyDescent="0.2">
      <c r="B73" s="3" t="s">
        <v>316</v>
      </c>
      <c r="C73" s="79">
        <f t="shared" ref="C73:P73" si="20">SUM(C69:C72)</f>
        <v>-1388.02</v>
      </c>
      <c r="D73" s="72">
        <f t="shared" si="20"/>
        <v>-445.5</v>
      </c>
      <c r="E73" s="72">
        <f t="shared" si="20"/>
        <v>-367.08</v>
      </c>
      <c r="F73" s="72">
        <f t="shared" si="20"/>
        <v>-176.28</v>
      </c>
      <c r="G73" s="72">
        <f t="shared" si="20"/>
        <v>-215.28</v>
      </c>
      <c r="H73" s="72">
        <f t="shared" si="20"/>
        <v>-153.66</v>
      </c>
      <c r="I73" s="72">
        <f t="shared" si="20"/>
        <v>-117</v>
      </c>
      <c r="J73" s="72">
        <f t="shared" si="20"/>
        <v>-106.86</v>
      </c>
      <c r="K73" s="72">
        <f t="shared" si="20"/>
        <v>-78.56</v>
      </c>
      <c r="L73" s="72">
        <f t="shared" si="20"/>
        <v>-75.254999999999995</v>
      </c>
      <c r="M73" s="72">
        <f t="shared" si="20"/>
        <v>-69.25</v>
      </c>
      <c r="N73" s="72">
        <f t="shared" si="20"/>
        <v>-91.5</v>
      </c>
      <c r="O73" s="72">
        <f t="shared" si="20"/>
        <v>-69.25</v>
      </c>
      <c r="P73" s="72">
        <f t="shared" si="20"/>
        <v>-93.75</v>
      </c>
      <c r="Q73" s="148"/>
    </row>
    <row r="74" spans="1:17" x14ac:dyDescent="0.2">
      <c r="B74" s="3" t="s">
        <v>317</v>
      </c>
      <c r="C74" s="79">
        <f t="shared" ref="C74:P74" si="21">C65+C73</f>
        <v>1557.46</v>
      </c>
      <c r="D74" s="79">
        <f t="shared" si="21"/>
        <v>2352.6</v>
      </c>
      <c r="E74" s="79">
        <f t="shared" si="21"/>
        <v>2890.4400000000005</v>
      </c>
      <c r="F74" s="79">
        <f t="shared" si="21"/>
        <v>769.68000000000006</v>
      </c>
      <c r="G74" s="79">
        <f t="shared" si="21"/>
        <v>1536.14</v>
      </c>
      <c r="H74" s="71">
        <f t="shared" si="21"/>
        <v>1382.04</v>
      </c>
      <c r="I74" s="71">
        <f t="shared" si="21"/>
        <v>1501.96</v>
      </c>
      <c r="J74" s="71">
        <f t="shared" si="21"/>
        <v>1517.5400000000002</v>
      </c>
      <c r="K74" s="71">
        <f t="shared" si="21"/>
        <v>1536.74</v>
      </c>
      <c r="L74" s="71">
        <f t="shared" si="21"/>
        <v>1419.1799999999998</v>
      </c>
      <c r="M74" s="71">
        <f t="shared" si="21"/>
        <v>1096</v>
      </c>
      <c r="N74" s="71">
        <f t="shared" si="21"/>
        <v>1252</v>
      </c>
      <c r="O74" s="71">
        <f t="shared" si="21"/>
        <v>1161</v>
      </c>
      <c r="P74" s="71">
        <f t="shared" si="21"/>
        <v>1143</v>
      </c>
      <c r="Q74" s="158"/>
    </row>
    <row r="75" spans="1:17" x14ac:dyDescent="0.2">
      <c r="B75" s="2" t="s">
        <v>46</v>
      </c>
      <c r="C75" s="2">
        <v>-3</v>
      </c>
      <c r="D75" s="2">
        <v>-2</v>
      </c>
      <c r="E75" s="2">
        <v>-15</v>
      </c>
      <c r="F75" s="2">
        <v>-13</v>
      </c>
      <c r="G75" s="70">
        <v>-5</v>
      </c>
      <c r="H75" s="70">
        <v>-7</v>
      </c>
      <c r="I75" s="70">
        <v>-5</v>
      </c>
      <c r="J75" s="70">
        <v>-5</v>
      </c>
      <c r="K75" s="70">
        <v>-3</v>
      </c>
      <c r="L75" s="70">
        <v>-1</v>
      </c>
      <c r="M75" s="70">
        <v>-1</v>
      </c>
      <c r="N75" s="70">
        <v>2</v>
      </c>
      <c r="O75" s="70">
        <v>-4</v>
      </c>
      <c r="P75" s="70"/>
      <c r="Q75" s="148"/>
    </row>
    <row r="76" spans="1:17" x14ac:dyDescent="0.2">
      <c r="B76" s="3" t="s">
        <v>178</v>
      </c>
      <c r="C76" s="79">
        <f t="shared" ref="C76:P76" si="22">C74+C75</f>
        <v>1554.46</v>
      </c>
      <c r="D76" s="79">
        <f t="shared" si="22"/>
        <v>2350.6</v>
      </c>
      <c r="E76" s="79">
        <f t="shared" si="22"/>
        <v>2875.4400000000005</v>
      </c>
      <c r="F76" s="79">
        <f t="shared" si="22"/>
        <v>756.68000000000006</v>
      </c>
      <c r="G76" s="79">
        <f t="shared" si="22"/>
        <v>1531.14</v>
      </c>
      <c r="H76" s="71">
        <f t="shared" si="22"/>
        <v>1375.04</v>
      </c>
      <c r="I76" s="71">
        <f t="shared" si="22"/>
        <v>1496.96</v>
      </c>
      <c r="J76" s="71">
        <f t="shared" si="22"/>
        <v>1512.5400000000002</v>
      </c>
      <c r="K76" s="71">
        <f t="shared" si="22"/>
        <v>1533.74</v>
      </c>
      <c r="L76" s="71">
        <f t="shared" si="22"/>
        <v>1418.1799999999998</v>
      </c>
      <c r="M76" s="71">
        <f t="shared" si="22"/>
        <v>1095</v>
      </c>
      <c r="N76" s="71">
        <f t="shared" si="22"/>
        <v>1254</v>
      </c>
      <c r="O76" s="71">
        <f t="shared" si="22"/>
        <v>1157</v>
      </c>
      <c r="P76" s="71">
        <f t="shared" si="22"/>
        <v>1143</v>
      </c>
      <c r="Q76" s="158"/>
    </row>
    <row r="77" spans="1:17" x14ac:dyDescent="0.2">
      <c r="M77" s="70"/>
      <c r="N77" s="70"/>
      <c r="O77" s="70"/>
      <c r="P77" s="70"/>
      <c r="Q77" s="158"/>
    </row>
    <row r="78" spans="1:17" x14ac:dyDescent="0.2">
      <c r="M78" s="70"/>
      <c r="N78" s="70"/>
      <c r="O78" s="70"/>
      <c r="P78" s="70"/>
    </row>
    <row r="79" spans="1:17" ht="16" x14ac:dyDescent="0.2">
      <c r="B79" s="2" t="s">
        <v>176</v>
      </c>
      <c r="G79" s="11"/>
    </row>
    <row r="80" spans="1:17" x14ac:dyDescent="0.2">
      <c r="B80" s="2" t="s">
        <v>175</v>
      </c>
    </row>
    <row r="82" spans="2:16" ht="16" x14ac:dyDescent="0.2">
      <c r="B82" s="30" t="s">
        <v>174</v>
      </c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</row>
    <row r="83" spans="2:16" x14ac:dyDescent="0.2">
      <c r="B83" s="2" t="s">
        <v>173</v>
      </c>
    </row>
    <row r="86" spans="2:16" x14ac:dyDescent="0.2">
      <c r="C86" s="160"/>
      <c r="D86" s="160"/>
      <c r="E86" s="160"/>
      <c r="F86" s="160"/>
      <c r="G86" s="160"/>
      <c r="H86" s="160"/>
      <c r="I86" s="160"/>
      <c r="J86" s="160"/>
      <c r="K86" s="160"/>
      <c r="L86" s="160"/>
      <c r="M86" s="160"/>
      <c r="N86" s="160"/>
      <c r="O86" s="160"/>
      <c r="P86" s="160"/>
    </row>
    <row r="87" spans="2:16" x14ac:dyDescent="0.2">
      <c r="C87" s="161"/>
      <c r="D87" s="161"/>
      <c r="E87" s="161"/>
    </row>
  </sheetData>
  <dataValidations count="1">
    <dataValidation type="decimal" operator="greaterThanOrEqual" allowBlank="1" showInputMessage="1" showErrorMessage="1" sqref="N43:Q43 N68:P68 Q67 N79:P79 Q78" xr:uid="{00000000-0002-0000-0900-000000000000}">
      <formula1>-999999999999999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35788-CE2A-45F5-9C28-242468E44985}">
  <dimension ref="A1:S79"/>
  <sheetViews>
    <sheetView topLeftCell="A40" zoomScale="110" zoomScaleNormal="110" workbookViewId="0">
      <selection activeCell="D41" sqref="D41"/>
    </sheetView>
  </sheetViews>
  <sheetFormatPr baseColWidth="10" defaultColWidth="8.83203125" defaultRowHeight="15" x14ac:dyDescent="0.2"/>
  <cols>
    <col min="1" max="1" width="31" bestFit="1" customWidth="1"/>
    <col min="3" max="3" width="36.5" customWidth="1"/>
    <col min="4" max="4" width="12.33203125" bestFit="1" customWidth="1"/>
  </cols>
  <sheetData>
    <row r="1" spans="1:6" x14ac:dyDescent="0.2">
      <c r="A1" s="162" t="s">
        <v>318</v>
      </c>
      <c r="B1" s="163"/>
      <c r="E1" s="164"/>
    </row>
    <row r="3" spans="1:6" ht="19" x14ac:dyDescent="0.25">
      <c r="A3" s="165" t="s">
        <v>319</v>
      </c>
    </row>
    <row r="4" spans="1:6" ht="6.75" customHeight="1" x14ac:dyDescent="0.2">
      <c r="A4" s="41"/>
      <c r="B4" s="41"/>
      <c r="C4" s="41"/>
      <c r="D4" s="41"/>
    </row>
    <row r="5" spans="1:6" x14ac:dyDescent="0.2">
      <c r="A5" t="s">
        <v>320</v>
      </c>
      <c r="D5" s="166">
        <v>7.5999999999999998E-2</v>
      </c>
    </row>
    <row r="6" spans="1:6" x14ac:dyDescent="0.2">
      <c r="A6" t="s">
        <v>321</v>
      </c>
      <c r="B6" s="167">
        <v>2023</v>
      </c>
      <c r="C6" s="167"/>
      <c r="D6" s="168">
        <f>'WD6 - Reform. Resultatopgørelse'!C49</f>
        <v>3176.9</v>
      </c>
    </row>
    <row r="7" spans="1:6" x14ac:dyDescent="0.2">
      <c r="A7" t="s">
        <v>322</v>
      </c>
      <c r="B7">
        <v>2022</v>
      </c>
      <c r="D7" s="21">
        <f>[1]BalancerReformuleret!C42</f>
        <v>21719</v>
      </c>
      <c r="F7" s="60"/>
    </row>
    <row r="8" spans="1:6" x14ac:dyDescent="0.2">
      <c r="A8" t="s">
        <v>322</v>
      </c>
      <c r="B8">
        <v>2023</v>
      </c>
      <c r="D8" s="21">
        <f>[1]BalancerReformuleret!B42</f>
        <v>22460</v>
      </c>
      <c r="E8" s="169">
        <f>D8-D7</f>
        <v>741</v>
      </c>
      <c r="F8" s="60"/>
    </row>
    <row r="9" spans="1:6" ht="17" x14ac:dyDescent="0.25">
      <c r="A9" t="s">
        <v>323</v>
      </c>
      <c r="B9">
        <v>2023</v>
      </c>
      <c r="C9" t="s">
        <v>324</v>
      </c>
      <c r="D9" s="21">
        <f>D6-(D5*D7)</f>
        <v>1526.2560000000001</v>
      </c>
      <c r="F9" s="60"/>
    </row>
    <row r="10" spans="1:6" x14ac:dyDescent="0.2">
      <c r="A10" s="170" t="s">
        <v>325</v>
      </c>
      <c r="B10" s="170">
        <v>2024</v>
      </c>
      <c r="C10" t="s">
        <v>326</v>
      </c>
      <c r="D10" s="60">
        <f>D6+(D5*(D8-D7))</f>
        <v>3233.2159999999999</v>
      </c>
    </row>
    <row r="11" spans="1:6" ht="17" x14ac:dyDescent="0.25">
      <c r="A11" s="170" t="s">
        <v>327</v>
      </c>
      <c r="B11" s="170">
        <v>2024</v>
      </c>
      <c r="C11" t="s">
        <v>328</v>
      </c>
      <c r="D11" s="60">
        <f>D10-(D5*D8)</f>
        <v>1526.2559999999999</v>
      </c>
    </row>
    <row r="12" spans="1:6" x14ac:dyDescent="0.2">
      <c r="A12" s="41"/>
      <c r="B12" s="41"/>
      <c r="C12" s="41"/>
      <c r="D12" s="41"/>
    </row>
    <row r="14" spans="1:6" x14ac:dyDescent="0.2">
      <c r="A14" s="19" t="s">
        <v>329</v>
      </c>
    </row>
    <row r="15" spans="1:6" ht="15" customHeight="1" x14ac:dyDescent="0.2"/>
    <row r="16" spans="1:6" ht="18" x14ac:dyDescent="0.25">
      <c r="A16" t="s">
        <v>330</v>
      </c>
      <c r="D16" s="21">
        <f>'WD5 - Rentabilitetsanalyse'!C13+('WD7 - Forecast'!D11/'WD7 - Forecast'!D5)</f>
        <v>29336.215789473681</v>
      </c>
    </row>
    <row r="18" spans="1:5" x14ac:dyDescent="0.2">
      <c r="A18" s="167" t="s">
        <v>331</v>
      </c>
      <c r="B18" s="171"/>
      <c r="D18" s="172">
        <f>D16/220.5</f>
        <v>133.04406253729562</v>
      </c>
    </row>
    <row r="21" spans="1:5" x14ac:dyDescent="0.2">
      <c r="A21" s="19" t="s">
        <v>332</v>
      </c>
    </row>
    <row r="23" spans="1:5" ht="18" x14ac:dyDescent="0.25">
      <c r="A23" t="s">
        <v>333</v>
      </c>
      <c r="D23" s="60">
        <f>D16+'WD5 - Rentabilitetsanalyse'!C29+'WD5 - Rentabilitetsanalyse'!C28</f>
        <v>42540.215789473681</v>
      </c>
    </row>
    <row r="24" spans="1:5" x14ac:dyDescent="0.2">
      <c r="D24" s="60"/>
    </row>
    <row r="26" spans="1:5" ht="18" x14ac:dyDescent="0.25">
      <c r="A26" t="s">
        <v>334</v>
      </c>
      <c r="D26" s="60">
        <f>'WD5 - Rentabilitetsanalyse'!C25+('WD7 - Forecast'!D11/'WD7 - Forecast'!D5)</f>
        <v>42542.31578947368</v>
      </c>
      <c r="E26" s="60"/>
    </row>
    <row r="29" spans="1:5" x14ac:dyDescent="0.2">
      <c r="A29" s="62" t="s">
        <v>335</v>
      </c>
    </row>
    <row r="31" spans="1:5" ht="18" x14ac:dyDescent="0.25">
      <c r="A31" t="s">
        <v>336</v>
      </c>
      <c r="D31" s="60">
        <f>D10/D5</f>
        <v>42542.315789473687</v>
      </c>
      <c r="E31" s="60"/>
    </row>
    <row r="35" spans="1:19" ht="5.25" customHeight="1" thickBot="1" x14ac:dyDescent="0.25">
      <c r="A35" s="173"/>
      <c r="B35" s="173"/>
      <c r="C35" s="173"/>
      <c r="D35" s="173"/>
      <c r="S35" t="s">
        <v>310</v>
      </c>
    </row>
    <row r="38" spans="1:19" ht="19" x14ac:dyDescent="0.25">
      <c r="A38" s="165" t="s">
        <v>337</v>
      </c>
    </row>
    <row r="39" spans="1:19" ht="6.75" customHeight="1" x14ac:dyDescent="0.2">
      <c r="A39" s="41"/>
      <c r="B39" s="41"/>
      <c r="C39" s="41"/>
      <c r="D39" s="41"/>
    </row>
    <row r="40" spans="1:19" x14ac:dyDescent="0.2">
      <c r="A40" t="s">
        <v>320</v>
      </c>
      <c r="D40" s="174">
        <v>7.5999999999999998E-2</v>
      </c>
    </row>
    <row r="41" spans="1:19" ht="17" x14ac:dyDescent="0.25">
      <c r="A41" t="s">
        <v>292</v>
      </c>
      <c r="B41">
        <v>2023</v>
      </c>
      <c r="C41" t="s">
        <v>338</v>
      </c>
      <c r="D41" s="120">
        <f>'WD6 - Reform. Resultatopgørelse'!C49/'WD5 - Rentabilitetsanalyse'!D25</f>
        <v>0.14627284865785717</v>
      </c>
    </row>
    <row r="42" spans="1:19" x14ac:dyDescent="0.2">
      <c r="A42" t="s">
        <v>339</v>
      </c>
      <c r="D42" s="120">
        <v>0.03</v>
      </c>
    </row>
    <row r="43" spans="1:19" x14ac:dyDescent="0.2">
      <c r="A43" t="s">
        <v>322</v>
      </c>
      <c r="B43">
        <v>2023</v>
      </c>
      <c r="D43" s="21">
        <f>D8</f>
        <v>22460</v>
      </c>
    </row>
    <row r="44" spans="1:19" x14ac:dyDescent="0.2">
      <c r="A44" s="170" t="s">
        <v>340</v>
      </c>
      <c r="B44" s="170">
        <v>2024</v>
      </c>
      <c r="C44" t="s">
        <v>341</v>
      </c>
      <c r="D44" s="175">
        <f>D43*D41</f>
        <v>3285.2881808554721</v>
      </c>
    </row>
    <row r="45" spans="1:19" x14ac:dyDescent="0.2">
      <c r="A45" s="170" t="s">
        <v>342</v>
      </c>
      <c r="B45" s="170">
        <v>2024</v>
      </c>
      <c r="C45" t="s">
        <v>343</v>
      </c>
      <c r="D45" s="175">
        <f>(D41-D40)*D43</f>
        <v>1578.3281808554721</v>
      </c>
    </row>
    <row r="46" spans="1:19" x14ac:dyDescent="0.2">
      <c r="A46" s="41"/>
      <c r="B46" s="41"/>
      <c r="C46" s="41"/>
      <c r="D46" s="41"/>
    </row>
    <row r="48" spans="1:19" x14ac:dyDescent="0.2">
      <c r="A48" s="19" t="s">
        <v>329</v>
      </c>
    </row>
    <row r="50" spans="1:4" ht="18" x14ac:dyDescent="0.25">
      <c r="A50" t="s">
        <v>344</v>
      </c>
      <c r="D50" s="60">
        <f>'WD5 - Rentabilitetsanalyse'!C27+('WD7 - Forecast'!D45/('WD7 - Forecast'!D40-'WD7 - Forecast'!D42))</f>
        <v>43565.382192510267</v>
      </c>
    </row>
    <row r="52" spans="1:4" x14ac:dyDescent="0.2">
      <c r="A52" s="167" t="s">
        <v>331</v>
      </c>
      <c r="D52" s="172">
        <f>D50/220.5</f>
        <v>197.57542944449102</v>
      </c>
    </row>
    <row r="55" spans="1:4" x14ac:dyDescent="0.2">
      <c r="A55" s="19" t="s">
        <v>332</v>
      </c>
    </row>
    <row r="57" spans="1:4" ht="18" x14ac:dyDescent="0.25">
      <c r="A57" t="s">
        <v>345</v>
      </c>
      <c r="D57" s="60">
        <f>D50+'WD5 - Rentabilitetsanalyse'!C29+'WD5 - Rentabilitetsanalyse'!C28</f>
        <v>56769.382192510267</v>
      </c>
    </row>
    <row r="58" spans="1:4" x14ac:dyDescent="0.2">
      <c r="D58" s="60"/>
    </row>
    <row r="59" spans="1:4" x14ac:dyDescent="0.2">
      <c r="D59" s="60"/>
    </row>
    <row r="60" spans="1:4" ht="18" x14ac:dyDescent="0.25">
      <c r="A60" t="s">
        <v>346</v>
      </c>
      <c r="D60" s="60"/>
    </row>
    <row r="61" spans="1:4" x14ac:dyDescent="0.2">
      <c r="D61" s="60"/>
    </row>
    <row r="62" spans="1:4" x14ac:dyDescent="0.2">
      <c r="A62" s="176" t="s">
        <v>347</v>
      </c>
      <c r="D62" s="60">
        <f>D43+(((D41-D40)*D43)/(D40-D42))</f>
        <v>56771.482192510266</v>
      </c>
    </row>
    <row r="63" spans="1:4" x14ac:dyDescent="0.2">
      <c r="D63" s="60"/>
    </row>
    <row r="64" spans="1:4" x14ac:dyDescent="0.2">
      <c r="D64" s="60"/>
    </row>
    <row r="65" spans="1:4" ht="18" x14ac:dyDescent="0.25">
      <c r="A65" t="s">
        <v>348</v>
      </c>
      <c r="D65" s="60"/>
    </row>
    <row r="67" spans="1:4" ht="18" x14ac:dyDescent="0.25">
      <c r="A67" t="s">
        <v>349</v>
      </c>
      <c r="D67" s="60">
        <f>D43*((D41-D42)/(D40-D42))</f>
        <v>56771.482192510266</v>
      </c>
    </row>
    <row r="70" spans="1:4" x14ac:dyDescent="0.2">
      <c r="D70" s="60"/>
    </row>
    <row r="71" spans="1:4" x14ac:dyDescent="0.2">
      <c r="C71" t="s">
        <v>350</v>
      </c>
      <c r="D71" s="129">
        <f>(D41-D42)/(D40-D42)</f>
        <v>2.527670622996895</v>
      </c>
    </row>
    <row r="75" spans="1:4" x14ac:dyDescent="0.2">
      <c r="D75" s="60"/>
    </row>
    <row r="79" spans="1:4" x14ac:dyDescent="0.2">
      <c r="D79" s="177">
        <f>D75/D43</f>
        <v>0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89F28-A6F4-4C93-B69E-D53CAA9EA300}">
  <dimension ref="A26:R116"/>
  <sheetViews>
    <sheetView topLeftCell="B19" zoomScale="89" zoomScaleNormal="89" workbookViewId="0">
      <selection activeCell="I48" sqref="I48"/>
    </sheetView>
  </sheetViews>
  <sheetFormatPr baseColWidth="10" defaultColWidth="8.83203125" defaultRowHeight="15" x14ac:dyDescent="0.2"/>
  <cols>
    <col min="3" max="3" width="39.5" customWidth="1"/>
    <col min="4" max="4" width="11" customWidth="1"/>
    <col min="5" max="5" width="10.5" customWidth="1"/>
    <col min="6" max="10" width="11.5" bestFit="1" customWidth="1"/>
    <col min="11" max="13" width="10.5" customWidth="1"/>
    <col min="14" max="14" width="12.5" bestFit="1" customWidth="1"/>
    <col min="15" max="15" width="12" bestFit="1" customWidth="1"/>
    <col min="16" max="17" width="8.6640625" customWidth="1"/>
  </cols>
  <sheetData>
    <row r="26" spans="3:15" ht="16" thickBot="1" x14ac:dyDescent="0.25"/>
    <row r="27" spans="3:15" ht="17" thickBot="1" x14ac:dyDescent="0.25">
      <c r="C27" s="178"/>
      <c r="D27" s="178"/>
      <c r="E27" s="230" t="s">
        <v>351</v>
      </c>
      <c r="F27" s="231"/>
      <c r="G27" s="231"/>
      <c r="H27" s="231"/>
      <c r="I27" s="231"/>
      <c r="J27" s="231"/>
      <c r="K27" s="231"/>
      <c r="L27" s="231"/>
      <c r="M27" s="231"/>
      <c r="N27" s="231"/>
      <c r="O27" s="179" t="s">
        <v>352</v>
      </c>
    </row>
    <row r="28" spans="3:15" ht="16" x14ac:dyDescent="0.2">
      <c r="C28" s="1" t="s">
        <v>353</v>
      </c>
      <c r="D28" s="180" t="s">
        <v>354</v>
      </c>
      <c r="E28" s="181" t="s">
        <v>355</v>
      </c>
      <c r="F28" s="181" t="s">
        <v>356</v>
      </c>
      <c r="G28" s="181" t="s">
        <v>357</v>
      </c>
      <c r="H28" s="181" t="s">
        <v>358</v>
      </c>
      <c r="I28" s="181" t="s">
        <v>359</v>
      </c>
      <c r="J28" s="181" t="s">
        <v>360</v>
      </c>
      <c r="K28" s="181" t="s">
        <v>361</v>
      </c>
      <c r="L28" s="181" t="s">
        <v>362</v>
      </c>
      <c r="M28" s="181" t="s">
        <v>363</v>
      </c>
      <c r="N28" s="181" t="s">
        <v>364</v>
      </c>
      <c r="O28" s="182" t="s">
        <v>365</v>
      </c>
    </row>
    <row r="29" spans="3:15" ht="16" x14ac:dyDescent="0.2">
      <c r="C29" s="178" t="s">
        <v>366</v>
      </c>
      <c r="D29" s="183"/>
      <c r="E29" s="184">
        <v>8.2000000000000003E-2</v>
      </c>
      <c r="F29" s="184">
        <v>7.4999999999999997E-2</v>
      </c>
      <c r="G29" s="184">
        <v>7.0999999999999994E-2</v>
      </c>
      <c r="H29" s="184">
        <v>7.0999999999999994E-2</v>
      </c>
      <c r="I29" s="184">
        <v>6.9000000000000006E-2</v>
      </c>
      <c r="J29" s="184">
        <v>6.8000000000000005E-2</v>
      </c>
      <c r="K29" s="184">
        <v>6.6000000000000003E-2</v>
      </c>
      <c r="L29" s="184">
        <v>0.06</v>
      </c>
      <c r="M29" s="184">
        <v>0.04</v>
      </c>
      <c r="N29" s="184">
        <v>0.03</v>
      </c>
      <c r="O29" s="185">
        <v>0.03</v>
      </c>
    </row>
    <row r="30" spans="3:15" ht="16" x14ac:dyDescent="0.2">
      <c r="C30" s="178" t="s">
        <v>367</v>
      </c>
      <c r="D30" s="186"/>
      <c r="E30" s="187" t="s">
        <v>368</v>
      </c>
      <c r="F30" s="188">
        <v>0.86</v>
      </c>
      <c r="G30" s="188">
        <v>0.87</v>
      </c>
      <c r="H30" s="188">
        <v>0.87</v>
      </c>
      <c r="I30" s="188">
        <v>0.88</v>
      </c>
      <c r="J30" s="188">
        <v>0.89</v>
      </c>
      <c r="K30" s="188">
        <v>0.9</v>
      </c>
      <c r="L30" s="188">
        <v>0.9</v>
      </c>
      <c r="M30" s="188">
        <v>0.9</v>
      </c>
      <c r="N30" s="188">
        <v>0.9</v>
      </c>
      <c r="O30" s="189">
        <v>0.9</v>
      </c>
    </row>
    <row r="31" spans="3:15" ht="18" x14ac:dyDescent="0.25">
      <c r="C31" s="178" t="s">
        <v>369</v>
      </c>
      <c r="D31" s="183"/>
      <c r="E31" s="184">
        <v>0.182</v>
      </c>
      <c r="F31" s="184">
        <v>0.186</v>
      </c>
      <c r="G31" s="184">
        <v>0.184</v>
      </c>
      <c r="H31" s="184">
        <v>0.189</v>
      </c>
      <c r="I31" s="184">
        <v>0.192</v>
      </c>
      <c r="J31" s="184">
        <v>0.19600000000000001</v>
      </c>
      <c r="K31" s="184">
        <v>0.19900000000000001</v>
      </c>
      <c r="L31" s="184">
        <v>0.20200000000000001</v>
      </c>
      <c r="M31" s="184">
        <v>0.20499999999999999</v>
      </c>
      <c r="N31" s="184">
        <v>0.20499999999999999</v>
      </c>
      <c r="O31" s="185">
        <v>0.20499999999999999</v>
      </c>
    </row>
    <row r="32" spans="3:15" ht="16" x14ac:dyDescent="0.2">
      <c r="C32" s="178" t="s">
        <v>370</v>
      </c>
      <c r="D32" s="183"/>
      <c r="E32" s="184">
        <v>0.245</v>
      </c>
      <c r="F32" s="184">
        <v>0.21099999999999999</v>
      </c>
      <c r="G32" s="184">
        <v>0.21199999999999999</v>
      </c>
      <c r="H32" s="184">
        <v>0.21299999999999999</v>
      </c>
      <c r="I32" s="184">
        <v>0.21299999999999999</v>
      </c>
      <c r="J32" s="184">
        <v>0.21299999999999999</v>
      </c>
      <c r="K32" s="184">
        <v>0.214</v>
      </c>
      <c r="L32" s="184">
        <v>0.214</v>
      </c>
      <c r="M32" s="184">
        <v>0.214</v>
      </c>
      <c r="N32" s="184">
        <v>0.214</v>
      </c>
      <c r="O32" s="185">
        <v>0.214</v>
      </c>
    </row>
    <row r="33" spans="1:17" ht="16" x14ac:dyDescent="0.2">
      <c r="C33" s="178" t="s">
        <v>371</v>
      </c>
      <c r="D33" s="183"/>
      <c r="E33" s="190">
        <v>8.0000000000000002E-3</v>
      </c>
      <c r="F33" s="190">
        <v>8.0000000000000002E-3</v>
      </c>
      <c r="G33" s="190">
        <v>8.0000000000000002E-3</v>
      </c>
      <c r="H33" s="190">
        <v>8.0000000000000002E-3</v>
      </c>
      <c r="I33" s="190">
        <v>8.0000000000000002E-3</v>
      </c>
      <c r="J33" s="190">
        <v>8.0000000000000002E-3</v>
      </c>
      <c r="K33" s="190">
        <v>8.0000000000000002E-3</v>
      </c>
      <c r="L33" s="190">
        <v>8.0000000000000002E-3</v>
      </c>
      <c r="M33" s="190">
        <v>8.0000000000000002E-3</v>
      </c>
      <c r="N33" s="190">
        <v>8.0000000000000002E-3</v>
      </c>
      <c r="O33" s="185">
        <v>8.0000000000000002E-3</v>
      </c>
    </row>
    <row r="34" spans="1:17" ht="16" x14ac:dyDescent="0.2">
      <c r="C34" t="s">
        <v>372</v>
      </c>
      <c r="D34" s="191"/>
      <c r="E34" s="187" t="s">
        <v>368</v>
      </c>
      <c r="F34" s="188">
        <f t="shared" ref="F34:N34" si="0">F56/F53</f>
        <v>0.2263258234634006</v>
      </c>
      <c r="G34" s="188">
        <f t="shared" si="0"/>
        <v>0.20971522735648146</v>
      </c>
      <c r="H34" s="188">
        <f t="shared" si="0"/>
        <v>0.19684898859728847</v>
      </c>
      <c r="I34" s="188">
        <f t="shared" si="0"/>
        <v>0.19365949785135728</v>
      </c>
      <c r="J34" s="188">
        <f t="shared" si="0"/>
        <v>0.19040089600944432</v>
      </c>
      <c r="K34" s="188">
        <f t="shared" si="0"/>
        <v>0.18723836891027176</v>
      </c>
      <c r="L34" s="188">
        <f t="shared" si="0"/>
        <v>0.1863622162467625</v>
      </c>
      <c r="M34" s="188">
        <f t="shared" si="0"/>
        <v>0.18635779100981362</v>
      </c>
      <c r="N34" s="188">
        <f t="shared" si="0"/>
        <v>0.18635403170658033</v>
      </c>
      <c r="O34" s="189">
        <v>0.22900000000000001</v>
      </c>
    </row>
    <row r="35" spans="1:17" ht="17" thickBot="1" x14ac:dyDescent="0.25">
      <c r="C35" t="s">
        <v>373</v>
      </c>
      <c r="D35" s="192"/>
      <c r="E35" s="190">
        <v>2.4E-2</v>
      </c>
      <c r="F35" s="190">
        <v>2.4E-2</v>
      </c>
      <c r="G35" s="190">
        <v>2.4E-2</v>
      </c>
      <c r="H35" s="190">
        <v>2.4E-2</v>
      </c>
      <c r="I35" s="190">
        <v>2.4E-2</v>
      </c>
      <c r="J35" s="190">
        <v>2.4E-2</v>
      </c>
      <c r="K35" s="190">
        <v>2.4E-2</v>
      </c>
      <c r="L35" s="190">
        <v>2.4E-2</v>
      </c>
      <c r="M35" s="190">
        <v>2.4E-2</v>
      </c>
      <c r="N35" s="190">
        <v>2.4E-2</v>
      </c>
      <c r="O35" s="193">
        <v>2.4E-2</v>
      </c>
    </row>
    <row r="38" spans="1:17" ht="16" x14ac:dyDescent="0.2">
      <c r="E38" s="178"/>
      <c r="F38" s="178"/>
      <c r="G38" s="178"/>
      <c r="H38" s="178"/>
      <c r="I38" s="178"/>
      <c r="J38" s="178"/>
      <c r="K38" s="178"/>
      <c r="L38" s="178"/>
      <c r="M38" s="178"/>
      <c r="N38" s="178"/>
      <c r="O38" s="1" t="s">
        <v>352</v>
      </c>
    </row>
    <row r="39" spans="1:17" ht="16" x14ac:dyDescent="0.2">
      <c r="D39" s="180" t="s">
        <v>354</v>
      </c>
      <c r="E39" s="181" t="s">
        <v>355</v>
      </c>
      <c r="F39" s="181" t="s">
        <v>356</v>
      </c>
      <c r="G39" s="181" t="s">
        <v>357</v>
      </c>
      <c r="H39" s="181" t="s">
        <v>358</v>
      </c>
      <c r="I39" s="181" t="s">
        <v>359</v>
      </c>
      <c r="J39" s="181" t="s">
        <v>360</v>
      </c>
      <c r="K39" s="181" t="s">
        <v>361</v>
      </c>
      <c r="L39" s="181" t="s">
        <v>362</v>
      </c>
      <c r="M39" s="181" t="s">
        <v>363</v>
      </c>
      <c r="N39" s="181" t="s">
        <v>364</v>
      </c>
      <c r="O39" s="182" t="s">
        <v>365</v>
      </c>
    </row>
    <row r="40" spans="1:17" ht="19" x14ac:dyDescent="0.25">
      <c r="C40" s="194" t="s">
        <v>374</v>
      </c>
    </row>
    <row r="41" spans="1:17" x14ac:dyDescent="0.2">
      <c r="A41" t="s">
        <v>177</v>
      </c>
      <c r="C41" t="s">
        <v>38</v>
      </c>
      <c r="D41" s="195">
        <f>'WD3 - Reform. Totalindkomst'!C4</f>
        <v>22443</v>
      </c>
      <c r="E41" s="21">
        <f t="shared" ref="E41:O41" si="1">D41*(1+E29)</f>
        <v>24283.326000000001</v>
      </c>
      <c r="F41" s="21">
        <f t="shared" si="1"/>
        <v>26104.57545</v>
      </c>
      <c r="G41" s="21">
        <f t="shared" si="1"/>
        <v>27958.000306949998</v>
      </c>
      <c r="H41" s="21">
        <f t="shared" si="1"/>
        <v>29943.018328743448</v>
      </c>
      <c r="I41" s="21">
        <f t="shared" si="1"/>
        <v>32009.086593426746</v>
      </c>
      <c r="J41" s="21">
        <f t="shared" si="1"/>
        <v>34185.704481779765</v>
      </c>
      <c r="K41" s="21">
        <f t="shared" si="1"/>
        <v>36441.960977577233</v>
      </c>
      <c r="L41" s="21">
        <f t="shared" si="1"/>
        <v>38628.47863623187</v>
      </c>
      <c r="M41" s="21">
        <f t="shared" si="1"/>
        <v>40173.617781681147</v>
      </c>
      <c r="N41" s="21">
        <f t="shared" si="1"/>
        <v>41378.826315131584</v>
      </c>
      <c r="O41" s="21">
        <f t="shared" si="1"/>
        <v>42620.19110458553</v>
      </c>
      <c r="P41" s="21"/>
    </row>
    <row r="42" spans="1:17" x14ac:dyDescent="0.2">
      <c r="A42" t="s">
        <v>177</v>
      </c>
      <c r="C42" t="s">
        <v>375</v>
      </c>
      <c r="D42" s="34"/>
      <c r="E42" s="21">
        <f t="shared" ref="E42:O42" si="2">E41*E31</f>
        <v>4419.5653320000001</v>
      </c>
      <c r="F42" s="21">
        <f t="shared" si="2"/>
        <v>4855.4510337000002</v>
      </c>
      <c r="G42" s="21">
        <f t="shared" si="2"/>
        <v>5144.2720564787996</v>
      </c>
      <c r="H42" s="21">
        <f t="shared" si="2"/>
        <v>5659.2304641325118</v>
      </c>
      <c r="I42" s="21">
        <f t="shared" si="2"/>
        <v>6145.7446259379358</v>
      </c>
      <c r="J42" s="21">
        <f t="shared" si="2"/>
        <v>6700.3980784288342</v>
      </c>
      <c r="K42" s="21">
        <f t="shared" si="2"/>
        <v>7251.9502345378696</v>
      </c>
      <c r="L42" s="21">
        <f t="shared" si="2"/>
        <v>7802.9526845188384</v>
      </c>
      <c r="M42" s="21">
        <f t="shared" si="2"/>
        <v>8235.5916452446345</v>
      </c>
      <c r="N42" s="21">
        <f t="shared" si="2"/>
        <v>8482.6593946019748</v>
      </c>
      <c r="O42" s="21">
        <f t="shared" si="2"/>
        <v>8737.1391764400323</v>
      </c>
    </row>
    <row r="43" spans="1:17" x14ac:dyDescent="0.2">
      <c r="C43" t="s">
        <v>376</v>
      </c>
      <c r="D43" s="34"/>
      <c r="E43" s="21">
        <f t="shared" ref="E43:O43" si="3">-E32*E42</f>
        <v>-1082.79350634</v>
      </c>
      <c r="F43" s="21">
        <f t="shared" si="3"/>
        <v>-1024.5001681107001</v>
      </c>
      <c r="G43" s="21">
        <f t="shared" si="3"/>
        <v>-1090.5856759735054</v>
      </c>
      <c r="H43" s="21">
        <f t="shared" si="3"/>
        <v>-1205.416088860225</v>
      </c>
      <c r="I43" s="21">
        <f t="shared" si="3"/>
        <v>-1309.0436053247804</v>
      </c>
      <c r="J43" s="21">
        <f t="shared" si="3"/>
        <v>-1427.1847907053416</v>
      </c>
      <c r="K43" s="21">
        <f t="shared" si="3"/>
        <v>-1551.9173501911041</v>
      </c>
      <c r="L43" s="21">
        <f t="shared" si="3"/>
        <v>-1669.8318744870314</v>
      </c>
      <c r="M43" s="21">
        <f t="shared" si="3"/>
        <v>-1762.4166120823518</v>
      </c>
      <c r="N43" s="21">
        <f t="shared" si="3"/>
        <v>-1815.2891104448227</v>
      </c>
      <c r="O43" s="21">
        <f t="shared" si="3"/>
        <v>-1869.7477837581669</v>
      </c>
    </row>
    <row r="44" spans="1:17" x14ac:dyDescent="0.2">
      <c r="C44" t="s">
        <v>377</v>
      </c>
      <c r="D44" s="34"/>
      <c r="E44" s="21">
        <f t="shared" ref="E44:O44" si="4">E42+E43</f>
        <v>3336.7718256600001</v>
      </c>
      <c r="F44" s="21">
        <f t="shared" si="4"/>
        <v>3830.9508655893001</v>
      </c>
      <c r="G44" s="21">
        <f t="shared" si="4"/>
        <v>4053.6863805052944</v>
      </c>
      <c r="H44" s="21">
        <f t="shared" si="4"/>
        <v>4453.8143752722863</v>
      </c>
      <c r="I44" s="21">
        <f t="shared" si="4"/>
        <v>4836.7010206131554</v>
      </c>
      <c r="J44" s="21">
        <f t="shared" si="4"/>
        <v>5273.2132877234926</v>
      </c>
      <c r="K44" s="21">
        <f t="shared" si="4"/>
        <v>5700.0328843467651</v>
      </c>
      <c r="L44" s="21">
        <f t="shared" si="4"/>
        <v>6133.1208100318072</v>
      </c>
      <c r="M44" s="21">
        <f t="shared" si="4"/>
        <v>6473.1750331622825</v>
      </c>
      <c r="N44" s="21">
        <f t="shared" si="4"/>
        <v>6667.3702841571521</v>
      </c>
      <c r="O44" s="21">
        <f t="shared" si="4"/>
        <v>6867.3913926818659</v>
      </c>
      <c r="P44" s="21"/>
      <c r="Q44" s="21"/>
    </row>
    <row r="45" spans="1:17" x14ac:dyDescent="0.2">
      <c r="C45" t="s">
        <v>378</v>
      </c>
      <c r="D45" s="34"/>
      <c r="E45" s="21">
        <f t="shared" ref="E45:O45" si="5">E33*E41</f>
        <v>194.26660800000002</v>
      </c>
      <c r="F45" s="21">
        <f t="shared" si="5"/>
        <v>208.83660360000002</v>
      </c>
      <c r="G45" s="21">
        <f t="shared" si="5"/>
        <v>223.66400245559998</v>
      </c>
      <c r="H45" s="21">
        <f t="shared" si="5"/>
        <v>239.54414662994759</v>
      </c>
      <c r="I45" s="21">
        <f t="shared" si="5"/>
        <v>256.07269274741395</v>
      </c>
      <c r="J45" s="21">
        <f t="shared" si="5"/>
        <v>273.48563585423813</v>
      </c>
      <c r="K45" s="21">
        <f t="shared" si="5"/>
        <v>291.53568782061785</v>
      </c>
      <c r="L45" s="21">
        <f t="shared" si="5"/>
        <v>309.02782908985495</v>
      </c>
      <c r="M45" s="21">
        <f t="shared" si="5"/>
        <v>321.38894225344916</v>
      </c>
      <c r="N45" s="21">
        <f t="shared" si="5"/>
        <v>331.03061052105267</v>
      </c>
      <c r="O45" s="21">
        <f t="shared" si="5"/>
        <v>340.96152883668424</v>
      </c>
    </row>
    <row r="46" spans="1:17" x14ac:dyDescent="0.2">
      <c r="C46" t="s">
        <v>379</v>
      </c>
      <c r="D46" s="34"/>
      <c r="E46" s="34">
        <v>48</v>
      </c>
      <c r="F46" s="21"/>
      <c r="G46" s="21"/>
      <c r="H46" s="21"/>
      <c r="I46" s="21"/>
      <c r="J46" s="21"/>
      <c r="K46" s="21"/>
      <c r="L46" s="21"/>
      <c r="M46" s="21"/>
      <c r="N46" s="21"/>
      <c r="O46" s="21"/>
    </row>
    <row r="47" spans="1:17" x14ac:dyDescent="0.2">
      <c r="C47" s="61" t="s">
        <v>380</v>
      </c>
      <c r="D47" s="196"/>
      <c r="E47" s="196">
        <f t="shared" ref="E47:O47" si="6">SUM(E44:E46)</f>
        <v>3579.03843366</v>
      </c>
      <c r="F47" s="197">
        <f t="shared" si="6"/>
        <v>4039.7874691893003</v>
      </c>
      <c r="G47" s="197">
        <f t="shared" si="6"/>
        <v>4277.3503829608944</v>
      </c>
      <c r="H47" s="197">
        <f t="shared" si="6"/>
        <v>4693.3585219022334</v>
      </c>
      <c r="I47" s="197">
        <f t="shared" si="6"/>
        <v>5092.7737133605697</v>
      </c>
      <c r="J47" s="197">
        <f t="shared" si="6"/>
        <v>5546.698923577731</v>
      </c>
      <c r="K47" s="197">
        <f t="shared" si="6"/>
        <v>5991.5685721673826</v>
      </c>
      <c r="L47" s="197">
        <f t="shared" si="6"/>
        <v>6442.1486391216622</v>
      </c>
      <c r="M47" s="197">
        <f t="shared" si="6"/>
        <v>6794.5639754157319</v>
      </c>
      <c r="N47" s="197">
        <f t="shared" si="6"/>
        <v>6998.4008946782051</v>
      </c>
      <c r="O47" s="197">
        <f t="shared" si="6"/>
        <v>7208.3529215185499</v>
      </c>
      <c r="P47" s="37"/>
    </row>
    <row r="48" spans="1:17" x14ac:dyDescent="0.2">
      <c r="C48" t="s">
        <v>381</v>
      </c>
      <c r="D48" s="34"/>
      <c r="E48" s="21">
        <f t="shared" ref="E48:O48" si="7">-E35*E56</f>
        <v>-314.928</v>
      </c>
      <c r="F48" s="21">
        <f t="shared" si="7"/>
        <v>-121.944</v>
      </c>
      <c r="G48" s="21">
        <f t="shared" si="7"/>
        <v>-122.42400000000001</v>
      </c>
      <c r="H48" s="21">
        <f t="shared" si="7"/>
        <v>-123.072</v>
      </c>
      <c r="I48" s="21">
        <f t="shared" si="7"/>
        <v>-130.92000000000002</v>
      </c>
      <c r="J48" s="21">
        <f t="shared" si="7"/>
        <v>-139.03200000000001</v>
      </c>
      <c r="K48" s="21">
        <f t="shared" si="7"/>
        <v>-147.38400000000001</v>
      </c>
      <c r="L48" s="21">
        <f t="shared" si="7"/>
        <v>-155.49600000000001</v>
      </c>
      <c r="M48" s="21">
        <f t="shared" si="7"/>
        <v>-161.71200000000002</v>
      </c>
      <c r="N48" s="21">
        <f t="shared" si="7"/>
        <v>-166.56</v>
      </c>
      <c r="O48" s="21">
        <f t="shared" si="7"/>
        <v>-171.55199999999999</v>
      </c>
    </row>
    <row r="49" spans="3:18" x14ac:dyDescent="0.2">
      <c r="C49" s="61" t="s">
        <v>382</v>
      </c>
      <c r="D49" s="196"/>
      <c r="E49" s="197">
        <f t="shared" ref="E49:O49" si="8">E47+E48</f>
        <v>3264.1104336600001</v>
      </c>
      <c r="F49" s="197">
        <f t="shared" si="8"/>
        <v>3917.8434691893003</v>
      </c>
      <c r="G49" s="197">
        <f t="shared" si="8"/>
        <v>4154.9263829608944</v>
      </c>
      <c r="H49" s="197">
        <f t="shared" si="8"/>
        <v>4570.2865219022333</v>
      </c>
      <c r="I49" s="197">
        <f t="shared" si="8"/>
        <v>4961.8537133605696</v>
      </c>
      <c r="J49" s="197">
        <f t="shared" si="8"/>
        <v>5407.6669235777308</v>
      </c>
      <c r="K49" s="197">
        <f t="shared" si="8"/>
        <v>5844.1845721673826</v>
      </c>
      <c r="L49" s="197">
        <f t="shared" si="8"/>
        <v>6286.6526391216621</v>
      </c>
      <c r="M49" s="197">
        <f t="shared" si="8"/>
        <v>6632.8519754157314</v>
      </c>
      <c r="N49" s="197">
        <f t="shared" si="8"/>
        <v>6831.8408946782047</v>
      </c>
      <c r="O49" s="197">
        <f t="shared" si="8"/>
        <v>7036.8009215185502</v>
      </c>
    </row>
    <row r="50" spans="3:18" x14ac:dyDescent="0.2">
      <c r="D50" s="34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</row>
    <row r="51" spans="3:18" x14ac:dyDescent="0.2">
      <c r="D51" s="34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</row>
    <row r="52" spans="3:18" ht="19" x14ac:dyDescent="0.25">
      <c r="C52" s="194" t="s">
        <v>383</v>
      </c>
    </row>
    <row r="53" spans="3:18" ht="16" thickBot="1" x14ac:dyDescent="0.25">
      <c r="C53" t="s">
        <v>384</v>
      </c>
      <c r="D53" s="198">
        <f>'WD5 - Rentabilitetsanalyse'!D25</f>
        <v>21719</v>
      </c>
      <c r="E53" s="199">
        <f>'WD5 - Rentabilitetsanalyse'!C25</f>
        <v>22460</v>
      </c>
      <c r="F53" s="200">
        <f t="shared" ref="F53:O53" si="9">F41*F30</f>
        <v>22449.934886999999</v>
      </c>
      <c r="G53" s="200">
        <f t="shared" si="9"/>
        <v>24323.460267046499</v>
      </c>
      <c r="H53" s="200">
        <f t="shared" si="9"/>
        <v>26050.425946006799</v>
      </c>
      <c r="I53" s="200">
        <f t="shared" si="9"/>
        <v>28167.996202215538</v>
      </c>
      <c r="J53" s="200">
        <f t="shared" si="9"/>
        <v>30425.276988783993</v>
      </c>
      <c r="K53" s="200">
        <f t="shared" si="9"/>
        <v>32797.764879819508</v>
      </c>
      <c r="L53" s="200">
        <f t="shared" si="9"/>
        <v>34765.630772608682</v>
      </c>
      <c r="M53" s="200">
        <f t="shared" si="9"/>
        <v>36156.25600351303</v>
      </c>
      <c r="N53" s="200">
        <f t="shared" si="9"/>
        <v>37240.943683618425</v>
      </c>
      <c r="O53" s="200">
        <f t="shared" si="9"/>
        <v>38358.171994126977</v>
      </c>
      <c r="P53" s="200">
        <f>O53*1.03</f>
        <v>39508.917153950788</v>
      </c>
      <c r="R53" s="60"/>
    </row>
    <row r="54" spans="3:18" ht="16" thickTop="1" x14ac:dyDescent="0.2">
      <c r="E54" s="69"/>
    </row>
    <row r="55" spans="3:18" x14ac:dyDescent="0.2">
      <c r="C55" t="s">
        <v>30</v>
      </c>
      <c r="D55" s="195">
        <f>'WD5 - Rentabilitetsanalyse'!D27+'WD5 - Rentabilitetsanalyse'!D28</f>
        <v>8559.9</v>
      </c>
      <c r="E55" s="101">
        <f>'WD5 - Rentabilitetsanalyse'!C27+'WD5 - Rentabilitetsanalyse'!C28</f>
        <v>9335.9</v>
      </c>
      <c r="F55" s="60">
        <f t="shared" ref="F55:O55" si="10">F57-F56</f>
        <v>17368.934886999999</v>
      </c>
      <c r="G55" s="60">
        <f t="shared" si="10"/>
        <v>19222.460267046499</v>
      </c>
      <c r="H55" s="60">
        <f t="shared" si="10"/>
        <v>20922.425946006799</v>
      </c>
      <c r="I55" s="60">
        <f t="shared" si="10"/>
        <v>22712.996202215538</v>
      </c>
      <c r="J55" s="60">
        <f t="shared" si="10"/>
        <v>24632.276988783993</v>
      </c>
      <c r="K55" s="60">
        <f t="shared" si="10"/>
        <v>26656.764879819508</v>
      </c>
      <c r="L55" s="60">
        <f t="shared" si="10"/>
        <v>28286.630772608682</v>
      </c>
      <c r="M55" s="60">
        <f t="shared" si="10"/>
        <v>29418.25600351303</v>
      </c>
      <c r="N55" s="60">
        <f t="shared" si="10"/>
        <v>30300.943683618425</v>
      </c>
      <c r="O55" s="60">
        <f t="shared" si="10"/>
        <v>31210.171994126977</v>
      </c>
      <c r="P55" s="60"/>
    </row>
    <row r="56" spans="3:18" x14ac:dyDescent="0.2">
      <c r="C56" t="s">
        <v>385</v>
      </c>
      <c r="D56" s="195">
        <f>'WD5 - Rentabilitetsanalyse'!D29</f>
        <v>13157</v>
      </c>
      <c r="E56" s="101">
        <f>'WD5 - Rentabilitetsanalyse'!C29</f>
        <v>13122</v>
      </c>
      <c r="F56" s="60">
        <v>5081</v>
      </c>
      <c r="G56" s="60">
        <v>5101</v>
      </c>
      <c r="H56" s="60">
        <v>5128</v>
      </c>
      <c r="I56" s="60">
        <v>5455</v>
      </c>
      <c r="J56" s="60">
        <v>5793</v>
      </c>
      <c r="K56" s="60">
        <v>6141</v>
      </c>
      <c r="L56" s="60">
        <v>6479</v>
      </c>
      <c r="M56" s="60">
        <v>6738</v>
      </c>
      <c r="N56" s="60">
        <v>6940</v>
      </c>
      <c r="O56" s="60">
        <v>7148</v>
      </c>
      <c r="P56" s="60"/>
    </row>
    <row r="57" spans="3:18" ht="16" thickBot="1" x14ac:dyDescent="0.25">
      <c r="C57" t="s">
        <v>260</v>
      </c>
      <c r="D57" s="198">
        <f>D55+D56</f>
        <v>21716.9</v>
      </c>
      <c r="E57" s="199">
        <f t="shared" ref="E57:O57" si="11">E53</f>
        <v>22460</v>
      </c>
      <c r="F57" s="200">
        <f t="shared" si="11"/>
        <v>22449.934886999999</v>
      </c>
      <c r="G57" s="200">
        <f t="shared" si="11"/>
        <v>24323.460267046499</v>
      </c>
      <c r="H57" s="200">
        <f t="shared" si="11"/>
        <v>26050.425946006799</v>
      </c>
      <c r="I57" s="200">
        <f t="shared" si="11"/>
        <v>28167.996202215538</v>
      </c>
      <c r="J57" s="200">
        <f t="shared" si="11"/>
        <v>30425.276988783993</v>
      </c>
      <c r="K57" s="200">
        <f t="shared" si="11"/>
        <v>32797.764879819508</v>
      </c>
      <c r="L57" s="200">
        <f t="shared" si="11"/>
        <v>34765.630772608682</v>
      </c>
      <c r="M57" s="200">
        <f t="shared" si="11"/>
        <v>36156.25600351303</v>
      </c>
      <c r="N57" s="200">
        <f t="shared" si="11"/>
        <v>37240.943683618425</v>
      </c>
      <c r="O57" s="200">
        <f t="shared" si="11"/>
        <v>38358.171994126977</v>
      </c>
    </row>
    <row r="58" spans="3:18" ht="16" thickTop="1" x14ac:dyDescent="0.2"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</row>
    <row r="59" spans="3:18" ht="19" x14ac:dyDescent="0.25">
      <c r="C59" s="194" t="s">
        <v>47</v>
      </c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</row>
    <row r="60" spans="3:18" x14ac:dyDescent="0.2">
      <c r="C60" t="s">
        <v>380</v>
      </c>
      <c r="D60" s="37"/>
      <c r="E60" s="37">
        <f t="shared" ref="E60:O60" si="12">E47</f>
        <v>3579.03843366</v>
      </c>
      <c r="F60" s="37">
        <f t="shared" si="12"/>
        <v>4039.7874691893003</v>
      </c>
      <c r="G60" s="37">
        <f t="shared" si="12"/>
        <v>4277.3503829608944</v>
      </c>
      <c r="H60" s="37">
        <f t="shared" si="12"/>
        <v>4693.3585219022334</v>
      </c>
      <c r="I60" s="37">
        <f t="shared" si="12"/>
        <v>5092.7737133605697</v>
      </c>
      <c r="J60" s="37">
        <f t="shared" si="12"/>
        <v>5546.698923577731</v>
      </c>
      <c r="K60" s="37">
        <f t="shared" si="12"/>
        <v>5991.5685721673826</v>
      </c>
      <c r="L60" s="37">
        <f t="shared" si="12"/>
        <v>6442.1486391216622</v>
      </c>
      <c r="M60" s="37">
        <f t="shared" si="12"/>
        <v>6794.5639754157319</v>
      </c>
      <c r="N60" s="37">
        <f t="shared" si="12"/>
        <v>6998.4008946782051</v>
      </c>
      <c r="O60" s="37">
        <f t="shared" si="12"/>
        <v>7208.3529215185499</v>
      </c>
    </row>
    <row r="61" spans="3:18" x14ac:dyDescent="0.2">
      <c r="C61" t="s">
        <v>220</v>
      </c>
      <c r="D61" s="37"/>
      <c r="E61" s="37">
        <f t="shared" ref="E61:O61" si="13">F53-E53</f>
        <v>-10.065113000000565</v>
      </c>
      <c r="F61" s="37">
        <f t="shared" si="13"/>
        <v>1873.5253800464998</v>
      </c>
      <c r="G61" s="37">
        <f t="shared" si="13"/>
        <v>1726.9656789602996</v>
      </c>
      <c r="H61" s="37">
        <f t="shared" si="13"/>
        <v>2117.570256208739</v>
      </c>
      <c r="I61" s="37">
        <f t="shared" si="13"/>
        <v>2257.2807865684554</v>
      </c>
      <c r="J61" s="37">
        <f t="shared" si="13"/>
        <v>2372.4878910355146</v>
      </c>
      <c r="K61" s="37">
        <f t="shared" si="13"/>
        <v>1967.8658927891738</v>
      </c>
      <c r="L61" s="37">
        <f t="shared" si="13"/>
        <v>1390.6252309043484</v>
      </c>
      <c r="M61" s="37">
        <f t="shared" si="13"/>
        <v>1084.687680105395</v>
      </c>
      <c r="N61" s="37">
        <f t="shared" si="13"/>
        <v>1117.2283105085517</v>
      </c>
      <c r="O61" s="37">
        <f t="shared" si="13"/>
        <v>1150.7451598238113</v>
      </c>
    </row>
    <row r="62" spans="3:18" x14ac:dyDescent="0.2">
      <c r="C62" s="19" t="s">
        <v>221</v>
      </c>
      <c r="D62" s="37"/>
      <c r="E62" s="197">
        <f t="shared" ref="E62:O62" si="14">E60-E61</f>
        <v>3589.1035466600006</v>
      </c>
      <c r="F62" s="197">
        <f t="shared" si="14"/>
        <v>2166.2620891428005</v>
      </c>
      <c r="G62" s="197">
        <f t="shared" si="14"/>
        <v>2550.3847040005949</v>
      </c>
      <c r="H62" s="197">
        <f t="shared" si="14"/>
        <v>2575.7882656934944</v>
      </c>
      <c r="I62" s="197">
        <f t="shared" si="14"/>
        <v>2835.4929267921143</v>
      </c>
      <c r="J62" s="197">
        <f t="shared" si="14"/>
        <v>3174.2110325422163</v>
      </c>
      <c r="K62" s="197">
        <f t="shared" si="14"/>
        <v>4023.7026793782088</v>
      </c>
      <c r="L62" s="197">
        <f t="shared" si="14"/>
        <v>5051.5234082173138</v>
      </c>
      <c r="M62" s="197">
        <f t="shared" si="14"/>
        <v>5709.8762953103369</v>
      </c>
      <c r="N62" s="197">
        <f t="shared" si="14"/>
        <v>5881.1725841696534</v>
      </c>
      <c r="O62" s="197">
        <f t="shared" si="14"/>
        <v>6057.6077616947387</v>
      </c>
    </row>
    <row r="63" spans="3:18" x14ac:dyDescent="0.2">
      <c r="D63" s="37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</row>
    <row r="64" spans="3:18" x14ac:dyDescent="0.2">
      <c r="C64" s="64" t="s">
        <v>386</v>
      </c>
      <c r="D64" s="37"/>
      <c r="E64" s="37">
        <f t="shared" ref="E64:O64" si="15">E49-(F55-E55)</f>
        <v>-4768.9244533399997</v>
      </c>
      <c r="F64" s="37">
        <f t="shared" si="15"/>
        <v>2064.3180891428005</v>
      </c>
      <c r="G64" s="37">
        <f t="shared" si="15"/>
        <v>2454.9607040005949</v>
      </c>
      <c r="H64" s="37">
        <f t="shared" si="15"/>
        <v>2779.7162656934943</v>
      </c>
      <c r="I64" s="37">
        <f t="shared" si="15"/>
        <v>3042.5729267921142</v>
      </c>
      <c r="J64" s="37">
        <f t="shared" si="15"/>
        <v>3383.1790325422162</v>
      </c>
      <c r="K64" s="37">
        <f t="shared" si="15"/>
        <v>4214.3186793782088</v>
      </c>
      <c r="L64" s="37">
        <f t="shared" si="15"/>
        <v>5155.0274082173137</v>
      </c>
      <c r="M64" s="37">
        <f t="shared" si="15"/>
        <v>5750.1642953103365</v>
      </c>
      <c r="N64" s="37">
        <f t="shared" si="15"/>
        <v>5922.612584169653</v>
      </c>
      <c r="O64" s="37">
        <f t="shared" si="15"/>
        <v>38246.972915645529</v>
      </c>
    </row>
    <row r="65" spans="2:16" x14ac:dyDescent="0.2">
      <c r="C65" s="64" t="s">
        <v>387</v>
      </c>
      <c r="D65" s="37"/>
      <c r="E65" s="37">
        <f t="shared" ref="E65:O65" si="16">-E48-(F56-E56)</f>
        <v>8355.9279999999999</v>
      </c>
      <c r="F65" s="37">
        <f t="shared" si="16"/>
        <v>101.944</v>
      </c>
      <c r="G65" s="37">
        <f t="shared" si="16"/>
        <v>95.424000000000007</v>
      </c>
      <c r="H65" s="37">
        <f t="shared" si="16"/>
        <v>-203.928</v>
      </c>
      <c r="I65" s="37">
        <f t="shared" si="16"/>
        <v>-207.07999999999998</v>
      </c>
      <c r="J65" s="37">
        <f t="shared" si="16"/>
        <v>-208.96799999999999</v>
      </c>
      <c r="K65" s="37">
        <f t="shared" si="16"/>
        <v>-190.61599999999999</v>
      </c>
      <c r="L65" s="37">
        <f t="shared" si="16"/>
        <v>-103.50399999999999</v>
      </c>
      <c r="M65" s="37">
        <f t="shared" si="16"/>
        <v>-40.287999999999982</v>
      </c>
      <c r="N65" s="37">
        <f t="shared" si="16"/>
        <v>-41.44</v>
      </c>
      <c r="O65" s="37">
        <f t="shared" si="16"/>
        <v>7319.5519999999997</v>
      </c>
    </row>
    <row r="66" spans="2:16" x14ac:dyDescent="0.2">
      <c r="C66" t="s">
        <v>221</v>
      </c>
      <c r="D66" s="37"/>
      <c r="E66" s="197">
        <f t="shared" ref="E66:O66" si="17">E64+E65</f>
        <v>3587.0035466600002</v>
      </c>
      <c r="F66" s="197">
        <f t="shared" si="17"/>
        <v>2166.2620891428005</v>
      </c>
      <c r="G66" s="197">
        <f t="shared" si="17"/>
        <v>2550.3847040005949</v>
      </c>
      <c r="H66" s="197">
        <f t="shared" si="17"/>
        <v>2575.7882656934944</v>
      </c>
      <c r="I66" s="197">
        <f t="shared" si="17"/>
        <v>2835.4929267921143</v>
      </c>
      <c r="J66" s="197">
        <f t="shared" si="17"/>
        <v>3174.2110325422163</v>
      </c>
      <c r="K66" s="197">
        <f t="shared" si="17"/>
        <v>4023.7026793782088</v>
      </c>
      <c r="L66" s="197">
        <f t="shared" si="17"/>
        <v>5051.5234082173138</v>
      </c>
      <c r="M66" s="197">
        <f t="shared" si="17"/>
        <v>5709.8762953103369</v>
      </c>
      <c r="N66" s="197">
        <f t="shared" si="17"/>
        <v>5881.1725841696534</v>
      </c>
      <c r="O66" s="197">
        <f t="shared" si="17"/>
        <v>45566.524915645525</v>
      </c>
    </row>
    <row r="68" spans="2:16" x14ac:dyDescent="0.2">
      <c r="E68">
        <v>1</v>
      </c>
      <c r="F68">
        <v>2</v>
      </c>
      <c r="G68">
        <v>3</v>
      </c>
      <c r="H68">
        <v>4</v>
      </c>
      <c r="I68">
        <v>5</v>
      </c>
      <c r="J68">
        <v>6</v>
      </c>
      <c r="K68">
        <v>7</v>
      </c>
      <c r="L68">
        <v>8</v>
      </c>
      <c r="M68">
        <v>9</v>
      </c>
      <c r="N68">
        <v>10</v>
      </c>
    </row>
    <row r="69" spans="2:16" ht="16" thickBot="1" x14ac:dyDescent="0.25"/>
    <row r="70" spans="2:16" ht="16" x14ac:dyDescent="0.2">
      <c r="C70" s="201"/>
      <c r="D70" s="202"/>
      <c r="E70" s="203"/>
      <c r="F70" s="203"/>
      <c r="G70" s="203"/>
      <c r="H70" s="203"/>
      <c r="I70" s="203"/>
      <c r="J70" s="203"/>
      <c r="K70" s="203"/>
      <c r="L70" s="203"/>
      <c r="M70" s="203"/>
      <c r="N70" s="202"/>
      <c r="O70" s="204" t="s">
        <v>352</v>
      </c>
    </row>
    <row r="71" spans="2:16" ht="19" x14ac:dyDescent="0.25">
      <c r="C71" s="205" t="s">
        <v>388</v>
      </c>
      <c r="D71" s="180" t="s">
        <v>354</v>
      </c>
      <c r="E71" s="181" t="s">
        <v>355</v>
      </c>
      <c r="F71" s="181" t="s">
        <v>356</v>
      </c>
      <c r="G71" s="181" t="s">
        <v>357</v>
      </c>
      <c r="H71" s="181" t="s">
        <v>358</v>
      </c>
      <c r="I71" s="181" t="s">
        <v>359</v>
      </c>
      <c r="J71" s="181" t="s">
        <v>360</v>
      </c>
      <c r="K71" s="181" t="s">
        <v>361</v>
      </c>
      <c r="L71" s="181" t="s">
        <v>362</v>
      </c>
      <c r="M71" s="181" t="s">
        <v>363</v>
      </c>
      <c r="N71" s="181" t="s">
        <v>364</v>
      </c>
      <c r="O71" s="182" t="s">
        <v>365</v>
      </c>
    </row>
    <row r="72" spans="2:16" x14ac:dyDescent="0.2">
      <c r="C72" s="206" t="s">
        <v>380</v>
      </c>
      <c r="D72" s="60"/>
      <c r="E72" s="60">
        <f t="shared" ref="E72:N72" si="18">E47</f>
        <v>3579.03843366</v>
      </c>
      <c r="F72" s="60">
        <f t="shared" si="18"/>
        <v>4039.7874691893003</v>
      </c>
      <c r="G72" s="60">
        <f t="shared" si="18"/>
        <v>4277.3503829608944</v>
      </c>
      <c r="H72" s="60">
        <f t="shared" si="18"/>
        <v>4693.3585219022334</v>
      </c>
      <c r="I72" s="60">
        <f t="shared" si="18"/>
        <v>5092.7737133605697</v>
      </c>
      <c r="J72" s="60">
        <f t="shared" si="18"/>
        <v>5546.698923577731</v>
      </c>
      <c r="K72" s="60">
        <f t="shared" si="18"/>
        <v>5991.5685721673826</v>
      </c>
      <c r="L72" s="60">
        <f t="shared" si="18"/>
        <v>6442.1486391216622</v>
      </c>
      <c r="M72" s="60">
        <f t="shared" si="18"/>
        <v>6794.5639754157319</v>
      </c>
      <c r="N72" s="60">
        <f t="shared" si="18"/>
        <v>6998.4008946782051</v>
      </c>
      <c r="O72" s="207"/>
    </row>
    <row r="73" spans="2:16" x14ac:dyDescent="0.2">
      <c r="C73" s="206" t="s">
        <v>389</v>
      </c>
      <c r="D73" s="208"/>
      <c r="E73" s="208">
        <f t="shared" ref="E73:O73" si="19">E53</f>
        <v>22460</v>
      </c>
      <c r="F73" s="208">
        <f t="shared" si="19"/>
        <v>22449.934886999999</v>
      </c>
      <c r="G73" s="208">
        <f t="shared" si="19"/>
        <v>24323.460267046499</v>
      </c>
      <c r="H73" s="208">
        <f t="shared" si="19"/>
        <v>26050.425946006799</v>
      </c>
      <c r="I73" s="208">
        <f t="shared" si="19"/>
        <v>28167.996202215538</v>
      </c>
      <c r="J73" s="208">
        <f t="shared" si="19"/>
        <v>30425.276988783993</v>
      </c>
      <c r="K73" s="208">
        <f t="shared" si="19"/>
        <v>32797.764879819508</v>
      </c>
      <c r="L73" s="208">
        <f t="shared" si="19"/>
        <v>34765.630772608682</v>
      </c>
      <c r="M73" s="208">
        <f t="shared" si="19"/>
        <v>36156.25600351303</v>
      </c>
      <c r="N73" s="208">
        <f t="shared" si="19"/>
        <v>37240.943683618425</v>
      </c>
      <c r="O73" s="209">
        <f t="shared" si="19"/>
        <v>38358.171994126977</v>
      </c>
    </row>
    <row r="74" spans="2:16" x14ac:dyDescent="0.2">
      <c r="B74" s="210">
        <v>7.5999999999999998E-2</v>
      </c>
      <c r="C74" s="206" t="s">
        <v>390</v>
      </c>
      <c r="D74" s="211"/>
      <c r="E74" s="175">
        <f t="shared" ref="E74:N74" si="20">E72-(E73*$B$74)</f>
        <v>1872.07843366</v>
      </c>
      <c r="F74" s="175">
        <f t="shared" si="20"/>
        <v>2333.5924177773004</v>
      </c>
      <c r="G74" s="175">
        <f t="shared" si="20"/>
        <v>2428.7674026653604</v>
      </c>
      <c r="H74" s="175">
        <f t="shared" si="20"/>
        <v>2713.5261500057168</v>
      </c>
      <c r="I74" s="175">
        <f t="shared" si="20"/>
        <v>2952.0060019921889</v>
      </c>
      <c r="J74" s="175">
        <f t="shared" si="20"/>
        <v>3234.3778724301474</v>
      </c>
      <c r="K74" s="175">
        <f t="shared" si="20"/>
        <v>3498.9384413011003</v>
      </c>
      <c r="L74" s="175">
        <f t="shared" si="20"/>
        <v>3799.9607004034024</v>
      </c>
      <c r="M74" s="175">
        <f t="shared" si="20"/>
        <v>4046.6885191487418</v>
      </c>
      <c r="N74" s="175">
        <f t="shared" si="20"/>
        <v>4168.0891747232054</v>
      </c>
      <c r="O74" s="212"/>
      <c r="P74" s="213"/>
    </row>
    <row r="75" spans="2:16" ht="17" x14ac:dyDescent="0.2">
      <c r="C75" s="206" t="s">
        <v>391</v>
      </c>
      <c r="E75" s="122">
        <f t="shared" ref="E75:N75" si="21">(1+$B$74)^E68</f>
        <v>1.0760000000000001</v>
      </c>
      <c r="F75" s="122">
        <f t="shared" si="21"/>
        <v>1.1577760000000001</v>
      </c>
      <c r="G75" s="122">
        <f t="shared" si="21"/>
        <v>1.2457669760000003</v>
      </c>
      <c r="H75" s="122">
        <f t="shared" si="21"/>
        <v>1.3404452661760002</v>
      </c>
      <c r="I75" s="122">
        <f t="shared" si="21"/>
        <v>1.4423191064053764</v>
      </c>
      <c r="J75" s="122">
        <f t="shared" si="21"/>
        <v>1.5519353584921851</v>
      </c>
      <c r="K75" s="122">
        <f t="shared" si="21"/>
        <v>1.6698824457375914</v>
      </c>
      <c r="L75" s="122">
        <f t="shared" si="21"/>
        <v>1.7967935116136482</v>
      </c>
      <c r="M75" s="122">
        <f t="shared" si="21"/>
        <v>1.9333498184962856</v>
      </c>
      <c r="N75" s="122">
        <f t="shared" si="21"/>
        <v>2.0802844047020033</v>
      </c>
      <c r="O75" s="214"/>
    </row>
    <row r="76" spans="2:16" x14ac:dyDescent="0.2">
      <c r="C76" s="206" t="s">
        <v>392</v>
      </c>
      <c r="E76" s="175">
        <f t="shared" ref="E76:N76" si="22">E74/E75</f>
        <v>1739.8498454089217</v>
      </c>
      <c r="F76" s="175">
        <f t="shared" si="22"/>
        <v>2015.5819586667026</v>
      </c>
      <c r="G76" s="175">
        <f t="shared" si="22"/>
        <v>1949.6161396602631</v>
      </c>
      <c r="H76" s="175">
        <f t="shared" si="22"/>
        <v>2024.3468483773445</v>
      </c>
      <c r="I76" s="175">
        <f t="shared" si="22"/>
        <v>2046.7079641961714</v>
      </c>
      <c r="J76" s="175">
        <f t="shared" si="22"/>
        <v>2084.0931645326864</v>
      </c>
      <c r="K76" s="175">
        <f t="shared" si="22"/>
        <v>2095.3202126486276</v>
      </c>
      <c r="L76" s="175">
        <f t="shared" si="22"/>
        <v>2114.8566464884257</v>
      </c>
      <c r="M76" s="175">
        <f t="shared" si="22"/>
        <v>2093.0969038475209</v>
      </c>
      <c r="N76" s="175">
        <f t="shared" si="22"/>
        <v>2003.6150659506943</v>
      </c>
      <c r="O76" s="212"/>
    </row>
    <row r="77" spans="2:16" x14ac:dyDescent="0.2">
      <c r="C77" s="206" t="s">
        <v>393</v>
      </c>
      <c r="D77" s="175">
        <f>SUM(E76:N76)</f>
        <v>20167.084749777358</v>
      </c>
      <c r="E77" s="211"/>
      <c r="O77" s="164"/>
    </row>
    <row r="78" spans="2:16" x14ac:dyDescent="0.2">
      <c r="C78" s="206" t="s">
        <v>394</v>
      </c>
      <c r="D78" s="215"/>
      <c r="N78" s="60">
        <f>(N74*1.03)/(0.076-0.03)</f>
        <v>93328.953260106558</v>
      </c>
      <c r="O78" s="212"/>
    </row>
    <row r="79" spans="2:16" x14ac:dyDescent="0.2">
      <c r="C79" s="206" t="s">
        <v>395</v>
      </c>
      <c r="D79" s="216">
        <f>N78/N75</f>
        <v>44863.554737591636</v>
      </c>
      <c r="E79" s="211"/>
      <c r="O79" s="164"/>
    </row>
    <row r="80" spans="2:16" x14ac:dyDescent="0.2">
      <c r="C80" s="206" t="s">
        <v>396</v>
      </c>
      <c r="D80" s="215">
        <f>E73+D77+D79</f>
        <v>87490.639487368986</v>
      </c>
      <c r="E80" s="211"/>
      <c r="O80" s="164"/>
    </row>
    <row r="81" spans="3:18" x14ac:dyDescent="0.2">
      <c r="C81" s="206" t="s">
        <v>397</v>
      </c>
      <c r="D81" s="112">
        <f>E56</f>
        <v>13122</v>
      </c>
      <c r="E81" s="211"/>
      <c r="O81" s="164"/>
    </row>
    <row r="82" spans="3:18" x14ac:dyDescent="0.2">
      <c r="C82" s="206" t="s">
        <v>329</v>
      </c>
      <c r="D82" s="215">
        <f>D80-D81</f>
        <v>74368.639487368986</v>
      </c>
      <c r="E82" s="211"/>
      <c r="O82" s="164"/>
    </row>
    <row r="83" spans="3:18" x14ac:dyDescent="0.2">
      <c r="C83" s="206" t="s">
        <v>398</v>
      </c>
      <c r="D83">
        <v>0</v>
      </c>
      <c r="E83" s="211"/>
      <c r="O83" s="164"/>
    </row>
    <row r="84" spans="3:18" x14ac:dyDescent="0.2">
      <c r="C84" s="206" t="s">
        <v>399</v>
      </c>
      <c r="D84" s="217">
        <f>D82-D83</f>
        <v>74368.639487368986</v>
      </c>
      <c r="E84" s="211"/>
      <c r="O84" s="164"/>
    </row>
    <row r="85" spans="3:18" x14ac:dyDescent="0.2">
      <c r="C85" s="206" t="s">
        <v>400</v>
      </c>
      <c r="D85">
        <v>222.2</v>
      </c>
      <c r="E85" s="218"/>
      <c r="O85" s="164"/>
    </row>
    <row r="86" spans="3:18" ht="16" thickBot="1" x14ac:dyDescent="0.25">
      <c r="C86" s="206" t="s">
        <v>401</v>
      </c>
      <c r="D86" s="219">
        <f>D84/D85</f>
        <v>334.69234692785324</v>
      </c>
      <c r="E86" s="211"/>
      <c r="O86" s="164"/>
    </row>
    <row r="87" spans="3:18" ht="17" thickTop="1" thickBot="1" x14ac:dyDescent="0.25">
      <c r="C87" s="220"/>
      <c r="D87" s="221"/>
      <c r="E87" s="222"/>
      <c r="F87" s="173"/>
      <c r="G87" s="173"/>
      <c r="H87" s="173"/>
      <c r="I87" s="173"/>
      <c r="J87" s="173"/>
      <c r="K87" s="173"/>
      <c r="L87" s="173"/>
      <c r="M87" s="173"/>
      <c r="N87" s="173"/>
      <c r="O87" s="223"/>
    </row>
    <row r="88" spans="3:18" ht="16" thickBot="1" x14ac:dyDescent="0.25">
      <c r="D88" s="224"/>
      <c r="E88" s="211"/>
    </row>
    <row r="89" spans="3:18" ht="16" x14ac:dyDescent="0.2">
      <c r="C89" s="201"/>
      <c r="D89" s="202"/>
      <c r="E89" s="203"/>
      <c r="F89" s="203"/>
      <c r="G89" s="203"/>
      <c r="H89" s="203"/>
      <c r="I89" s="203"/>
      <c r="J89" s="203"/>
      <c r="K89" s="203"/>
      <c r="L89" s="203"/>
      <c r="M89" s="203"/>
      <c r="N89" s="203"/>
      <c r="O89" s="204" t="s">
        <v>352</v>
      </c>
    </row>
    <row r="90" spans="3:18" ht="19" x14ac:dyDescent="0.25">
      <c r="C90" s="205" t="s">
        <v>402</v>
      </c>
      <c r="D90" s="180" t="s">
        <v>354</v>
      </c>
      <c r="E90" s="181" t="s">
        <v>355</v>
      </c>
      <c r="F90" s="181" t="s">
        <v>356</v>
      </c>
      <c r="G90" s="181" t="s">
        <v>357</v>
      </c>
      <c r="H90" s="181" t="s">
        <v>358</v>
      </c>
      <c r="I90" s="181" t="s">
        <v>359</v>
      </c>
      <c r="J90" s="181" t="s">
        <v>360</v>
      </c>
      <c r="K90" s="181" t="s">
        <v>361</v>
      </c>
      <c r="L90" s="181" t="s">
        <v>362</v>
      </c>
      <c r="M90" s="181" t="s">
        <v>363</v>
      </c>
      <c r="N90" s="181" t="s">
        <v>364</v>
      </c>
      <c r="O90" s="182" t="s">
        <v>365</v>
      </c>
    </row>
    <row r="91" spans="3:18" x14ac:dyDescent="0.2">
      <c r="C91" s="206" t="s">
        <v>380</v>
      </c>
      <c r="E91" s="175">
        <f t="shared" ref="E91:N91" si="23">E47</f>
        <v>3579.03843366</v>
      </c>
      <c r="F91" s="175">
        <f t="shared" si="23"/>
        <v>4039.7874691893003</v>
      </c>
      <c r="G91" s="175">
        <f t="shared" si="23"/>
        <v>4277.3503829608944</v>
      </c>
      <c r="H91" s="175">
        <f t="shared" si="23"/>
        <v>4693.3585219022334</v>
      </c>
      <c r="I91" s="175">
        <f t="shared" si="23"/>
        <v>5092.7737133605697</v>
      </c>
      <c r="J91" s="175">
        <f t="shared" si="23"/>
        <v>5546.698923577731</v>
      </c>
      <c r="K91" s="175">
        <f t="shared" si="23"/>
        <v>5991.5685721673826</v>
      </c>
      <c r="L91" s="175">
        <f t="shared" si="23"/>
        <v>6442.1486391216622</v>
      </c>
      <c r="M91" s="175">
        <f t="shared" si="23"/>
        <v>6794.5639754157319</v>
      </c>
      <c r="N91" s="175">
        <f t="shared" si="23"/>
        <v>6998.4008946782051</v>
      </c>
      <c r="O91" s="212"/>
    </row>
    <row r="92" spans="3:18" x14ac:dyDescent="0.2">
      <c r="C92" s="206" t="s">
        <v>403</v>
      </c>
      <c r="D92" s="208"/>
      <c r="E92" s="208">
        <f t="shared" ref="E92:O92" si="24">E53</f>
        <v>22460</v>
      </c>
      <c r="F92" s="208">
        <f t="shared" si="24"/>
        <v>22449.934886999999</v>
      </c>
      <c r="G92" s="208">
        <f t="shared" si="24"/>
        <v>24323.460267046499</v>
      </c>
      <c r="H92" s="208">
        <f t="shared" si="24"/>
        <v>26050.425946006799</v>
      </c>
      <c r="I92" s="208">
        <f t="shared" si="24"/>
        <v>28167.996202215538</v>
      </c>
      <c r="J92" s="208">
        <f t="shared" si="24"/>
        <v>30425.276988783993</v>
      </c>
      <c r="K92" s="208">
        <f t="shared" si="24"/>
        <v>32797.764879819508</v>
      </c>
      <c r="L92" s="208">
        <f t="shared" si="24"/>
        <v>34765.630772608682</v>
      </c>
      <c r="M92" s="208">
        <f t="shared" si="24"/>
        <v>36156.25600351303</v>
      </c>
      <c r="N92" s="208">
        <f t="shared" si="24"/>
        <v>37240.943683618425</v>
      </c>
      <c r="O92" s="209">
        <f t="shared" si="24"/>
        <v>38358.171994126977</v>
      </c>
      <c r="P92" s="208"/>
      <c r="Q92" s="208"/>
      <c r="R92" s="208"/>
    </row>
    <row r="93" spans="3:18" x14ac:dyDescent="0.2">
      <c r="C93" s="206" t="s">
        <v>404</v>
      </c>
      <c r="E93" s="175">
        <f t="shared" ref="E93:N93" si="25">E91-(F92-E92)</f>
        <v>3589.1035466600006</v>
      </c>
      <c r="F93" s="175">
        <f t="shared" si="25"/>
        <v>2166.2620891428005</v>
      </c>
      <c r="G93" s="175">
        <f t="shared" si="25"/>
        <v>2550.3847040005949</v>
      </c>
      <c r="H93" s="175">
        <f t="shared" si="25"/>
        <v>2575.7882656934944</v>
      </c>
      <c r="I93" s="175">
        <f t="shared" si="25"/>
        <v>2835.4929267921143</v>
      </c>
      <c r="J93" s="175">
        <f t="shared" si="25"/>
        <v>3174.2110325422163</v>
      </c>
      <c r="K93" s="175">
        <f t="shared" si="25"/>
        <v>4023.7026793782088</v>
      </c>
      <c r="L93" s="175">
        <f t="shared" si="25"/>
        <v>5051.5234082173138</v>
      </c>
      <c r="M93" s="175">
        <f t="shared" si="25"/>
        <v>5709.8762953103369</v>
      </c>
      <c r="N93" s="175">
        <f t="shared" si="25"/>
        <v>5881.1725841696534</v>
      </c>
      <c r="O93" s="212"/>
    </row>
    <row r="94" spans="3:18" x14ac:dyDescent="0.2">
      <c r="C94" s="206" t="s">
        <v>405</v>
      </c>
      <c r="E94" s="175">
        <f t="shared" ref="E94:N94" si="26">E93/E75</f>
        <v>3335.59809169145</v>
      </c>
      <c r="F94" s="175">
        <f t="shared" si="26"/>
        <v>1871.0545814931388</v>
      </c>
      <c r="G94" s="175">
        <f t="shared" si="26"/>
        <v>2047.2405780008364</v>
      </c>
      <c r="H94" s="175">
        <f t="shared" si="26"/>
        <v>1921.5915268526107</v>
      </c>
      <c r="I94" s="175">
        <f t="shared" si="26"/>
        <v>1965.9262046794063</v>
      </c>
      <c r="J94" s="175">
        <f t="shared" si="26"/>
        <v>2045.3242560477433</v>
      </c>
      <c r="K94" s="175">
        <f t="shared" si="26"/>
        <v>2409.5724160995828</v>
      </c>
      <c r="L94" s="175">
        <f t="shared" si="26"/>
        <v>2811.4100900112262</v>
      </c>
      <c r="M94" s="175">
        <f t="shared" si="26"/>
        <v>2953.3591079504408</v>
      </c>
      <c r="N94" s="175">
        <f t="shared" si="26"/>
        <v>2827.1002613280275</v>
      </c>
      <c r="O94" s="212"/>
      <c r="Q94" s="225"/>
    </row>
    <row r="95" spans="3:18" x14ac:dyDescent="0.2">
      <c r="C95" s="206" t="s">
        <v>406</v>
      </c>
      <c r="D95" s="37">
        <f>SUM(E94:N94)</f>
        <v>24188.177114154467</v>
      </c>
      <c r="E95" s="211"/>
      <c r="O95" s="164"/>
    </row>
    <row r="96" spans="3:18" x14ac:dyDescent="0.2">
      <c r="C96" s="206" t="s">
        <v>407</v>
      </c>
      <c r="E96" s="211"/>
      <c r="F96" s="211"/>
      <c r="G96" s="211"/>
      <c r="H96" s="211"/>
      <c r="I96" s="211"/>
      <c r="J96" s="211"/>
      <c r="K96" s="211"/>
      <c r="L96" s="211"/>
      <c r="M96" s="211"/>
      <c r="N96" s="211">
        <f>(N93*1.03)/(0.076-0.03)</f>
        <v>131687.12525423354</v>
      </c>
      <c r="O96" s="212"/>
    </row>
    <row r="97" spans="3:17" x14ac:dyDescent="0.2">
      <c r="C97" s="206" t="s">
        <v>408</v>
      </c>
      <c r="D97" s="216">
        <f>N96/N75</f>
        <v>63302.462373214526</v>
      </c>
      <c r="E97" s="211"/>
      <c r="O97" s="164"/>
    </row>
    <row r="98" spans="3:17" x14ac:dyDescent="0.2">
      <c r="C98" s="206" t="s">
        <v>396</v>
      </c>
      <c r="D98" s="215">
        <f>D95+D97</f>
        <v>87490.639487368986</v>
      </c>
      <c r="E98" s="211"/>
      <c r="O98" s="164"/>
    </row>
    <row r="99" spans="3:17" x14ac:dyDescent="0.2">
      <c r="C99" s="206" t="s">
        <v>397</v>
      </c>
      <c r="D99" s="216">
        <f>E56</f>
        <v>13122</v>
      </c>
      <c r="E99" s="211"/>
      <c r="O99" s="164"/>
    </row>
    <row r="100" spans="3:17" x14ac:dyDescent="0.2">
      <c r="C100" s="206" t="s">
        <v>329</v>
      </c>
      <c r="D100" s="215">
        <f>D98-D99</f>
        <v>74368.639487368986</v>
      </c>
      <c r="E100" s="211"/>
      <c r="O100" s="164"/>
    </row>
    <row r="101" spans="3:17" x14ac:dyDescent="0.2">
      <c r="C101" s="206" t="s">
        <v>398</v>
      </c>
      <c r="D101" s="41">
        <v>0</v>
      </c>
      <c r="E101" s="211"/>
      <c r="O101" s="164"/>
    </row>
    <row r="102" spans="3:17" x14ac:dyDescent="0.2">
      <c r="C102" s="206" t="s">
        <v>399</v>
      </c>
      <c r="D102" s="215">
        <f>D100-D101</f>
        <v>74368.639487368986</v>
      </c>
      <c r="E102" s="211"/>
      <c r="O102" s="164"/>
    </row>
    <row r="103" spans="3:17" x14ac:dyDescent="0.2">
      <c r="C103" s="206" t="s">
        <v>400</v>
      </c>
      <c r="D103">
        <v>222.2</v>
      </c>
      <c r="E103" s="211"/>
      <c r="O103" s="164"/>
    </row>
    <row r="104" spans="3:17" ht="16" thickBot="1" x14ac:dyDescent="0.25">
      <c r="C104" s="206" t="s">
        <v>401</v>
      </c>
      <c r="D104" s="219">
        <f>D102/D103</f>
        <v>334.69234692785324</v>
      </c>
      <c r="E104" s="211"/>
      <c r="O104" s="164"/>
    </row>
    <row r="105" spans="3:17" ht="17" thickTop="1" thickBot="1" x14ac:dyDescent="0.25">
      <c r="C105" s="220"/>
      <c r="D105" s="173"/>
      <c r="E105" s="222"/>
      <c r="F105" s="173"/>
      <c r="G105" s="173"/>
      <c r="H105" s="173"/>
      <c r="I105" s="173"/>
      <c r="J105" s="173"/>
      <c r="K105" s="173"/>
      <c r="L105" s="173"/>
      <c r="M105" s="173"/>
      <c r="N105" s="173"/>
      <c r="O105" s="223"/>
    </row>
    <row r="106" spans="3:17" x14ac:dyDescent="0.2">
      <c r="E106" s="211"/>
    </row>
    <row r="107" spans="3:17" x14ac:dyDescent="0.2">
      <c r="E107" s="211"/>
      <c r="F107" s="211"/>
      <c r="G107" s="211"/>
      <c r="H107" s="211"/>
      <c r="I107" s="211"/>
      <c r="J107" s="211"/>
      <c r="K107" s="211"/>
      <c r="L107" s="211"/>
      <c r="M107" s="211"/>
      <c r="N107" s="211"/>
      <c r="O107" s="211"/>
      <c r="P107" s="211"/>
      <c r="Q107" s="211"/>
    </row>
    <row r="108" spans="3:17" hidden="1" x14ac:dyDescent="0.2">
      <c r="E108" s="211"/>
    </row>
    <row r="109" spans="3:17" hidden="1" x14ac:dyDescent="0.2">
      <c r="E109" s="211"/>
    </row>
    <row r="110" spans="3:17" hidden="1" x14ac:dyDescent="0.2">
      <c r="C110" t="s">
        <v>409</v>
      </c>
      <c r="F110" s="116">
        <f t="shared" ref="F110:O110" si="27">F72/E72-1</f>
        <v>0.12873542546960826</v>
      </c>
      <c r="G110" s="116">
        <f t="shared" si="27"/>
        <v>5.8805795003683103E-2</v>
      </c>
      <c r="H110" s="116">
        <f t="shared" si="27"/>
        <v>9.7258372986822605E-2</v>
      </c>
      <c r="I110" s="116">
        <f t="shared" si="27"/>
        <v>8.5102211901010305E-2</v>
      </c>
      <c r="J110" s="116">
        <f t="shared" si="27"/>
        <v>8.913123491552688E-2</v>
      </c>
      <c r="K110" s="116">
        <f t="shared" si="27"/>
        <v>8.0204398096787699E-2</v>
      </c>
      <c r="L110" s="116">
        <f t="shared" si="27"/>
        <v>7.5202355030593804E-2</v>
      </c>
      <c r="M110" s="116">
        <f t="shared" si="27"/>
        <v>5.470462667594056E-2</v>
      </c>
      <c r="N110" s="116">
        <f t="shared" si="27"/>
        <v>3.0000000000000249E-2</v>
      </c>
      <c r="O110" s="116">
        <f t="shared" si="27"/>
        <v>-1</v>
      </c>
    </row>
    <row r="111" spans="3:17" hidden="1" x14ac:dyDescent="0.2">
      <c r="C111" t="s">
        <v>410</v>
      </c>
      <c r="F111" s="116" t="s">
        <v>108</v>
      </c>
      <c r="G111" s="116">
        <f t="shared" ref="G111:O111" si="28">G73/F73-1</f>
        <v>8.3453488372092988E-2</v>
      </c>
      <c r="H111" s="116">
        <f t="shared" si="28"/>
        <v>7.0999999999999952E-2</v>
      </c>
      <c r="I111" s="116">
        <f t="shared" si="28"/>
        <v>8.1287356321839255E-2</v>
      </c>
      <c r="J111" s="116">
        <f t="shared" si="28"/>
        <v>8.0136363636363672E-2</v>
      </c>
      <c r="K111" s="116">
        <f t="shared" si="28"/>
        <v>7.797752808988756E-2</v>
      </c>
      <c r="L111" s="116">
        <f t="shared" si="28"/>
        <v>6.0000000000000053E-2</v>
      </c>
      <c r="M111" s="116">
        <f t="shared" si="28"/>
        <v>4.0000000000000036E-2</v>
      </c>
      <c r="N111" s="116">
        <f t="shared" si="28"/>
        <v>3.0000000000000027E-2</v>
      </c>
      <c r="O111" s="116">
        <f t="shared" si="28"/>
        <v>3.0000000000000027E-2</v>
      </c>
    </row>
    <row r="112" spans="3:17" hidden="1" x14ac:dyDescent="0.2">
      <c r="C112" t="s">
        <v>411</v>
      </c>
      <c r="F112" s="116">
        <f>F74/E74-1</f>
        <v>0.24652491894531314</v>
      </c>
      <c r="G112" s="116">
        <f t="shared" ref="G112:O112" si="29">G74/F74-1</f>
        <v>4.0784750654406121E-2</v>
      </c>
      <c r="H112" s="116">
        <f t="shared" si="29"/>
        <v>0.1172441408048619</v>
      </c>
      <c r="I112" s="116">
        <f t="shared" si="29"/>
        <v>8.7885591957892029E-2</v>
      </c>
      <c r="J112" s="116">
        <f t="shared" si="29"/>
        <v>9.5654233171408531E-2</v>
      </c>
      <c r="K112" s="116">
        <f t="shared" si="29"/>
        <v>8.179643174227369E-2</v>
      </c>
      <c r="L112" s="116">
        <f t="shared" si="29"/>
        <v>8.6032453600517034E-2</v>
      </c>
      <c r="M112" s="116">
        <f t="shared" si="29"/>
        <v>6.4929044850160489E-2</v>
      </c>
      <c r="N112" s="116">
        <f t="shared" si="29"/>
        <v>3.0000000000000249E-2</v>
      </c>
      <c r="O112" s="116">
        <f t="shared" si="29"/>
        <v>-1</v>
      </c>
    </row>
    <row r="113" spans="3:15" hidden="1" x14ac:dyDescent="0.2">
      <c r="C113" t="s">
        <v>412</v>
      </c>
      <c r="F113" s="116">
        <f t="shared" ref="F113:O113" si="30">F93/E93-1</f>
        <v>-0.39643366066751917</v>
      </c>
      <c r="G113" s="116">
        <f t="shared" si="30"/>
        <v>0.17732047141617735</v>
      </c>
      <c r="H113" s="116">
        <f t="shared" si="30"/>
        <v>9.9606783451340331E-3</v>
      </c>
      <c r="I113" s="116">
        <f t="shared" si="30"/>
        <v>0.1008253141601676</v>
      </c>
      <c r="J113" s="116">
        <f t="shared" si="30"/>
        <v>0.11945651584936412</v>
      </c>
      <c r="K113" s="116">
        <f t="shared" si="30"/>
        <v>0.26762292680825239</v>
      </c>
      <c r="L113" s="116">
        <f t="shared" si="30"/>
        <v>0.25544152009709031</v>
      </c>
      <c r="M113" s="116">
        <f t="shared" si="30"/>
        <v>0.13032759306273434</v>
      </c>
      <c r="N113" s="116">
        <f t="shared" si="30"/>
        <v>3.0000000000001137E-2</v>
      </c>
      <c r="O113" s="116">
        <f t="shared" si="30"/>
        <v>-1</v>
      </c>
    </row>
    <row r="114" spans="3:15" hidden="1" x14ac:dyDescent="0.2">
      <c r="C114" t="s">
        <v>266</v>
      </c>
      <c r="E114" s="116" t="e">
        <f t="shared" ref="E114:O114" si="31">E72/D73</f>
        <v>#DIV/0!</v>
      </c>
      <c r="F114" s="116">
        <f t="shared" si="31"/>
        <v>0.17986587129070794</v>
      </c>
      <c r="G114" s="116">
        <f t="shared" si="31"/>
        <v>0.19052840930232559</v>
      </c>
      <c r="H114" s="116">
        <f t="shared" si="31"/>
        <v>0.19295603793103444</v>
      </c>
      <c r="I114" s="116">
        <f t="shared" si="31"/>
        <v>0.19549675402298855</v>
      </c>
      <c r="J114" s="116">
        <f t="shared" si="31"/>
        <v>0.19691492727272727</v>
      </c>
      <c r="K114" s="116">
        <f t="shared" si="31"/>
        <v>0.19692733033707863</v>
      </c>
      <c r="L114" s="116">
        <f t="shared" si="31"/>
        <v>0.19642035555555559</v>
      </c>
      <c r="M114" s="116">
        <f t="shared" si="31"/>
        <v>0.19543911111111112</v>
      </c>
      <c r="N114" s="116">
        <f t="shared" si="31"/>
        <v>0.19355988888888892</v>
      </c>
      <c r="O114" s="116">
        <f t="shared" si="31"/>
        <v>0</v>
      </c>
    </row>
    <row r="115" spans="3:15" hidden="1" x14ac:dyDescent="0.2">
      <c r="F115" s="116"/>
      <c r="G115" s="116"/>
      <c r="H115" s="116"/>
      <c r="I115" s="116"/>
      <c r="J115" s="116"/>
      <c r="K115" s="116"/>
      <c r="L115" s="116"/>
      <c r="M115" s="116"/>
      <c r="N115" s="116"/>
      <c r="O115" s="116"/>
    </row>
    <row r="116" spans="3:15" hidden="1" x14ac:dyDescent="0.2"/>
  </sheetData>
  <mergeCells count="1">
    <mergeCell ref="E27:N27"/>
  </mergeCells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WD 1 - Reform. Egenkapital</vt:lpstr>
      <vt:lpstr>WD 2 - Reform. Balance</vt:lpstr>
      <vt:lpstr>WD3 - Reform. Totalindkomst</vt:lpstr>
      <vt:lpstr>WD4 - Reform. Pengestrøm</vt:lpstr>
      <vt:lpstr>WD5 - Rentabilitetsanalyse</vt:lpstr>
      <vt:lpstr>WD6 - Reform. Resultatopgørelse</vt:lpstr>
      <vt:lpstr>WD7 - Forecast</vt:lpstr>
      <vt:lpstr>WD8 - ReOI Værdiansættelse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install</dc:creator>
  <cp:lastModifiedBy>Jeppe Vanderhaegen</cp:lastModifiedBy>
  <cp:lastPrinted>2023-02-20T12:10:00Z</cp:lastPrinted>
  <dcterms:created xsi:type="dcterms:W3CDTF">2013-08-05T12:10:49Z</dcterms:created>
  <dcterms:modified xsi:type="dcterms:W3CDTF">2024-06-17T19:28:21Z</dcterms:modified>
</cp:coreProperties>
</file>