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Library/Mobile Documents/com~apple~CloudDocs/Documents/#University/8. Sem/Regnskab/"/>
    </mc:Choice>
  </mc:AlternateContent>
  <xr:revisionPtr revIDLastSave="0" documentId="13_ncr:1_{87401B36-65C6-E34B-82B0-4D59D058C3A3}" xr6:coauthVersionLast="47" xr6:coauthVersionMax="47" xr10:uidLastSave="{00000000-0000-0000-0000-000000000000}"/>
  <bookViews>
    <workbookView xWindow="380" yWindow="500" windowWidth="28040" windowHeight="15720" firstSheet="10" activeTab="25" xr2:uid="{F27CB04F-99AF-6546-B7C0-63ADB96222F3}"/>
  </bookViews>
  <sheets>
    <sheet name="E1.5" sheetId="1" r:id="rId1"/>
    <sheet name="E2.1" sheetId="2" r:id="rId2"/>
    <sheet name="E2.4" sheetId="3" r:id="rId3"/>
    <sheet name="E2.7" sheetId="4" r:id="rId4"/>
    <sheet name="E3.7" sheetId="5" r:id="rId5"/>
    <sheet name="E3.11" sheetId="6" r:id="rId6"/>
    <sheet name="E3.13" sheetId="7" r:id="rId7"/>
    <sheet name="E4.1" sheetId="8" r:id="rId8"/>
    <sheet name="E5.3" sheetId="9" r:id="rId9"/>
    <sheet name="E5.4" sheetId="10" r:id="rId10"/>
    <sheet name="E5.13" sheetId="11" r:id="rId11"/>
    <sheet name="E6.3" sheetId="12" r:id="rId12"/>
    <sheet name="E6.4" sheetId="13" r:id="rId13"/>
    <sheet name="E6.13" sheetId="14" r:id="rId14"/>
    <sheet name="E9.2" sheetId="15" r:id="rId15"/>
    <sheet name="E9.4" sheetId="16" r:id="rId16"/>
    <sheet name="E10.3" sheetId="17" r:id="rId17"/>
    <sheet name="E10.6" sheetId="18" r:id="rId18"/>
    <sheet name="E14.7" sheetId="19" r:id="rId19"/>
    <sheet name="E14.17" sheetId="20" r:id="rId20"/>
    <sheet name="E17.5" sheetId="21" r:id="rId21"/>
    <sheet name="Ex1" sheetId="22" r:id="rId22"/>
    <sheet name="Ex2" sheetId="23" r:id="rId23"/>
    <sheet name="Ex3A" sheetId="24" r:id="rId24"/>
    <sheet name="Ex3B" sheetId="25" r:id="rId25"/>
    <sheet name="Ex4" sheetId="26" r:id="rId2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8" i="26" l="1"/>
  <c r="F48" i="26"/>
  <c r="F44" i="26"/>
  <c r="E43" i="26"/>
  <c r="I24" i="26"/>
  <c r="I21" i="26"/>
  <c r="H18" i="26"/>
  <c r="I13" i="26"/>
  <c r="I10" i="26"/>
  <c r="H10" i="26"/>
  <c r="H9" i="26"/>
  <c r="E29" i="25"/>
  <c r="H13" i="25"/>
  <c r="G13" i="25"/>
  <c r="F13" i="25"/>
  <c r="E13" i="25"/>
  <c r="H12" i="25"/>
  <c r="H14" i="25" s="1"/>
  <c r="G12" i="25"/>
  <c r="G14" i="25" s="1"/>
  <c r="F12" i="25"/>
  <c r="F14" i="25" s="1"/>
  <c r="E12" i="25"/>
  <c r="H11" i="25"/>
  <c r="G11" i="25"/>
  <c r="F11" i="25"/>
  <c r="E11" i="25"/>
  <c r="E8" i="25"/>
  <c r="E17" i="25" s="1"/>
  <c r="D8" i="25"/>
  <c r="D17" i="25" s="1"/>
  <c r="E7" i="25"/>
  <c r="F7" i="25" s="1"/>
  <c r="E29" i="24"/>
  <c r="E28" i="24"/>
  <c r="D25" i="24"/>
  <c r="D24" i="24"/>
  <c r="D23" i="24"/>
  <c r="E21" i="24"/>
  <c r="G20" i="24"/>
  <c r="E19" i="24"/>
  <c r="F18" i="24"/>
  <c r="G18" i="24"/>
  <c r="H18" i="24"/>
  <c r="E18" i="24"/>
  <c r="E17" i="24"/>
  <c r="F17" i="24"/>
  <c r="G17" i="24"/>
  <c r="H17" i="24"/>
  <c r="D17" i="24"/>
  <c r="G15" i="24"/>
  <c r="H15" i="24"/>
  <c r="F15" i="24"/>
  <c r="F14" i="24"/>
  <c r="G14" i="24"/>
  <c r="H14" i="24"/>
  <c r="E14" i="24"/>
  <c r="F12" i="24"/>
  <c r="G12" i="24"/>
  <c r="H12" i="24"/>
  <c r="F13" i="24"/>
  <c r="G13" i="24"/>
  <c r="H13" i="24"/>
  <c r="E13" i="24"/>
  <c r="E12" i="24"/>
  <c r="F11" i="24"/>
  <c r="G11" i="24"/>
  <c r="H11" i="24"/>
  <c r="E11" i="24"/>
  <c r="F7" i="24"/>
  <c r="G7" i="24" s="1"/>
  <c r="F8" i="24"/>
  <c r="E7" i="24"/>
  <c r="E8" i="24" s="1"/>
  <c r="D8" i="24"/>
  <c r="B22" i="23"/>
  <c r="C25" i="23"/>
  <c r="C14" i="23"/>
  <c r="E12" i="23"/>
  <c r="E11" i="23"/>
  <c r="E10" i="23"/>
  <c r="E8" i="23"/>
  <c r="E5" i="23"/>
  <c r="E6" i="23" s="1"/>
  <c r="D6" i="23"/>
  <c r="D5" i="23"/>
  <c r="C6" i="23"/>
  <c r="E12" i="22"/>
  <c r="D12" i="22"/>
  <c r="C19" i="22"/>
  <c r="C18" i="22"/>
  <c r="C15" i="22"/>
  <c r="D14" i="22"/>
  <c r="E14" i="22"/>
  <c r="D13" i="22"/>
  <c r="E13" i="22"/>
  <c r="C13" i="22"/>
  <c r="D8" i="22"/>
  <c r="E8" i="22"/>
  <c r="C8" i="22"/>
  <c r="E11" i="22"/>
  <c r="D11" i="22"/>
  <c r="E10" i="22"/>
  <c r="D10" i="22"/>
  <c r="C27" i="20"/>
  <c r="C26" i="20"/>
  <c r="C24" i="20"/>
  <c r="C22" i="20"/>
  <c r="C16" i="20"/>
  <c r="C21" i="20"/>
  <c r="C18" i="20"/>
  <c r="E14" i="20"/>
  <c r="E12" i="20"/>
  <c r="B13" i="20"/>
  <c r="B11" i="20"/>
  <c r="H2" i="20"/>
  <c r="C5" i="20"/>
  <c r="D20" i="19"/>
  <c r="D18" i="19"/>
  <c r="H17" i="19"/>
  <c r="H16" i="19"/>
  <c r="D13" i="19"/>
  <c r="F12" i="19"/>
  <c r="G12" i="19"/>
  <c r="H12" i="19"/>
  <c r="E12" i="19"/>
  <c r="F10" i="19"/>
  <c r="G10" i="19"/>
  <c r="H10" i="19"/>
  <c r="E10" i="19"/>
  <c r="E11" i="19"/>
  <c r="F11" i="19"/>
  <c r="G11" i="19"/>
  <c r="H11" i="19"/>
  <c r="D11" i="19"/>
  <c r="F5" i="19"/>
  <c r="G5" i="19" s="1"/>
  <c r="F6" i="19"/>
  <c r="E5" i="19"/>
  <c r="E6" i="19" s="1"/>
  <c r="D6" i="19"/>
  <c r="F9" i="19"/>
  <c r="E9" i="19"/>
  <c r="G9" i="19"/>
  <c r="H9" i="19"/>
  <c r="E46" i="18"/>
  <c r="E44" i="18"/>
  <c r="E39" i="18"/>
  <c r="E28" i="18"/>
  <c r="E22" i="18"/>
  <c r="E20" i="18"/>
  <c r="E14" i="18"/>
  <c r="C6" i="18"/>
  <c r="C5" i="18"/>
  <c r="E18" i="17"/>
  <c r="E16" i="17"/>
  <c r="E15" i="17"/>
  <c r="D15" i="17"/>
  <c r="C10" i="17"/>
  <c r="E8" i="17"/>
  <c r="E6" i="17"/>
  <c r="C18" i="16"/>
  <c r="C10" i="16"/>
  <c r="E21" i="16"/>
  <c r="E23" i="16" s="1"/>
  <c r="E15" i="16"/>
  <c r="C7" i="16"/>
  <c r="C6" i="16"/>
  <c r="D17" i="15"/>
  <c r="C17" i="15"/>
  <c r="C9" i="15"/>
  <c r="C7" i="15"/>
  <c r="E22" i="14"/>
  <c r="F22" i="14"/>
  <c r="G22" i="14"/>
  <c r="H22" i="14"/>
  <c r="D22" i="14"/>
  <c r="E21" i="14"/>
  <c r="F21" i="14"/>
  <c r="G21" i="14"/>
  <c r="H21" i="14"/>
  <c r="D21" i="14"/>
  <c r="D20" i="14"/>
  <c r="E19" i="14"/>
  <c r="F19" i="14"/>
  <c r="G19" i="14"/>
  <c r="H19" i="14"/>
  <c r="H20" i="14" s="1"/>
  <c r="D19" i="14"/>
  <c r="E20" i="14"/>
  <c r="F20" i="14"/>
  <c r="G20" i="14"/>
  <c r="D18" i="14"/>
  <c r="E18" i="14"/>
  <c r="F18" i="14"/>
  <c r="G18" i="14"/>
  <c r="H18" i="14"/>
  <c r="C18" i="14"/>
  <c r="B13" i="14"/>
  <c r="C16" i="14"/>
  <c r="D15" i="14"/>
  <c r="D16" i="14" s="1"/>
  <c r="D17" i="14"/>
  <c r="E17" i="14" s="1"/>
  <c r="F17" i="14" s="1"/>
  <c r="G17" i="14" s="1"/>
  <c r="H17" i="14" s="1"/>
  <c r="B41" i="13"/>
  <c r="E39" i="13"/>
  <c r="B30" i="13"/>
  <c r="B19" i="13"/>
  <c r="E12" i="13"/>
  <c r="F12" i="13"/>
  <c r="G12" i="13"/>
  <c r="D12" i="13"/>
  <c r="E10" i="13"/>
  <c r="F10" i="13"/>
  <c r="G10" i="13"/>
  <c r="D10" i="13"/>
  <c r="D15" i="12"/>
  <c r="E9" i="13"/>
  <c r="F9" i="13"/>
  <c r="G9" i="13"/>
  <c r="D9" i="13"/>
  <c r="E8" i="13"/>
  <c r="F8" i="13"/>
  <c r="G8" i="13"/>
  <c r="D8" i="13"/>
  <c r="E4" i="13"/>
  <c r="F4" i="13" s="1"/>
  <c r="E5" i="13"/>
  <c r="D5" i="13"/>
  <c r="D4" i="13"/>
  <c r="C5" i="13"/>
  <c r="B41" i="12"/>
  <c r="B39" i="12"/>
  <c r="D35" i="12"/>
  <c r="D34" i="12"/>
  <c r="D32" i="12"/>
  <c r="D30" i="12"/>
  <c r="D29" i="12"/>
  <c r="D25" i="12"/>
  <c r="G20" i="12"/>
  <c r="E24" i="12"/>
  <c r="F24" i="12"/>
  <c r="G24" i="12"/>
  <c r="D24" i="12"/>
  <c r="E18" i="12"/>
  <c r="F18" i="12"/>
  <c r="G18" i="12"/>
  <c r="D18" i="12"/>
  <c r="E15" i="12"/>
  <c r="F15" i="12"/>
  <c r="G15" i="12"/>
  <c r="E12" i="12"/>
  <c r="E14" i="12" s="1"/>
  <c r="F12" i="12"/>
  <c r="F14" i="12" s="1"/>
  <c r="G12" i="12"/>
  <c r="G14" i="12" s="1"/>
  <c r="D12" i="12"/>
  <c r="D14" i="12" s="1"/>
  <c r="C9" i="12"/>
  <c r="C22" i="12" s="1"/>
  <c r="C20" i="11"/>
  <c r="C19" i="11"/>
  <c r="H18" i="11"/>
  <c r="E13" i="11"/>
  <c r="F13" i="11"/>
  <c r="G13" i="11"/>
  <c r="H13" i="11"/>
  <c r="H15" i="11" s="1"/>
  <c r="C16" i="11" s="1"/>
  <c r="D13" i="11"/>
  <c r="G15" i="11"/>
  <c r="G14" i="11"/>
  <c r="E15" i="11"/>
  <c r="F15" i="11"/>
  <c r="D15" i="11"/>
  <c r="E14" i="11"/>
  <c r="F14" i="11"/>
  <c r="H14" i="11"/>
  <c r="C14" i="11"/>
  <c r="D14" i="11"/>
  <c r="E12" i="11"/>
  <c r="F12" i="11"/>
  <c r="G12" i="11"/>
  <c r="H12" i="11"/>
  <c r="D12" i="11"/>
  <c r="E10" i="11"/>
  <c r="F10" i="11" s="1"/>
  <c r="D10" i="11"/>
  <c r="D7" i="11"/>
  <c r="E7" i="11" s="1"/>
  <c r="F7" i="11" s="1"/>
  <c r="G7" i="11" s="1"/>
  <c r="H7" i="11" s="1"/>
  <c r="D6" i="11"/>
  <c r="E6" i="11" s="1"/>
  <c r="F6" i="11" s="1"/>
  <c r="G6" i="11" s="1"/>
  <c r="H6" i="11" s="1"/>
  <c r="C15" i="10"/>
  <c r="C13" i="10"/>
  <c r="E12" i="10"/>
  <c r="D12" i="10"/>
  <c r="D11" i="10"/>
  <c r="E11" i="10"/>
  <c r="F11" i="10"/>
  <c r="G11" i="10"/>
  <c r="H11" i="10"/>
  <c r="C11" i="10"/>
  <c r="E10" i="10"/>
  <c r="F10" i="10"/>
  <c r="G10" i="10"/>
  <c r="H10" i="10"/>
  <c r="D10" i="10"/>
  <c r="D8" i="10"/>
  <c r="E8" i="10" s="1"/>
  <c r="F8" i="10" s="1"/>
  <c r="G8" i="10" s="1"/>
  <c r="H8" i="10" s="1"/>
  <c r="E5" i="10"/>
  <c r="F5" i="10" s="1"/>
  <c r="G5" i="10" s="1"/>
  <c r="H5" i="10" s="1"/>
  <c r="A30" i="9"/>
  <c r="F27" i="9"/>
  <c r="E27" i="9"/>
  <c r="B24" i="9"/>
  <c r="B23" i="9"/>
  <c r="B22" i="9"/>
  <c r="B21" i="9"/>
  <c r="B19" i="9"/>
  <c r="C18" i="9"/>
  <c r="D18" i="9"/>
  <c r="B18" i="9"/>
  <c r="C17" i="9"/>
  <c r="D17" i="9"/>
  <c r="E17" i="9"/>
  <c r="F17" i="9"/>
  <c r="B17" i="9"/>
  <c r="D14" i="9"/>
  <c r="E14" i="9"/>
  <c r="F14" i="9"/>
  <c r="D15" i="9"/>
  <c r="E15" i="9"/>
  <c r="F15" i="9"/>
  <c r="C15" i="9"/>
  <c r="C14" i="9"/>
  <c r="D5" i="9"/>
  <c r="E5" i="9" s="1"/>
  <c r="F5" i="9" s="1"/>
  <c r="C5" i="9"/>
  <c r="D12" i="9"/>
  <c r="E12" i="9"/>
  <c r="F12" i="9"/>
  <c r="C12" i="9"/>
  <c r="B12" i="9"/>
  <c r="D11" i="9"/>
  <c r="E11" i="9"/>
  <c r="F11" i="9"/>
  <c r="C11" i="9"/>
  <c r="B11" i="9"/>
  <c r="D9" i="9"/>
  <c r="E9" i="9"/>
  <c r="F9" i="9"/>
  <c r="C9" i="9"/>
  <c r="B9" i="9"/>
  <c r="C17" i="8"/>
  <c r="C15" i="8"/>
  <c r="C13" i="8"/>
  <c r="C11" i="8"/>
  <c r="C9" i="8"/>
  <c r="D8" i="8"/>
  <c r="E8" i="8"/>
  <c r="C8" i="8"/>
  <c r="D7" i="8"/>
  <c r="E7" i="8"/>
  <c r="C7" i="8"/>
  <c r="D5" i="8"/>
  <c r="E5" i="8"/>
  <c r="C5" i="8"/>
  <c r="B30" i="7"/>
  <c r="B28" i="7"/>
  <c r="C19" i="7"/>
  <c r="C20" i="7"/>
  <c r="D15" i="7"/>
  <c r="D17" i="7"/>
  <c r="C15" i="7"/>
  <c r="C16" i="7"/>
  <c r="C17" i="7"/>
  <c r="C14" i="7"/>
  <c r="D13" i="7"/>
  <c r="D14" i="7" s="1"/>
  <c r="C8" i="7"/>
  <c r="C9" i="7"/>
  <c r="C10" i="7"/>
  <c r="C7" i="7"/>
  <c r="D28" i="6"/>
  <c r="C28" i="6"/>
  <c r="B25" i="6"/>
  <c r="D21" i="6"/>
  <c r="C21" i="6"/>
  <c r="B21" i="6"/>
  <c r="D19" i="6"/>
  <c r="D17" i="6"/>
  <c r="C21" i="5"/>
  <c r="C20" i="5"/>
  <c r="E17" i="5"/>
  <c r="E15" i="5"/>
  <c r="E16" i="5"/>
  <c r="E14" i="5"/>
  <c r="C15" i="5"/>
  <c r="C16" i="5"/>
  <c r="C14" i="5"/>
  <c r="D10" i="5"/>
  <c r="D11" i="5"/>
  <c r="C11" i="5"/>
  <c r="C10" i="5"/>
  <c r="D9" i="5"/>
  <c r="C9" i="5"/>
  <c r="B8" i="4"/>
  <c r="E8" i="4"/>
  <c r="D8" i="4"/>
  <c r="G9" i="4"/>
  <c r="G12" i="4"/>
  <c r="B5" i="4"/>
  <c r="C21" i="3"/>
  <c r="C20" i="3"/>
  <c r="C18" i="3"/>
  <c r="C10" i="3"/>
  <c r="C8" i="3"/>
  <c r="C5" i="3"/>
  <c r="D9" i="2"/>
  <c r="C6" i="2"/>
  <c r="B3" i="2"/>
  <c r="C25" i="1"/>
  <c r="C20" i="1"/>
  <c r="C10" i="1"/>
  <c r="C8" i="1"/>
  <c r="C4" i="1"/>
  <c r="E14" i="25" l="1"/>
  <c r="E18" i="25" s="1"/>
  <c r="H15" i="25"/>
  <c r="G15" i="25"/>
  <c r="G20" i="25"/>
  <c r="E21" i="25" s="1"/>
  <c r="F8" i="25"/>
  <c r="F17" i="25" s="1"/>
  <c r="F18" i="25" s="1"/>
  <c r="G7" i="25"/>
  <c r="H7" i="24"/>
  <c r="H8" i="24" s="1"/>
  <c r="G8" i="24"/>
  <c r="H5" i="19"/>
  <c r="H6" i="19" s="1"/>
  <c r="G6" i="19"/>
  <c r="E15" i="14"/>
  <c r="F15" i="14" s="1"/>
  <c r="G15" i="14" s="1"/>
  <c r="H15" i="14" s="1"/>
  <c r="H16" i="14" s="1"/>
  <c r="G16" i="14"/>
  <c r="F16" i="14"/>
  <c r="E16" i="14"/>
  <c r="F5" i="13"/>
  <c r="G4" i="13"/>
  <c r="G5" i="13" s="1"/>
  <c r="G16" i="12"/>
  <c r="G19" i="12"/>
  <c r="F16" i="12"/>
  <c r="F19" i="12"/>
  <c r="D19" i="12"/>
  <c r="D16" i="12"/>
  <c r="E19" i="12"/>
  <c r="E16" i="12"/>
  <c r="D8" i="12"/>
  <c r="D9" i="12" s="1"/>
  <c r="G10" i="11"/>
  <c r="H10" i="11" s="1"/>
  <c r="D16" i="7"/>
  <c r="E13" i="7"/>
  <c r="C27" i="1"/>
  <c r="F15" i="25" l="1"/>
  <c r="E19" i="25"/>
  <c r="D23" i="25" s="1"/>
  <c r="D24" i="25" s="1"/>
  <c r="D25" i="25" s="1"/>
  <c r="H7" i="25"/>
  <c r="H8" i="25" s="1"/>
  <c r="H17" i="25" s="1"/>
  <c r="H18" i="25" s="1"/>
  <c r="G8" i="25"/>
  <c r="G17" i="25" s="1"/>
  <c r="G18" i="25" s="1"/>
  <c r="E8" i="12"/>
  <c r="E9" i="12" s="1"/>
  <c r="D22" i="12"/>
  <c r="F13" i="7"/>
  <c r="E17" i="7"/>
  <c r="E14" i="7"/>
  <c r="E16" i="7"/>
  <c r="E15" i="7"/>
  <c r="E28" i="25" l="1"/>
  <c r="F8" i="12"/>
  <c r="F9" i="12" s="1"/>
  <c r="E22" i="12"/>
  <c r="G13" i="7"/>
  <c r="F17" i="7"/>
  <c r="F14" i="7"/>
  <c r="F16" i="7"/>
  <c r="F15" i="7"/>
  <c r="F22" i="12" l="1"/>
  <c r="G8" i="12"/>
  <c r="G15" i="7"/>
  <c r="H13" i="7"/>
  <c r="G14" i="7"/>
  <c r="G17" i="7"/>
  <c r="G16" i="7"/>
  <c r="G9" i="12" l="1"/>
  <c r="G22" i="12" s="1"/>
  <c r="H17" i="7"/>
  <c r="H15" i="7"/>
  <c r="H16" i="7"/>
  <c r="H14" i="7"/>
</calcChain>
</file>

<file path=xl/sharedStrings.xml><?xml version="1.0" encoding="utf-8"?>
<sst xmlns="http://schemas.openxmlformats.org/spreadsheetml/2006/main" count="502" uniqueCount="362">
  <si>
    <t>Shares</t>
  </si>
  <si>
    <t>Share Price</t>
  </si>
  <si>
    <t>Market Val</t>
  </si>
  <si>
    <t xml:space="preserve">Short debt </t>
  </si>
  <si>
    <t>Long term</t>
  </si>
  <si>
    <t>Debt</t>
  </si>
  <si>
    <t xml:space="preserve">Enterprise value </t>
  </si>
  <si>
    <t xml:space="preserve">Million </t>
  </si>
  <si>
    <t xml:space="preserve">Since HP is not in the business of trading debt like a bank. It should not taken as part of the interest value </t>
  </si>
  <si>
    <t>a</t>
  </si>
  <si>
    <t>b</t>
  </si>
  <si>
    <t xml:space="preserve">Debt assets </t>
  </si>
  <si>
    <t>Therefore, we retract the debt bearing asset and find the net debt</t>
  </si>
  <si>
    <t xml:space="preserve">a) </t>
  </si>
  <si>
    <t>Liabilities</t>
  </si>
  <si>
    <t xml:space="preserve">Assets </t>
  </si>
  <si>
    <t>CSE</t>
  </si>
  <si>
    <t xml:space="preserve">b) </t>
  </si>
  <si>
    <t xml:space="preserve">Net Income </t>
  </si>
  <si>
    <t>Total Expenses</t>
  </si>
  <si>
    <t>Revenue</t>
  </si>
  <si>
    <t>c)</t>
  </si>
  <si>
    <t>Dividend</t>
  </si>
  <si>
    <t>Ending Equity</t>
  </si>
  <si>
    <t>Beginning EQ</t>
  </si>
  <si>
    <t xml:space="preserve">Compre Inc </t>
  </si>
  <si>
    <t xml:space="preserve">Net Dividend </t>
  </si>
  <si>
    <t xml:space="preserve">d) </t>
  </si>
  <si>
    <t>As net income was 30 mill. 2 million was reported as "other comprehensive income" in the equity statement</t>
  </si>
  <si>
    <t xml:space="preserve">If there no share issurs or stock repurcheses, I must asume the dividend paid out is 12 million </t>
  </si>
  <si>
    <t xml:space="preserve">First </t>
  </si>
  <si>
    <t>Sales</t>
  </si>
  <si>
    <t xml:space="preserve">Cost of goods sold </t>
  </si>
  <si>
    <t xml:space="preserve">Gross margin </t>
  </si>
  <si>
    <t xml:space="preserve">Selling expenses </t>
  </si>
  <si>
    <t>R&amp;D</t>
  </si>
  <si>
    <t xml:space="preserve">Operating Income </t>
  </si>
  <si>
    <t xml:space="preserve">Income Taxes </t>
  </si>
  <si>
    <t>Net loos/gain</t>
  </si>
  <si>
    <t>We note that the R&amp;D has been expensed as incurred</t>
  </si>
  <si>
    <t>Secondly, the CSE</t>
  </si>
  <si>
    <t xml:space="preserve">Beginning EQ </t>
  </si>
  <si>
    <t>Share issue</t>
  </si>
  <si>
    <t>Dividends Payout</t>
  </si>
  <si>
    <t xml:space="preserve">Net loss </t>
  </si>
  <si>
    <t>Other Compre Inc</t>
  </si>
  <si>
    <t>Net Loss a. Compre</t>
  </si>
  <si>
    <t>End EQ</t>
  </si>
  <si>
    <t>Taxes are negative, because income is negative(a loss). A loss yields a tax benefit that the firm can carry forward to reduce future taxes</t>
  </si>
  <si>
    <t xml:space="preserve">Revenue </t>
  </si>
  <si>
    <t>Expenses</t>
  </si>
  <si>
    <t>Compre Inc</t>
  </si>
  <si>
    <t>Begin EQ</t>
  </si>
  <si>
    <t xml:space="preserve">First we check for any mistake </t>
  </si>
  <si>
    <t xml:space="preserve">Shareholder </t>
  </si>
  <si>
    <t xml:space="preserve">Liabilities </t>
  </si>
  <si>
    <t>Compre</t>
  </si>
  <si>
    <t xml:space="preserve">Net dividend </t>
  </si>
  <si>
    <t>Comprehensive</t>
  </si>
  <si>
    <t>Sum</t>
  </si>
  <si>
    <t>Reveue</t>
  </si>
  <si>
    <t>Issues</t>
  </si>
  <si>
    <t>Repurchases</t>
  </si>
  <si>
    <t xml:space="preserve">Dividends </t>
  </si>
  <si>
    <t xml:space="preserve">Because the Shareholders Equity does not stem </t>
  </si>
  <si>
    <t>There must be a mistake</t>
  </si>
  <si>
    <t xml:space="preserve">Dell </t>
  </si>
  <si>
    <t xml:space="preserve">Lenovo </t>
  </si>
  <si>
    <t xml:space="preserve">Earnings </t>
  </si>
  <si>
    <t xml:space="preserve">Book </t>
  </si>
  <si>
    <t>Price/Sales</t>
  </si>
  <si>
    <t>P/E</t>
  </si>
  <si>
    <t>P/B</t>
  </si>
  <si>
    <t>Average Multi</t>
  </si>
  <si>
    <t xml:space="preserve">Dells </t>
  </si>
  <si>
    <t>Dell's Val</t>
  </si>
  <si>
    <t xml:space="preserve">Dell has 2060 million shares </t>
  </si>
  <si>
    <t xml:space="preserve">Share price </t>
  </si>
  <si>
    <t xml:space="preserve">Shares </t>
  </si>
  <si>
    <t>Share price</t>
  </si>
  <si>
    <t xml:space="preserve">Some encountered issues </t>
  </si>
  <si>
    <t xml:space="preserve">The "Comparables" are not exactly like Dell. They have different aspects to their operations. </t>
  </si>
  <si>
    <t>One fim may be dominant in an industry, and thus not a comparable for others</t>
  </si>
  <si>
    <t xml:space="preserve">The calculation assumes the market prices for the comps as efficient </t>
  </si>
  <si>
    <t xml:space="preserve">Not a good way to weight the three valuation based on sales. </t>
  </si>
  <si>
    <t>a)</t>
  </si>
  <si>
    <t xml:space="preserve">New shares </t>
  </si>
  <si>
    <t xml:space="preserve">New S. Price </t>
  </si>
  <si>
    <t xml:space="preserve">This depends. If the shares are issued at market price, nothing will happen. </t>
  </si>
  <si>
    <t xml:space="preserve">If the shares are issued at less than market price, then the value of the shareholders shrinkens </t>
  </si>
  <si>
    <t>b)</t>
  </si>
  <si>
    <t xml:space="preserve">Total val of equity prior to exercise </t>
  </si>
  <si>
    <t xml:space="preserve">Value of share issue through exercise </t>
  </si>
  <si>
    <t xml:space="preserve">Total val of equity after exercise </t>
  </si>
  <si>
    <t xml:space="preserve">Shares outstanding after the exercise </t>
  </si>
  <si>
    <t xml:space="preserve">Price per share </t>
  </si>
  <si>
    <t xml:space="preserve">The old share price was 62 </t>
  </si>
  <si>
    <t xml:space="preserve">Thus the shareholders lose </t>
  </si>
  <si>
    <t xml:space="preserve">The CAPM equity cost of capital is guven by </t>
  </si>
  <si>
    <t>Cost of Cap</t>
  </si>
  <si>
    <t>Risk-free</t>
  </si>
  <si>
    <t>Beta</t>
  </si>
  <si>
    <t xml:space="preserve">Market risk </t>
  </si>
  <si>
    <t>Market prem</t>
  </si>
  <si>
    <t xml:space="preserve">Cost of capital </t>
  </si>
  <si>
    <t>Min</t>
  </si>
  <si>
    <t>Max</t>
  </si>
  <si>
    <t xml:space="preserve">Forecasted price in May 2012 </t>
  </si>
  <si>
    <t>2,17 * 20 = 43,40</t>
  </si>
  <si>
    <t xml:space="preserve">Forecasted, cum dividend(Total Payoff) </t>
  </si>
  <si>
    <t>43,40+0,24=</t>
  </si>
  <si>
    <t>Present val at 8,05%</t>
  </si>
  <si>
    <t>Present val at 16,6%</t>
  </si>
  <si>
    <t>We note that the current value is the present value of the total payoff one year. Hence that is, the cum-dividend price one year</t>
  </si>
  <si>
    <t>CF Oper</t>
  </si>
  <si>
    <t>CF Invest</t>
  </si>
  <si>
    <t>FCF</t>
  </si>
  <si>
    <t xml:space="preserve">Discount rate </t>
  </si>
  <si>
    <t xml:space="preserve">PV </t>
  </si>
  <si>
    <t xml:space="preserve">Total PV </t>
  </si>
  <si>
    <t xml:space="preserve">Continuing value </t>
  </si>
  <si>
    <t xml:space="preserve">Asummed Growth </t>
  </si>
  <si>
    <t xml:space="preserve">We then find the PV of this </t>
  </si>
  <si>
    <t>PV of CV</t>
  </si>
  <si>
    <t>The EV is then PV+CV</t>
  </si>
  <si>
    <t xml:space="preserve">The value of equity is </t>
  </si>
  <si>
    <t>Net debt</t>
  </si>
  <si>
    <t xml:space="preserve">Dicount </t>
  </si>
  <si>
    <t>Earnings</t>
  </si>
  <si>
    <t>ROCE</t>
  </si>
  <si>
    <t>Residual Earn</t>
  </si>
  <si>
    <t>Book Val</t>
  </si>
  <si>
    <t>Growth Book</t>
  </si>
  <si>
    <t>Growth RE</t>
  </si>
  <si>
    <t>PV of RE</t>
  </si>
  <si>
    <t>Discount</t>
  </si>
  <si>
    <t>Sum PV</t>
  </si>
  <si>
    <t>CV</t>
  </si>
  <si>
    <t xml:space="preserve">Value of EQ </t>
  </si>
  <si>
    <t>d)</t>
  </si>
  <si>
    <t>The premium per share basis is 5962,90-4310</t>
  </si>
  <si>
    <t>Divided by shares</t>
  </si>
  <si>
    <t xml:space="preserve">The P/B ratio is </t>
  </si>
  <si>
    <t>EPS</t>
  </si>
  <si>
    <t>DPS</t>
  </si>
  <si>
    <t>BPS</t>
  </si>
  <si>
    <t xml:space="preserve">WACC </t>
  </si>
  <si>
    <t>RE</t>
  </si>
  <si>
    <t xml:space="preserve">Discounting </t>
  </si>
  <si>
    <t xml:space="preserve">Discount </t>
  </si>
  <si>
    <t xml:space="preserve">The value is </t>
  </si>
  <si>
    <t xml:space="preserve">c) </t>
  </si>
  <si>
    <t xml:space="preserve">As residuals earning are expected to be 0 after 2017, the equity is expected to be worth its book value of $35,40 at that point in time </t>
  </si>
  <si>
    <t xml:space="preserve">The expected premium at 2017 is 0, because the residual income is expected to be 0. </t>
  </si>
  <si>
    <t xml:space="preserve">Growth </t>
  </si>
  <si>
    <t xml:space="preserve">Nike share </t>
  </si>
  <si>
    <t>Discounted</t>
  </si>
  <si>
    <t xml:space="preserve">CV </t>
  </si>
  <si>
    <t>Value per share</t>
  </si>
  <si>
    <t>Therefore, trading Nike at 60 per share seems fairly reasonable.</t>
  </si>
  <si>
    <t xml:space="preserve">Discout </t>
  </si>
  <si>
    <t>Dividends</t>
  </si>
  <si>
    <t>Reinvested Dividends</t>
  </si>
  <si>
    <t xml:space="preserve">Cum-div earnings </t>
  </si>
  <si>
    <t>Normal earnings</t>
  </si>
  <si>
    <t>AEG</t>
  </si>
  <si>
    <t>Abnormal Earnings</t>
  </si>
  <si>
    <t>Earnings growth</t>
  </si>
  <si>
    <t>Cum-Div Growth</t>
  </si>
  <si>
    <t>PV of AEG</t>
  </si>
  <si>
    <t>AEG growth</t>
  </si>
  <si>
    <t>The growth rate of AEG after 2015 is 5%. We assume this rate will continue into the future</t>
  </si>
  <si>
    <t>Sum of first 2</t>
  </si>
  <si>
    <t>Thus value is</t>
  </si>
  <si>
    <t xml:space="preserve">The value of equity is then: </t>
  </si>
  <si>
    <t>This divided by shares</t>
  </si>
  <si>
    <t>The forward price earning can be calculated as price over earnings</t>
  </si>
  <si>
    <t xml:space="preserve">The normal P/E is </t>
  </si>
  <si>
    <t>Cost of capital</t>
  </si>
  <si>
    <t>Reinvested Divs</t>
  </si>
  <si>
    <t>Cum-Div earnings</t>
  </si>
  <si>
    <t>Abnormal</t>
  </si>
  <si>
    <t xml:space="preserve">As the AEG is forecasted to be negative after 2015, the valuation is based on forecasted AEG up until 2015 </t>
  </si>
  <si>
    <t xml:space="preserve">The expected trailing P/E for 2017 must be normal if abnormal growth is expected to continue to be 0 after 2017. </t>
  </si>
  <si>
    <t>The normal trailing P/E for a required return of 12% is 1,12/0,12</t>
  </si>
  <si>
    <t>Therefore</t>
  </si>
  <si>
    <t>But we need to find it ex-dividend, and we know the dividend is 1</t>
  </si>
  <si>
    <t>req return</t>
  </si>
  <si>
    <t>Based solely on the earnings per share we can find the CV</t>
  </si>
  <si>
    <t xml:space="preserve">Therefore, the share should be worth </t>
  </si>
  <si>
    <t>Cum-Div-Earn</t>
  </si>
  <si>
    <t>Reinvested at 10%</t>
  </si>
  <si>
    <t>Normal</t>
  </si>
  <si>
    <t>b+c)</t>
  </si>
  <si>
    <t>With the abnormal earnigs growth forecasted after the forward year, the stock should be worth more than capitalized forward earnings of 53</t>
  </si>
  <si>
    <t>Return on Common Equity(ROCE)</t>
  </si>
  <si>
    <t xml:space="preserve">We start by finding the comprehensive income: </t>
  </si>
  <si>
    <t>Begin Eq</t>
  </si>
  <si>
    <t>Net dividend</t>
  </si>
  <si>
    <t>End Eq</t>
  </si>
  <si>
    <t>This applies the stocks and flow equation underlying the reformulated equity statement. The net</t>
  </si>
  <si>
    <t>dividend is negative, that is share issues are in excess on cash paid out in dividends and share</t>
  </si>
  <si>
    <t>repurchases.</t>
  </si>
  <si>
    <t xml:space="preserve">This applies the stocks and flows equation underlying the reformulated equity statement. </t>
  </si>
  <si>
    <t>The net dividend is negative, because the shares issued are in excess on cash paid out in dividends and share repur</t>
  </si>
  <si>
    <t xml:space="preserve">The ROCE is then Inc over Eq, thus: </t>
  </si>
  <si>
    <t>Beginning CSE is used in the denominator because the share issue was at the end of the year. If the</t>
  </si>
  <si>
    <t>share issue was half way through the year, use average CSE in the denominator]</t>
  </si>
  <si>
    <t xml:space="preserve">Beginning CSE is used in the denominator because the share issue was at the end of the year. </t>
  </si>
  <si>
    <t>If the share issue is located halfway through, then we should use average CSE in the denominator</t>
  </si>
  <si>
    <t xml:space="preserve">CSE </t>
  </si>
  <si>
    <t xml:space="preserve">Permium </t>
  </si>
  <si>
    <t xml:space="preserve">Balance </t>
  </si>
  <si>
    <t>Balance Begin</t>
  </si>
  <si>
    <t xml:space="preserve">Balance End </t>
  </si>
  <si>
    <t>The difference between these two must be the net Income</t>
  </si>
  <si>
    <t>Net Income</t>
  </si>
  <si>
    <t>Net trancsactions with shareholders</t>
  </si>
  <si>
    <t xml:space="preserve">Comprehensive Income </t>
  </si>
  <si>
    <t>Unrealized gains</t>
  </si>
  <si>
    <t>Translation Loss</t>
  </si>
  <si>
    <t>Preffered Divi</t>
  </si>
  <si>
    <t>End Balance</t>
  </si>
  <si>
    <t xml:space="preserve">Therfore, we can see that the comprehensive Income is 1057 </t>
  </si>
  <si>
    <t>Expense before taxes</t>
  </si>
  <si>
    <t xml:space="preserve">Tax espense </t>
  </si>
  <si>
    <t>Operating income before taxes</t>
  </si>
  <si>
    <t>Income tax before tax</t>
  </si>
  <si>
    <t xml:space="preserve">By setting this under the tax expense, we get the effective tax rate: </t>
  </si>
  <si>
    <t xml:space="preserve">Thus </t>
  </si>
  <si>
    <t>%</t>
  </si>
  <si>
    <t xml:space="preserve">Tax on Operating Income </t>
  </si>
  <si>
    <t xml:space="preserve">Tax benefit on interest </t>
  </si>
  <si>
    <t xml:space="preserve">Tax rate </t>
  </si>
  <si>
    <t>Operating Income After tax</t>
  </si>
  <si>
    <t xml:space="preserve">Effective tax rate on operatin income </t>
  </si>
  <si>
    <t xml:space="preserve">Interest Income </t>
  </si>
  <si>
    <t>Interest Expense</t>
  </si>
  <si>
    <t>Net Interest</t>
  </si>
  <si>
    <t>Tax shield</t>
  </si>
  <si>
    <t>Operating Cash</t>
  </si>
  <si>
    <t>Accounts Receiveable</t>
  </si>
  <si>
    <t>Inventory</t>
  </si>
  <si>
    <t>PPE</t>
  </si>
  <si>
    <t xml:space="preserve">Operating Assets </t>
  </si>
  <si>
    <t xml:space="preserve">Operating Liabilities </t>
  </si>
  <si>
    <t>Accounts payable</t>
  </si>
  <si>
    <t>Accrued Liabilities</t>
  </si>
  <si>
    <t>NOA</t>
  </si>
  <si>
    <t>Net Operating Assets(NOA)</t>
  </si>
  <si>
    <t>Net financial obligations(NFO)</t>
  </si>
  <si>
    <t xml:space="preserve">Short-term investments </t>
  </si>
  <si>
    <t>Long-term debt</t>
  </si>
  <si>
    <t>NFO</t>
  </si>
  <si>
    <t>Balance 2011</t>
  </si>
  <si>
    <t>Net transactions with shareholders</t>
  </si>
  <si>
    <t>Share rephur</t>
  </si>
  <si>
    <t>NET</t>
  </si>
  <si>
    <t xml:space="preserve">Unrealized gains </t>
  </si>
  <si>
    <t>Balance 2012</t>
  </si>
  <si>
    <t>RR</t>
  </si>
  <si>
    <t>Operating Income(OI)</t>
  </si>
  <si>
    <t>RNOA</t>
  </si>
  <si>
    <t>ReOI</t>
  </si>
  <si>
    <t>Discount rate</t>
  </si>
  <si>
    <t>PV of ReOI</t>
  </si>
  <si>
    <t>Total PV</t>
  </si>
  <si>
    <t>Value of NOA</t>
  </si>
  <si>
    <t xml:space="preserve">Book value of NFO </t>
  </si>
  <si>
    <t>Value of equity</t>
  </si>
  <si>
    <t xml:space="preserve">The earnings growth is about 0,07 </t>
  </si>
  <si>
    <t>NFA</t>
  </si>
  <si>
    <t>Income</t>
  </si>
  <si>
    <t>OI</t>
  </si>
  <si>
    <t>NFE</t>
  </si>
  <si>
    <t>Levered P/B is Market Val over CSE</t>
  </si>
  <si>
    <t xml:space="preserve">Thus we find CSE </t>
  </si>
  <si>
    <t xml:space="preserve">Then the PB-ratio </t>
  </si>
  <si>
    <t>The unlevered P/B is Market val over CSE minues NFA</t>
  </si>
  <si>
    <t xml:space="preserve">Therefore, we deduct these for both sides: </t>
  </si>
  <si>
    <t>Market val without NFA</t>
  </si>
  <si>
    <t>The unlevered P/B is thus</t>
  </si>
  <si>
    <t>OI for 2005</t>
  </si>
  <si>
    <t>ReOI 2005</t>
  </si>
  <si>
    <t>e)</t>
  </si>
  <si>
    <t xml:space="preserve">Growth rate </t>
  </si>
  <si>
    <t xml:space="preserve">Value </t>
  </si>
  <si>
    <t xml:space="preserve">This is around 5 dollars lower than the current price. </t>
  </si>
  <si>
    <t>Growth</t>
  </si>
  <si>
    <t>Payout</t>
  </si>
  <si>
    <t>Dividende</t>
  </si>
  <si>
    <t>PV af ReOI</t>
  </si>
  <si>
    <t>PV sum</t>
  </si>
  <si>
    <t>Terminalværdien</t>
  </si>
  <si>
    <t>Værdi per aktie</t>
  </si>
  <si>
    <t xml:space="preserve">Tidligere </t>
  </si>
  <si>
    <t>Dividender</t>
  </si>
  <si>
    <t>Cum-dividend</t>
  </si>
  <si>
    <t>Værdiansættelse ved nul vækst</t>
  </si>
  <si>
    <t>Værdi</t>
  </si>
  <si>
    <t>Den fundamentale P/E</t>
  </si>
  <si>
    <t xml:space="preserve">Pris over Earning </t>
  </si>
  <si>
    <t xml:space="preserve">Derfor </t>
  </si>
  <si>
    <t>ærdien i tilfældet med nul-vækst (42,96) er højere end markedsprisen (36,45). Ifald du ude i</t>
  </si>
  <si>
    <t>fremtiden ser vækst i overnormale overskud er aktien så afgjort undervurderet</t>
  </si>
  <si>
    <t xml:space="preserve">Værdien i tilfældet med nul-vækst er højere end markedsprisen. Ser man vækst i det abnormale profit, så er denne aktie stærkt </t>
  </si>
  <si>
    <t>undervurderet</t>
  </si>
  <si>
    <t>Normal forward P/E</t>
  </si>
  <si>
    <t>1/Ejerens afkastkrav</t>
  </si>
  <si>
    <t xml:space="preserve">Antal aktier </t>
  </si>
  <si>
    <t>Net Overskud</t>
  </si>
  <si>
    <t>Cum-Dividend</t>
  </si>
  <si>
    <t>gAEG</t>
  </si>
  <si>
    <t>df</t>
  </si>
  <si>
    <t>PV AEG</t>
  </si>
  <si>
    <t>PV sum17-18</t>
  </si>
  <si>
    <t>Terminal(TV)</t>
  </si>
  <si>
    <t>PV TV</t>
  </si>
  <si>
    <t>Value</t>
  </si>
  <si>
    <t>Aktie pris</t>
  </si>
  <si>
    <t>Forward P/E</t>
  </si>
  <si>
    <t>værdi</t>
  </si>
  <si>
    <t>Normal P/E</t>
  </si>
  <si>
    <t xml:space="preserve">Skat </t>
  </si>
  <si>
    <t xml:space="preserve">Årets resultat </t>
  </si>
  <si>
    <t>Reguleringer</t>
  </si>
  <si>
    <t>Varebeholdning</t>
  </si>
  <si>
    <t xml:space="preserve">Tilodehavende </t>
  </si>
  <si>
    <t>Leverandørgæld</t>
  </si>
  <si>
    <t xml:space="preserve">Pengestrømme fra drifts </t>
  </si>
  <si>
    <t>Renteinbetalinger</t>
  </si>
  <si>
    <t>Renteudbetalinger</t>
  </si>
  <si>
    <t>Betalteselskabskatter</t>
  </si>
  <si>
    <t>Køb af immatrielle aktiver</t>
  </si>
  <si>
    <t>Køb af matrielle aktiver</t>
  </si>
  <si>
    <t>Salg af matrielle aktiver</t>
  </si>
  <si>
    <t>Køb af værdipapirer</t>
  </si>
  <si>
    <t xml:space="preserve">Salg af værdipapirer </t>
  </si>
  <si>
    <t xml:space="preserve">Køb af egene aktier </t>
  </si>
  <si>
    <t>Provenue</t>
  </si>
  <si>
    <t>afdrag</t>
  </si>
  <si>
    <t>Pengestrømme fra investeringsaktivitet</t>
  </si>
  <si>
    <t>Udbetalt udbytte</t>
  </si>
  <si>
    <t>Nettorente</t>
  </si>
  <si>
    <t>Skat af dette</t>
  </si>
  <si>
    <t>Dette fratrækkes fra C</t>
  </si>
  <si>
    <t>Korrigeret C</t>
  </si>
  <si>
    <t>Pengestrømme fra driftsaktiviteter</t>
  </si>
  <si>
    <t>Aktiesalg</t>
  </si>
  <si>
    <t>Dette trækkes fra I</t>
  </si>
  <si>
    <t xml:space="preserve">Herved bliver det "rigtige" CF </t>
  </si>
  <si>
    <t>B)</t>
  </si>
  <si>
    <t>Nettogældsfinansiering</t>
  </si>
  <si>
    <t>Provenue ved langfristet lånoptagelse</t>
  </si>
  <si>
    <t xml:space="preserve">Afdrag på lån </t>
  </si>
  <si>
    <t xml:space="preserve">Nettorente efter skat </t>
  </si>
  <si>
    <t>Netto aktiesalg</t>
  </si>
  <si>
    <t>Ændring i finansielle aktiver likivkder</t>
  </si>
  <si>
    <t>Nettodividedende</t>
  </si>
  <si>
    <t>Repur</t>
  </si>
  <si>
    <t xml:space="preserve">Hvilket er lig med CF fra operating. </t>
  </si>
  <si>
    <t>Herved holder ligningen F+D=C-I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</si>
</sst>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9" formatCode="0.0000"/>
    <numFmt numFmtId="170" formatCode="0.000"/>
    <numFmt numFmtId="171" formatCode="0.0"/>
  </numFmts>
  <fonts count="5" x14ac:knownFonts="1">
    <font>
      <sz val="12"/>
      <color theme="1"/>
      <name val="Aptos Narrow"/>
      <family val="2"/>
      <scheme val="minor"/>
    </font>
    <font>
      <sz val="18"/>
      <color rgb="FF000000"/>
      <name val="Arial"/>
      <family val="2"/>
    </font>
    <font>
      <sz val="18"/>
      <color theme="1"/>
      <name val="Arial"/>
      <family val="2"/>
    </font>
    <font>
      <i/>
      <sz val="12"/>
      <color theme="1"/>
      <name val="Aptos Narrow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9" fontId="0" fillId="0" borderId="0" xfId="0" applyNumberFormat="1"/>
    <xf numFmtId="170" fontId="0" fillId="0" borderId="0" xfId="0" applyNumberFormat="1"/>
    <xf numFmtId="2" fontId="0" fillId="0" borderId="0" xfId="0" applyNumberFormat="1"/>
    <xf numFmtId="171" fontId="0" fillId="0" borderId="0" xfId="0" applyNumberFormat="1"/>
    <xf numFmtId="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NumberFormat="1"/>
    <xf numFmtId="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29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88900</xdr:colOff>
      <xdr:row>3</xdr:row>
      <xdr:rowOff>101600</xdr:rowOff>
    </xdr:from>
    <xdr:to>
      <xdr:col>20</xdr:col>
      <xdr:colOff>203200</xdr:colOff>
      <xdr:row>30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754F00-F6D6-F0F1-57DA-2AA394ED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0" y="711200"/>
          <a:ext cx="7543800" cy="5549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177800</xdr:colOff>
      <xdr:row>1</xdr:row>
      <xdr:rowOff>88900</xdr:rowOff>
    </xdr:from>
    <xdr:to>
      <xdr:col>19</xdr:col>
      <xdr:colOff>355600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94AC4-F93D-2A5A-BD75-847E5E066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2800" y="292100"/>
          <a:ext cx="7607300" cy="293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495300</xdr:colOff>
      <xdr:row>6</xdr:row>
      <xdr:rowOff>38100</xdr:rowOff>
    </xdr:from>
    <xdr:to>
      <xdr:col>19</xdr:col>
      <xdr:colOff>635000</xdr:colOff>
      <xdr:row>23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AFDCC0-87E2-DEF2-E681-A8D685E5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1257300"/>
          <a:ext cx="7569200" cy="350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4</xdr:row>
      <xdr:rowOff>165100</xdr:rowOff>
    </xdr:from>
    <xdr:to>
      <xdr:col>19</xdr:col>
      <xdr:colOff>812800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4E51C-4921-C546-1871-F52B95E7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4800" y="977900"/>
          <a:ext cx="7302500" cy="349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215900</xdr:colOff>
      <xdr:row>0</xdr:row>
      <xdr:rowOff>177800</xdr:rowOff>
    </xdr:from>
    <xdr:to>
      <xdr:col>19</xdr:col>
      <xdr:colOff>177800</xdr:colOff>
      <xdr:row>23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2C77AC-778F-F19A-5BEC-15C24B5E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0900" y="177800"/>
          <a:ext cx="7391400" cy="4635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469900</xdr:colOff>
      <xdr:row>0</xdr:row>
      <xdr:rowOff>101600</xdr:rowOff>
    </xdr:from>
    <xdr:to>
      <xdr:col>20</xdr:col>
      <xdr:colOff>482600</xdr:colOff>
      <xdr:row>10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FE2075-8B9C-5B77-E75B-F7536A8C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0400" y="101600"/>
          <a:ext cx="7442200" cy="2057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660400</xdr:colOff>
      <xdr:row>6</xdr:row>
      <xdr:rowOff>190500</xdr:rowOff>
    </xdr:from>
    <xdr:to>
      <xdr:col>20</xdr:col>
      <xdr:colOff>558800</xdr:colOff>
      <xdr:row>26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A51D88-8124-D133-2991-17CF7A4D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00" y="1409700"/>
          <a:ext cx="7327900" cy="398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5</xdr:row>
      <xdr:rowOff>76200</xdr:rowOff>
    </xdr:from>
    <xdr:to>
      <xdr:col>19</xdr:col>
      <xdr:colOff>215900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82517-05C5-A411-F2BB-1A93DAEE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9800" y="1092200"/>
          <a:ext cx="7340600" cy="265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18</xdr:row>
      <xdr:rowOff>114300</xdr:rowOff>
    </xdr:from>
    <xdr:to>
      <xdr:col>14</xdr:col>
      <xdr:colOff>584200</xdr:colOff>
      <xdr:row>21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E6A6-3BAA-CFE5-4CF2-A120E044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3771900"/>
          <a:ext cx="3873500" cy="660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139700</xdr:rowOff>
    </xdr:from>
    <xdr:to>
      <xdr:col>20</xdr:col>
      <xdr:colOff>228600</xdr:colOff>
      <xdr:row>11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47F29-05BE-C504-B22B-4558570D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139700"/>
          <a:ext cx="6642100" cy="21717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279400</xdr:colOff>
      <xdr:row>11</xdr:row>
      <xdr:rowOff>38100</xdr:rowOff>
    </xdr:from>
    <xdr:to>
      <xdr:col>20</xdr:col>
      <xdr:colOff>165100</xdr:colOff>
      <xdr:row>19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C8DAA8-A368-0CED-C919-4D6F50D8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5400" y="2273300"/>
          <a:ext cx="6489700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</xdr:row>
      <xdr:rowOff>50800</xdr:rowOff>
    </xdr:from>
    <xdr:to>
      <xdr:col>11</xdr:col>
      <xdr:colOff>355600</xdr:colOff>
      <xdr:row>4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0CF6E0-C549-CB61-75A7-59438F74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4600" y="254000"/>
          <a:ext cx="438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</xdr:row>
      <xdr:rowOff>198558</xdr:rowOff>
    </xdr:from>
    <xdr:to>
      <xdr:col>11</xdr:col>
      <xdr:colOff>723900</xdr:colOff>
      <xdr:row>6</xdr:row>
      <xdr:rowOff>151445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0F9D76-7429-399E-E473-88A88BE59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6500" y="1011358"/>
          <a:ext cx="4787900" cy="3592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165100</xdr:colOff>
      <xdr:row>6</xdr:row>
      <xdr:rowOff>0</xdr:rowOff>
    </xdr:from>
    <xdr:to>
      <xdr:col>21</xdr:col>
      <xdr:colOff>215900</xdr:colOff>
      <xdr:row>22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B2C1F6-A26E-49BC-5A66-6A562604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1100" y="1219200"/>
          <a:ext cx="74803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2</xdr:row>
      <xdr:rowOff>88900</xdr:rowOff>
    </xdr:from>
    <xdr:to>
      <xdr:col>13</xdr:col>
      <xdr:colOff>215900</xdr:colOff>
      <xdr:row>4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8D50FA-B617-C9BD-86C5-30585E113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0" y="495300"/>
          <a:ext cx="4165600" cy="482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5</xdr:row>
      <xdr:rowOff>127000</xdr:rowOff>
    </xdr:from>
    <xdr:to>
      <xdr:col>20</xdr:col>
      <xdr:colOff>647700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B73245-5234-48BB-65FE-9759D54A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5300" y="1143000"/>
          <a:ext cx="7772400" cy="2400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17</xdr:row>
      <xdr:rowOff>177800</xdr:rowOff>
    </xdr:from>
    <xdr:to>
      <xdr:col>16</xdr:col>
      <xdr:colOff>533400</xdr:colOff>
      <xdr:row>20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99D3E3-39A9-C040-A290-162FF1E2F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9900" y="3632200"/>
          <a:ext cx="4381500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20</xdr:row>
      <xdr:rowOff>114300</xdr:rowOff>
    </xdr:from>
    <xdr:to>
      <xdr:col>17</xdr:col>
      <xdr:colOff>0</xdr:colOff>
      <xdr:row>22</xdr:row>
      <xdr:rowOff>67187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861DC5-89D3-124F-B7D5-29E62699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5600" y="4178300"/>
          <a:ext cx="4787900" cy="3592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622300</xdr:colOff>
      <xdr:row>5</xdr:row>
      <xdr:rowOff>177800</xdr:rowOff>
    </xdr:from>
    <xdr:to>
      <xdr:col>20</xdr:col>
      <xdr:colOff>673100</xdr:colOff>
      <xdr:row>24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94C1CA-5224-C6A2-D94B-800575D6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8300" y="1193800"/>
          <a:ext cx="6654800" cy="3733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723900</xdr:colOff>
      <xdr:row>6</xdr:row>
      <xdr:rowOff>165100</xdr:rowOff>
    </xdr:from>
    <xdr:to>
      <xdr:col>21</xdr:col>
      <xdr:colOff>114300</xdr:colOff>
      <xdr:row>25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B5CDE9-C0D7-D220-1136-83C656A1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04400" y="1384300"/>
          <a:ext cx="7645400" cy="3721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20</xdr:row>
      <xdr:rowOff>63500</xdr:rowOff>
    </xdr:from>
    <xdr:to>
      <xdr:col>5</xdr:col>
      <xdr:colOff>266700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CA87E-883F-0855-FE5A-71242143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127500"/>
          <a:ext cx="37592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32</xdr:row>
      <xdr:rowOff>25400</xdr:rowOff>
    </xdr:from>
    <xdr:to>
      <xdr:col>4</xdr:col>
      <xdr:colOff>457200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5A5BCD-633C-DC76-C539-634B3C492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6527800"/>
          <a:ext cx="2832100" cy="990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736600</xdr:colOff>
      <xdr:row>7</xdr:row>
      <xdr:rowOff>12700</xdr:rowOff>
    </xdr:from>
    <xdr:to>
      <xdr:col>19</xdr:col>
      <xdr:colOff>698500</xdr:colOff>
      <xdr:row>23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F99EDC-9B6B-635B-8026-086A3CE9F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1435100"/>
          <a:ext cx="7391400" cy="34036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508000</xdr:colOff>
      <xdr:row>3</xdr:row>
      <xdr:rowOff>63500</xdr:rowOff>
    </xdr:from>
    <xdr:to>
      <xdr:col>20</xdr:col>
      <xdr:colOff>571500</xdr:colOff>
      <xdr:row>12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60DFC1-0333-BBC7-41FC-9C9324FE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00" y="673100"/>
          <a:ext cx="74930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12700</xdr:rowOff>
    </xdr:from>
    <xdr:to>
      <xdr:col>9</xdr:col>
      <xdr:colOff>177800</xdr:colOff>
      <xdr:row>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409751-C1A6-EA1B-485B-6DB16B9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22300"/>
          <a:ext cx="6781800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14</xdr:row>
      <xdr:rowOff>12700</xdr:rowOff>
    </xdr:from>
    <xdr:to>
      <xdr:col>6</xdr:col>
      <xdr:colOff>660400</xdr:colOff>
      <xdr:row>15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2AE004-B85E-EC97-EF79-17F2FCD1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2857500"/>
          <a:ext cx="4762500" cy="279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558800</xdr:colOff>
      <xdr:row>3</xdr:row>
      <xdr:rowOff>152400</xdr:rowOff>
    </xdr:from>
    <xdr:to>
      <xdr:col>18</xdr:col>
      <xdr:colOff>508000</xdr:colOff>
      <xdr:row>26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97AA10-D852-4BA0-DD46-EBC25753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8300" y="762000"/>
          <a:ext cx="7378700" cy="46101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673100</xdr:colOff>
      <xdr:row>9</xdr:row>
      <xdr:rowOff>101600</xdr:rowOff>
    </xdr:from>
    <xdr:to>
      <xdr:col>19</xdr:col>
      <xdr:colOff>609600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F095A-7A3E-7940-08CD-2F2C06788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8100" y="1930400"/>
          <a:ext cx="7366000" cy="2095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0</xdr:row>
      <xdr:rowOff>63500</xdr:rowOff>
    </xdr:from>
    <xdr:to>
      <xdr:col>19</xdr:col>
      <xdr:colOff>215900</xdr:colOff>
      <xdr:row>35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2E7582-91A2-3A53-733C-FCD4228C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7400" y="63500"/>
          <a:ext cx="7493000" cy="7188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749300</xdr:colOff>
      <xdr:row>3</xdr:row>
      <xdr:rowOff>0</xdr:rowOff>
    </xdr:from>
    <xdr:to>
      <xdr:col>20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5F8959-B6F9-E561-6A3D-C1977E4D0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4300" y="609600"/>
          <a:ext cx="7594600" cy="231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584200</xdr:colOff>
      <xdr:row>15</xdr:row>
      <xdr:rowOff>177800</xdr:rowOff>
    </xdr:from>
    <xdr:to>
      <xdr:col>17</xdr:col>
      <xdr:colOff>304800</xdr:colOff>
      <xdr:row>18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826C89-14B9-B0DD-8EA4-345C8519F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4700" y="3225800"/>
          <a:ext cx="4673600" cy="5969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546100</xdr:colOff>
      <xdr:row>19</xdr:row>
      <xdr:rowOff>38100</xdr:rowOff>
    </xdr:from>
    <xdr:to>
      <xdr:col>17</xdr:col>
      <xdr:colOff>711200</xdr:colOff>
      <xdr:row>21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04CDF1-8C07-B5AC-E038-918D7464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0100" y="3898900"/>
          <a:ext cx="5118100" cy="5207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12700</xdr:rowOff>
    </xdr:from>
    <xdr:to>
      <xdr:col>21</xdr:col>
      <xdr:colOff>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B0A666-1043-E6EF-0956-457BD39A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419100"/>
          <a:ext cx="7429500" cy="2209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12</xdr:row>
      <xdr:rowOff>152400</xdr:rowOff>
    </xdr:from>
    <xdr:to>
      <xdr:col>20</xdr:col>
      <xdr:colOff>76200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E11CEE-B0CB-5FDF-BD4A-1134524E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8700" y="2590800"/>
          <a:ext cx="6667500" cy="181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22</xdr:row>
      <xdr:rowOff>38100</xdr:rowOff>
    </xdr:from>
    <xdr:to>
      <xdr:col>18</xdr:col>
      <xdr:colOff>469900</xdr:colOff>
      <xdr:row>24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40E670-4FBB-8B44-A5B0-E21C3A90C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0" y="4508500"/>
          <a:ext cx="5118100" cy="52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25</xdr:row>
      <xdr:rowOff>63500</xdr:rowOff>
    </xdr:from>
    <xdr:to>
      <xdr:col>18</xdr:col>
      <xdr:colOff>25400</xdr:colOff>
      <xdr:row>28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1521A7-B7D5-1A42-8504-E9FA8C10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0800" y="5143500"/>
          <a:ext cx="4673600" cy="596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29</xdr:row>
      <xdr:rowOff>114300</xdr:rowOff>
    </xdr:from>
    <xdr:to>
      <xdr:col>18</xdr:col>
      <xdr:colOff>50800</xdr:colOff>
      <xdr:row>31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BBDA4-BC68-A547-11DE-D5210AE2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6007100"/>
          <a:ext cx="4622800" cy="39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279400</xdr:colOff>
      <xdr:row>32</xdr:row>
      <xdr:rowOff>50800</xdr:rowOff>
    </xdr:from>
    <xdr:to>
      <xdr:col>15</xdr:col>
      <xdr:colOff>304800</xdr:colOff>
      <xdr:row>34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C4467B-F103-3627-8546-8026EEAB4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85400" y="6553200"/>
          <a:ext cx="2501900" cy="5207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</xdr:colOff>
      <xdr:row>3</xdr:row>
      <xdr:rowOff>38100</xdr:rowOff>
    </xdr:from>
    <xdr:to>
      <xdr:col>20</xdr:col>
      <xdr:colOff>355600</xdr:colOff>
      <xdr:row>17</xdr:row>
      <xdr:rowOff>142761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4EA17-331D-58DF-E16D-6B259124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200" y="647700"/>
          <a:ext cx="7772400" cy="2949461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18</xdr:row>
      <xdr:rowOff>177800</xdr:rowOff>
    </xdr:from>
    <xdr:to>
      <xdr:col>18</xdr:col>
      <xdr:colOff>635000</xdr:colOff>
      <xdr:row>20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9342A1-7689-3B56-6B92-FA828033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9600" y="3835400"/>
          <a:ext cx="5994400" cy="355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21</xdr:row>
      <xdr:rowOff>114300</xdr:rowOff>
    </xdr:from>
    <xdr:to>
      <xdr:col>20</xdr:col>
      <xdr:colOff>63500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1906FC-EE7C-F9C4-DFCD-E06EDC9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3200" y="4381500"/>
          <a:ext cx="7480300" cy="279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292100</xdr:colOff>
      <xdr:row>25</xdr:row>
      <xdr:rowOff>88900</xdr:rowOff>
    </xdr:from>
    <xdr:to>
      <xdr:col>18</xdr:col>
      <xdr:colOff>711200</xdr:colOff>
      <xdr:row>27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129C33-7252-0E38-1EF4-2621B6CC2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2600" y="5168900"/>
          <a:ext cx="6197600" cy="34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101600</xdr:colOff>
      <xdr:row>28</xdr:row>
      <xdr:rowOff>25400</xdr:rowOff>
    </xdr:from>
    <xdr:to>
      <xdr:col>19</xdr:col>
      <xdr:colOff>50800</xdr:colOff>
      <xdr:row>33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2F065A-2CF8-C733-A2F0-4EAA3068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82100" y="5715000"/>
          <a:ext cx="6553200" cy="1092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774700</xdr:colOff>
      <xdr:row>1</xdr:row>
      <xdr:rowOff>139700</xdr:rowOff>
    </xdr:from>
    <xdr:to>
      <xdr:col>20</xdr:col>
      <xdr:colOff>292100</xdr:colOff>
      <xdr:row>25</xdr:row>
      <xdr:rowOff>79078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A53EA5-466F-DC81-2059-FDD401E0B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9700" y="342900"/>
          <a:ext cx="7772400" cy="4816178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5</xdr:row>
      <xdr:rowOff>63500</xdr:rowOff>
    </xdr:from>
    <xdr:to>
      <xdr:col>10</xdr:col>
      <xdr:colOff>368300</xdr:colOff>
      <xdr:row>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82731B-07DE-E47D-07C8-90EC4A02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0900" y="1079500"/>
          <a:ext cx="2692400" cy="889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482600</xdr:colOff>
      <xdr:row>3</xdr:row>
      <xdr:rowOff>12700</xdr:rowOff>
    </xdr:from>
    <xdr:to>
      <xdr:col>21</xdr:col>
      <xdr:colOff>0</xdr:colOff>
      <xdr:row>25</xdr:row>
      <xdr:rowOff>164384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3BD658-284F-349E-D5DA-4B25B40F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622300"/>
          <a:ext cx="7772400" cy="462208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3</xdr:row>
      <xdr:rowOff>25400</xdr:rowOff>
    </xdr:from>
    <xdr:to>
      <xdr:col>20</xdr:col>
      <xdr:colOff>406400</xdr:colOff>
      <xdr:row>25</xdr:row>
      <xdr:rowOff>82040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3523D-2CAE-FFEA-E9FB-C65D67AE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635000"/>
          <a:ext cx="7772400" cy="45270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0</xdr:rowOff>
    </xdr:from>
    <xdr:to>
      <xdr:col>20</xdr:col>
      <xdr:colOff>469900</xdr:colOff>
      <xdr:row>38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3AD6E4-C27B-D7EF-0F2D-0D0463DA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2300" y="0"/>
          <a:ext cx="6197600" cy="788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A1CB5-C7E5-AA44-A360-0ECC59861BA7}">
  <dimension ref="A1:D27"/>
  <sheetViews>
    <sheetView workbookViewId="0">
      <selection activeCell="C19" sqref="C19"/>
    </sheetView>
  </sheetViews>
  <sheetFormatPr baseColWidth="10" defaultRowHeight="16" x14ac:dyDescent="0.2"/>
  <cols>
    <col min="3" max="3" width="12.1640625" bestFit="1" customWidth="1"/>
  </cols>
  <sheetData>
    <row r="1" spans="1:4" x14ac:dyDescent="0.2">
      <c r="A1" t="s">
        <v>9</v>
      </c>
    </row>
    <row r="2" spans="1:4" x14ac:dyDescent="0.2">
      <c r="B2" t="s">
        <v>0</v>
      </c>
      <c r="C2">
        <v>644.79999999999995</v>
      </c>
    </row>
    <row r="3" spans="1:4" x14ac:dyDescent="0.2">
      <c r="B3" t="s">
        <v>1</v>
      </c>
      <c r="C3">
        <v>36.5</v>
      </c>
    </row>
    <row r="4" spans="1:4" x14ac:dyDescent="0.2">
      <c r="B4" t="s">
        <v>2</v>
      </c>
      <c r="C4">
        <f>C2*C3</f>
        <v>23535.199999999997</v>
      </c>
    </row>
    <row r="6" spans="1:4" x14ac:dyDescent="0.2">
      <c r="B6" t="s">
        <v>3</v>
      </c>
      <c r="C6">
        <v>1342.6</v>
      </c>
    </row>
    <row r="7" spans="1:4" x14ac:dyDescent="0.2">
      <c r="B7" t="s">
        <v>4</v>
      </c>
      <c r="C7">
        <v>5542.5</v>
      </c>
    </row>
    <row r="8" spans="1:4" x14ac:dyDescent="0.2">
      <c r="B8" t="s">
        <v>5</v>
      </c>
      <c r="C8">
        <f>SUM(C6:C7)</f>
        <v>6885.1</v>
      </c>
    </row>
    <row r="10" spans="1:4" x14ac:dyDescent="0.2">
      <c r="B10" t="s">
        <v>6</v>
      </c>
      <c r="C10">
        <f>C4+C8</f>
        <v>30420.299999999996</v>
      </c>
      <c r="D10" t="s">
        <v>7</v>
      </c>
    </row>
    <row r="14" spans="1:4" x14ac:dyDescent="0.2">
      <c r="A14" t="s">
        <v>10</v>
      </c>
      <c r="B14" t="s">
        <v>8</v>
      </c>
    </row>
    <row r="15" spans="1:4" x14ac:dyDescent="0.2">
      <c r="B15" t="s">
        <v>12</v>
      </c>
    </row>
    <row r="18" spans="2:3" x14ac:dyDescent="0.2">
      <c r="B18" t="s">
        <v>0</v>
      </c>
      <c r="C18">
        <v>2126</v>
      </c>
    </row>
    <row r="19" spans="2:3" x14ac:dyDescent="0.2">
      <c r="B19" t="s">
        <v>1</v>
      </c>
      <c r="C19">
        <v>41</v>
      </c>
    </row>
    <row r="20" spans="2:3" x14ac:dyDescent="0.2">
      <c r="B20" t="s">
        <v>2</v>
      </c>
      <c r="C20">
        <f>C18*C19</f>
        <v>87166</v>
      </c>
    </row>
    <row r="22" spans="2:3" x14ac:dyDescent="0.2">
      <c r="B22" t="s">
        <v>3</v>
      </c>
      <c r="C22">
        <v>8406</v>
      </c>
    </row>
    <row r="23" spans="2:3" x14ac:dyDescent="0.2">
      <c r="B23" t="s">
        <v>4</v>
      </c>
      <c r="C23">
        <v>14512</v>
      </c>
    </row>
    <row r="24" spans="2:3" x14ac:dyDescent="0.2">
      <c r="B24" t="s">
        <v>11</v>
      </c>
      <c r="C24">
        <v>12700</v>
      </c>
    </row>
    <row r="25" spans="2:3" x14ac:dyDescent="0.2">
      <c r="B25" t="s">
        <v>5</v>
      </c>
      <c r="C25">
        <f>SUM(C22:C23)-C24</f>
        <v>10218</v>
      </c>
    </row>
    <row r="27" spans="2:3" x14ac:dyDescent="0.2">
      <c r="B27" t="s">
        <v>6</v>
      </c>
      <c r="C27">
        <f>C25+C20</f>
        <v>97384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FE2D-E073-6843-8B76-E9BD231DA3F3}">
  <dimension ref="A2:E12"/>
  <sheetViews>
    <sheetView workbookViewId="0">
      <selection activeCell="B14" sqref="B14"/>
    </sheetView>
  </sheetViews>
  <sheetFormatPr baseColWidth="10" defaultRowHeight="16" x14ac:dyDescent="0.2"/>
  <sheetData>
    <row r="2" spans="1:5" x14ac:dyDescent="0.2">
      <c r="A2" t="s">
        <v>13</v>
      </c>
      <c r="B2" t="s">
        <v>14</v>
      </c>
      <c r="C2" t="s">
        <v>15</v>
      </c>
      <c r="D2" t="s">
        <v>16</v>
      </c>
    </row>
    <row r="3" spans="1:5" x14ac:dyDescent="0.2">
      <c r="B3">
        <f>C3-D3</f>
        <v>150</v>
      </c>
      <c r="C3">
        <v>400</v>
      </c>
      <c r="D3">
        <v>250</v>
      </c>
    </row>
    <row r="5" spans="1:5" x14ac:dyDescent="0.2">
      <c r="A5" t="s">
        <v>17</v>
      </c>
      <c r="B5" t="s">
        <v>18</v>
      </c>
      <c r="C5" t="s">
        <v>20</v>
      </c>
      <c r="D5" t="s">
        <v>19</v>
      </c>
    </row>
    <row r="6" spans="1:5" x14ac:dyDescent="0.2">
      <c r="B6">
        <v>30</v>
      </c>
      <c r="C6">
        <f>B6+D6</f>
        <v>205</v>
      </c>
      <c r="D6">
        <v>175</v>
      </c>
    </row>
    <row r="8" spans="1:5" x14ac:dyDescent="0.2">
      <c r="A8" t="s">
        <v>21</v>
      </c>
      <c r="B8" t="s">
        <v>23</v>
      </c>
      <c r="C8" t="s">
        <v>24</v>
      </c>
      <c r="D8" t="s">
        <v>25</v>
      </c>
      <c r="E8" t="s">
        <v>26</v>
      </c>
    </row>
    <row r="9" spans="1:5" x14ac:dyDescent="0.2">
      <c r="B9">
        <v>250</v>
      </c>
      <c r="C9">
        <v>230</v>
      </c>
      <c r="D9">
        <f>B9-(C9-E9)</f>
        <v>32</v>
      </c>
      <c r="E9">
        <v>12</v>
      </c>
    </row>
    <row r="10" spans="1:5" x14ac:dyDescent="0.2">
      <c r="B10" t="s">
        <v>28</v>
      </c>
    </row>
    <row r="12" spans="1:5" x14ac:dyDescent="0.2">
      <c r="A12" t="s">
        <v>27</v>
      </c>
      <c r="B12" t="s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13E8E-5F10-8544-B316-44725545EB16}">
  <dimension ref="A2:C27"/>
  <sheetViews>
    <sheetView workbookViewId="0">
      <selection activeCell="C27" sqref="C27"/>
    </sheetView>
  </sheetViews>
  <sheetFormatPr baseColWidth="10" defaultRowHeight="16" x14ac:dyDescent="0.2"/>
  <cols>
    <col min="2" max="2" width="14" customWidth="1"/>
  </cols>
  <sheetData>
    <row r="2" spans="1:3" x14ac:dyDescent="0.2">
      <c r="A2" t="s">
        <v>30</v>
      </c>
    </row>
    <row r="3" spans="1:3" x14ac:dyDescent="0.2">
      <c r="B3" t="s">
        <v>31</v>
      </c>
      <c r="C3">
        <v>4458</v>
      </c>
    </row>
    <row r="4" spans="1:3" x14ac:dyDescent="0.2">
      <c r="B4" t="s">
        <v>32</v>
      </c>
      <c r="C4">
        <v>3348</v>
      </c>
    </row>
    <row r="5" spans="1:3" x14ac:dyDescent="0.2">
      <c r="B5" t="s">
        <v>33</v>
      </c>
      <c r="C5">
        <f>C3-C4</f>
        <v>1110</v>
      </c>
    </row>
    <row r="6" spans="1:3" x14ac:dyDescent="0.2">
      <c r="B6" t="s">
        <v>34</v>
      </c>
      <c r="C6">
        <v>1230</v>
      </c>
    </row>
    <row r="7" spans="1:3" x14ac:dyDescent="0.2">
      <c r="B7" t="s">
        <v>35</v>
      </c>
      <c r="C7">
        <v>450</v>
      </c>
    </row>
    <row r="8" spans="1:3" x14ac:dyDescent="0.2">
      <c r="B8" t="s">
        <v>36</v>
      </c>
      <c r="C8">
        <f>C5-C6-C7</f>
        <v>-570</v>
      </c>
    </row>
    <row r="9" spans="1:3" x14ac:dyDescent="0.2">
      <c r="B9" t="s">
        <v>37</v>
      </c>
      <c r="C9">
        <v>-200</v>
      </c>
    </row>
    <row r="10" spans="1:3" x14ac:dyDescent="0.2">
      <c r="B10" t="s">
        <v>38</v>
      </c>
      <c r="C10">
        <f>C8-C9</f>
        <v>-370</v>
      </c>
    </row>
    <row r="12" spans="1:3" x14ac:dyDescent="0.2">
      <c r="B12" t="s">
        <v>39</v>
      </c>
    </row>
    <row r="14" spans="1:3" x14ac:dyDescent="0.2">
      <c r="B14" t="s">
        <v>40</v>
      </c>
    </row>
    <row r="15" spans="1:3" x14ac:dyDescent="0.2">
      <c r="B15" t="s">
        <v>41</v>
      </c>
      <c r="C15">
        <v>3270</v>
      </c>
    </row>
    <row r="16" spans="1:3" x14ac:dyDescent="0.2">
      <c r="B16" t="s">
        <v>42</v>
      </c>
      <c r="C16">
        <v>680</v>
      </c>
    </row>
    <row r="17" spans="2:3" x14ac:dyDescent="0.2">
      <c r="B17" t="s">
        <v>43</v>
      </c>
      <c r="C17">
        <v>-140</v>
      </c>
    </row>
    <row r="18" spans="2:3" x14ac:dyDescent="0.2">
      <c r="B18" t="s">
        <v>44</v>
      </c>
      <c r="C18">
        <f>C10</f>
        <v>-370</v>
      </c>
    </row>
    <row r="19" spans="2:3" x14ac:dyDescent="0.2">
      <c r="B19" t="s">
        <v>45</v>
      </c>
      <c r="C19">
        <v>76</v>
      </c>
    </row>
    <row r="20" spans="2:3" x14ac:dyDescent="0.2">
      <c r="B20" t="s">
        <v>46</v>
      </c>
      <c r="C20">
        <f>C18+C19</f>
        <v>-294</v>
      </c>
    </row>
    <row r="21" spans="2:3" x14ac:dyDescent="0.2">
      <c r="B21" t="s">
        <v>47</v>
      </c>
      <c r="C21">
        <f>C15+C16+C17+C20</f>
        <v>3516</v>
      </c>
    </row>
    <row r="23" spans="2:3" x14ac:dyDescent="0.2">
      <c r="B23" t="s">
        <v>48</v>
      </c>
    </row>
    <row r="26" spans="2:3" ht="23" x14ac:dyDescent="0.25">
      <c r="B26" s="1"/>
    </row>
    <row r="27" spans="2:3" ht="23" x14ac:dyDescent="0.25">
      <c r="B27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A25B8-34C5-1F4D-94CC-8B0203BDCD55}">
  <dimension ref="B3:J15"/>
  <sheetViews>
    <sheetView workbookViewId="0">
      <selection activeCell="B16" sqref="B16"/>
    </sheetView>
  </sheetViews>
  <sheetFormatPr baseColWidth="10" defaultRowHeight="16" x14ac:dyDescent="0.2"/>
  <sheetData>
    <row r="3" spans="2:10" x14ac:dyDescent="0.2">
      <c r="B3" t="s">
        <v>53</v>
      </c>
    </row>
    <row r="4" spans="2:10" x14ac:dyDescent="0.2">
      <c r="B4" t="s">
        <v>54</v>
      </c>
      <c r="C4" t="s">
        <v>15</v>
      </c>
      <c r="D4" t="s">
        <v>55</v>
      </c>
    </row>
    <row r="5" spans="2:10" x14ac:dyDescent="0.2">
      <c r="B5">
        <f>C5-D5</f>
        <v>2960</v>
      </c>
      <c r="C5">
        <v>4340</v>
      </c>
      <c r="D5">
        <v>1380</v>
      </c>
    </row>
    <row r="7" spans="2:10" x14ac:dyDescent="0.2">
      <c r="B7" t="s">
        <v>54</v>
      </c>
      <c r="C7" t="s">
        <v>52</v>
      </c>
      <c r="D7" t="s">
        <v>56</v>
      </c>
      <c r="E7" t="s">
        <v>57</v>
      </c>
    </row>
    <row r="8" spans="2:10" x14ac:dyDescent="0.2">
      <c r="B8">
        <f>SUM(C8:E8)</f>
        <v>19250</v>
      </c>
      <c r="C8">
        <v>19140</v>
      </c>
      <c r="D8">
        <f>G9</f>
        <v>460</v>
      </c>
      <c r="E8">
        <f>-G12</f>
        <v>-350</v>
      </c>
      <c r="G8" t="s">
        <v>59</v>
      </c>
      <c r="H8" t="s">
        <v>60</v>
      </c>
      <c r="I8" t="s">
        <v>50</v>
      </c>
      <c r="J8" t="s">
        <v>51</v>
      </c>
    </row>
    <row r="9" spans="2:10" x14ac:dyDescent="0.2">
      <c r="F9" t="s">
        <v>58</v>
      </c>
      <c r="G9">
        <f>SUM(H9:J9)</f>
        <v>460</v>
      </c>
      <c r="H9">
        <v>2300</v>
      </c>
      <c r="I9">
        <v>-1750</v>
      </c>
      <c r="J9">
        <v>-90</v>
      </c>
    </row>
    <row r="11" spans="2:10" x14ac:dyDescent="0.2">
      <c r="G11" t="s">
        <v>59</v>
      </c>
      <c r="H11" t="s">
        <v>61</v>
      </c>
      <c r="I11" t="s">
        <v>62</v>
      </c>
      <c r="J11" t="s">
        <v>63</v>
      </c>
    </row>
    <row r="12" spans="2:10" x14ac:dyDescent="0.2">
      <c r="F12" t="s">
        <v>57</v>
      </c>
      <c r="G12">
        <f>SUM(H12:J12)</f>
        <v>350</v>
      </c>
      <c r="H12">
        <v>900</v>
      </c>
      <c r="I12">
        <v>-150</v>
      </c>
      <c r="J12">
        <v>-400</v>
      </c>
    </row>
    <row r="14" spans="2:10" x14ac:dyDescent="0.2">
      <c r="B14" t="s">
        <v>64</v>
      </c>
    </row>
    <row r="15" spans="2:10" x14ac:dyDescent="0.2">
      <c r="B15" t="s">
        <v>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1F1F-A031-5341-82B4-E3775BB9E7B0}">
  <dimension ref="A3:E39"/>
  <sheetViews>
    <sheetView workbookViewId="0">
      <selection activeCell="C33" sqref="C33"/>
    </sheetView>
  </sheetViews>
  <sheetFormatPr baseColWidth="10" defaultRowHeight="16" x14ac:dyDescent="0.2"/>
  <sheetData>
    <row r="3" spans="1:5" x14ac:dyDescent="0.2">
      <c r="A3" t="s">
        <v>13</v>
      </c>
      <c r="C3" t="s">
        <v>66</v>
      </c>
      <c r="D3" t="s">
        <v>67</v>
      </c>
    </row>
    <row r="4" spans="1:5" x14ac:dyDescent="0.2">
      <c r="B4" t="s">
        <v>31</v>
      </c>
      <c r="C4">
        <v>84229</v>
      </c>
      <c r="D4">
        <v>14590</v>
      </c>
    </row>
    <row r="5" spans="1:5" x14ac:dyDescent="0.2">
      <c r="B5" t="s">
        <v>68</v>
      </c>
      <c r="C5">
        <v>7264</v>
      </c>
      <c r="D5">
        <v>161</v>
      </c>
    </row>
    <row r="6" spans="1:5" x14ac:dyDescent="0.2">
      <c r="B6" t="s">
        <v>69</v>
      </c>
      <c r="C6">
        <v>38526</v>
      </c>
      <c r="D6">
        <v>1134</v>
      </c>
    </row>
    <row r="7" spans="1:5" x14ac:dyDescent="0.2">
      <c r="B7" t="s">
        <v>2</v>
      </c>
      <c r="C7">
        <v>115700</v>
      </c>
      <c r="D7">
        <v>6381</v>
      </c>
    </row>
    <row r="9" spans="1:5" x14ac:dyDescent="0.2">
      <c r="B9" t="s">
        <v>70</v>
      </c>
      <c r="C9" s="4">
        <f>C7/C4</f>
        <v>1.3736361585677141</v>
      </c>
      <c r="D9" s="4">
        <f>D7/D4</f>
        <v>0.43735435229609321</v>
      </c>
    </row>
    <row r="10" spans="1:5" x14ac:dyDescent="0.2">
      <c r="B10" t="s">
        <v>71</v>
      </c>
      <c r="C10" s="4">
        <f>C7/C5</f>
        <v>15.927863436123348</v>
      </c>
      <c r="D10" s="4">
        <f>D7/D5</f>
        <v>39.633540372670808</v>
      </c>
    </row>
    <row r="11" spans="1:5" x14ac:dyDescent="0.2">
      <c r="B11" t="s">
        <v>72</v>
      </c>
      <c r="C11" s="4">
        <f>C7/C6</f>
        <v>3.0031666926231635</v>
      </c>
      <c r="D11" s="4">
        <f>D7/D6</f>
        <v>5.6269841269841274</v>
      </c>
    </row>
    <row r="13" spans="1:5" x14ac:dyDescent="0.2">
      <c r="A13" t="s">
        <v>17</v>
      </c>
      <c r="C13" t="s">
        <v>73</v>
      </c>
      <c r="D13" t="s">
        <v>74</v>
      </c>
      <c r="E13" t="s">
        <v>75</v>
      </c>
    </row>
    <row r="14" spans="1:5" x14ac:dyDescent="0.2">
      <c r="B14" t="s">
        <v>70</v>
      </c>
      <c r="C14" s="4">
        <f>AVERAGE(C9:D9)</f>
        <v>0.90549525543190368</v>
      </c>
      <c r="D14">
        <v>61133</v>
      </c>
      <c r="E14" s="3">
        <f>C14*D14</f>
        <v>55355.641450318566</v>
      </c>
    </row>
    <row r="15" spans="1:5" x14ac:dyDescent="0.2">
      <c r="B15" t="s">
        <v>71</v>
      </c>
      <c r="C15" s="4">
        <f>AVERAGE(C10:D10)</f>
        <v>27.780701904397077</v>
      </c>
      <c r="D15">
        <v>2947</v>
      </c>
      <c r="E15" s="3">
        <f t="shared" ref="E15:E16" si="0">C15*D15</f>
        <v>81869.728512258182</v>
      </c>
    </row>
    <row r="16" spans="1:5" x14ac:dyDescent="0.2">
      <c r="B16" t="s">
        <v>72</v>
      </c>
      <c r="C16" s="4">
        <f>AVERAGE(C11:D11)</f>
        <v>4.3150754098036455</v>
      </c>
      <c r="D16">
        <v>3735</v>
      </c>
      <c r="E16" s="3">
        <f t="shared" si="0"/>
        <v>16116.806655616616</v>
      </c>
    </row>
    <row r="17" spans="2:5" x14ac:dyDescent="0.2">
      <c r="E17" s="3">
        <f>AVERAGE(E14:E16)</f>
        <v>51114.058872731119</v>
      </c>
    </row>
    <row r="18" spans="2:5" x14ac:dyDescent="0.2">
      <c r="B18" t="s">
        <v>76</v>
      </c>
    </row>
    <row r="19" spans="2:5" x14ac:dyDescent="0.2">
      <c r="B19" t="s">
        <v>78</v>
      </c>
      <c r="C19">
        <v>2060</v>
      </c>
    </row>
    <row r="20" spans="2:5" x14ac:dyDescent="0.2">
      <c r="B20" t="s">
        <v>2</v>
      </c>
      <c r="C20">
        <f>E17</f>
        <v>51114.058872731119</v>
      </c>
    </row>
    <row r="21" spans="2:5" x14ac:dyDescent="0.2">
      <c r="B21" t="s">
        <v>79</v>
      </c>
      <c r="C21" s="3">
        <f>C20/C19</f>
        <v>24.812649938218989</v>
      </c>
    </row>
    <row r="24" spans="2:5" x14ac:dyDescent="0.2">
      <c r="B24" t="s">
        <v>80</v>
      </c>
    </row>
    <row r="25" spans="2:5" x14ac:dyDescent="0.2">
      <c r="B25" t="s">
        <v>81</v>
      </c>
    </row>
    <row r="26" spans="2:5" x14ac:dyDescent="0.2">
      <c r="B26" t="s">
        <v>82</v>
      </c>
    </row>
    <row r="28" spans="2:5" x14ac:dyDescent="0.2">
      <c r="B28" t="s">
        <v>83</v>
      </c>
    </row>
    <row r="29" spans="2:5" x14ac:dyDescent="0.2">
      <c r="B29" t="s">
        <v>84</v>
      </c>
    </row>
    <row r="33" spans="2:2" ht="23" x14ac:dyDescent="0.25">
      <c r="B33" s="1"/>
    </row>
    <row r="34" spans="2:2" ht="23" x14ac:dyDescent="0.25">
      <c r="B34" s="1"/>
    </row>
    <row r="35" spans="2:2" ht="23" x14ac:dyDescent="0.25">
      <c r="B35" s="1"/>
    </row>
    <row r="36" spans="2:2" ht="23" x14ac:dyDescent="0.25">
      <c r="B36" s="1"/>
    </row>
    <row r="37" spans="2:2" ht="23" x14ac:dyDescent="0.25">
      <c r="B37" s="1"/>
    </row>
    <row r="38" spans="2:2" ht="23" x14ac:dyDescent="0.25">
      <c r="B38" s="1"/>
    </row>
    <row r="39" spans="2:2" ht="23" x14ac:dyDescent="0.25">
      <c r="B39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BC2E0-0273-1E44-ABBD-37737FDCB1CD}">
  <dimension ref="A3:D28"/>
  <sheetViews>
    <sheetView workbookViewId="0">
      <selection activeCell="D29" sqref="D29"/>
    </sheetView>
  </sheetViews>
  <sheetFormatPr baseColWidth="10" defaultRowHeight="16" x14ac:dyDescent="0.2"/>
  <sheetData>
    <row r="3" spans="1:3" x14ac:dyDescent="0.2">
      <c r="A3" t="s">
        <v>85</v>
      </c>
      <c r="B3" t="s">
        <v>78</v>
      </c>
      <c r="C3">
        <v>158</v>
      </c>
    </row>
    <row r="5" spans="1:3" x14ac:dyDescent="0.2">
      <c r="B5" t="s">
        <v>86</v>
      </c>
      <c r="C5">
        <v>30</v>
      </c>
    </row>
    <row r="6" spans="1:3" x14ac:dyDescent="0.2">
      <c r="B6" t="s">
        <v>87</v>
      </c>
      <c r="C6">
        <v>55</v>
      </c>
    </row>
    <row r="8" spans="1:3" x14ac:dyDescent="0.2">
      <c r="B8" t="s">
        <v>88</v>
      </c>
    </row>
    <row r="9" spans="1:3" x14ac:dyDescent="0.2">
      <c r="B9" t="s">
        <v>89</v>
      </c>
    </row>
    <row r="11" spans="1:3" x14ac:dyDescent="0.2">
      <c r="A11" t="s">
        <v>90</v>
      </c>
    </row>
    <row r="12" spans="1:3" ht="23" x14ac:dyDescent="0.25">
      <c r="B12" s="7"/>
    </row>
    <row r="13" spans="1:3" ht="23" x14ac:dyDescent="0.25">
      <c r="B13" s="1"/>
    </row>
    <row r="14" spans="1:3" ht="23" x14ac:dyDescent="0.25">
      <c r="B14" s="1"/>
    </row>
    <row r="15" spans="1:3" ht="23" x14ac:dyDescent="0.25">
      <c r="B15" s="1"/>
    </row>
    <row r="16" spans="1:3" x14ac:dyDescent="0.2">
      <c r="A16" t="s">
        <v>90</v>
      </c>
      <c r="B16" t="s">
        <v>91</v>
      </c>
    </row>
    <row r="17" spans="2:4" x14ac:dyDescent="0.2">
      <c r="B17">
        <v>188</v>
      </c>
      <c r="C17">
        <v>62</v>
      </c>
      <c r="D17">
        <f>B17*C17</f>
        <v>11656</v>
      </c>
    </row>
    <row r="18" spans="2:4" x14ac:dyDescent="0.2">
      <c r="B18" t="s">
        <v>92</v>
      </c>
    </row>
    <row r="19" spans="2:4" x14ac:dyDescent="0.2">
      <c r="B19">
        <v>12</v>
      </c>
      <c r="C19">
        <v>30</v>
      </c>
      <c r="D19">
        <f>B19*C19</f>
        <v>360</v>
      </c>
    </row>
    <row r="20" spans="2:4" x14ac:dyDescent="0.2">
      <c r="B20" t="s">
        <v>93</v>
      </c>
    </row>
    <row r="21" spans="2:4" x14ac:dyDescent="0.2">
      <c r="B21">
        <f>D17</f>
        <v>11656</v>
      </c>
      <c r="C21">
        <f>D19</f>
        <v>360</v>
      </c>
      <c r="D21">
        <f>SUM(B21:C21)</f>
        <v>12016</v>
      </c>
    </row>
    <row r="22" spans="2:4" x14ac:dyDescent="0.2">
      <c r="B22" t="s">
        <v>94</v>
      </c>
    </row>
    <row r="23" spans="2:4" x14ac:dyDescent="0.2">
      <c r="B23">
        <v>200</v>
      </c>
    </row>
    <row r="24" spans="2:4" x14ac:dyDescent="0.2">
      <c r="B24" t="s">
        <v>95</v>
      </c>
    </row>
    <row r="25" spans="2:4" x14ac:dyDescent="0.2">
      <c r="B25">
        <f>D21/B23</f>
        <v>60.08</v>
      </c>
    </row>
    <row r="26" spans="2:4" x14ac:dyDescent="0.2">
      <c r="B26" t="s">
        <v>96</v>
      </c>
    </row>
    <row r="27" spans="2:4" x14ac:dyDescent="0.2">
      <c r="B27" t="s">
        <v>97</v>
      </c>
    </row>
    <row r="28" spans="2:4" x14ac:dyDescent="0.2">
      <c r="B28">
        <v>62</v>
      </c>
      <c r="C28">
        <f>B25</f>
        <v>60.08</v>
      </c>
      <c r="D28">
        <f>B28-C28</f>
        <v>1.9200000000000017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4B69E-C764-A541-88A3-23F680BD30EE}">
  <dimension ref="A2:H38"/>
  <sheetViews>
    <sheetView workbookViewId="0">
      <selection activeCell="C33" sqref="C33"/>
    </sheetView>
  </sheetViews>
  <sheetFormatPr baseColWidth="10" defaultRowHeight="16" x14ac:dyDescent="0.2"/>
  <sheetData>
    <row r="2" spans="1:8" x14ac:dyDescent="0.2">
      <c r="A2" t="s">
        <v>13</v>
      </c>
      <c r="B2" t="s">
        <v>98</v>
      </c>
    </row>
    <row r="4" spans="1:8" x14ac:dyDescent="0.2">
      <c r="B4" t="s">
        <v>99</v>
      </c>
      <c r="C4" t="s">
        <v>100</v>
      </c>
      <c r="D4" t="s">
        <v>101</v>
      </c>
      <c r="E4" t="s">
        <v>102</v>
      </c>
    </row>
    <row r="5" spans="1:8" x14ac:dyDescent="0.2">
      <c r="C5">
        <v>0.04</v>
      </c>
      <c r="D5">
        <v>1.2</v>
      </c>
    </row>
    <row r="6" spans="1:8" x14ac:dyDescent="0.2">
      <c r="B6" t="s">
        <v>103</v>
      </c>
      <c r="C6" t="s">
        <v>104</v>
      </c>
    </row>
    <row r="7" spans="1:8" x14ac:dyDescent="0.2">
      <c r="B7">
        <v>4.4999999999999998E-2</v>
      </c>
      <c r="C7">
        <f>$C$5+($D$5*B7)</f>
        <v>9.4E-2</v>
      </c>
    </row>
    <row r="8" spans="1:8" x14ac:dyDescent="0.2">
      <c r="B8">
        <v>0.06</v>
      </c>
      <c r="C8">
        <f>$C$5+($D$5*B8)</f>
        <v>0.11199999999999999</v>
      </c>
    </row>
    <row r="9" spans="1:8" x14ac:dyDescent="0.2">
      <c r="B9">
        <v>7.4999999999999997E-2</v>
      </c>
      <c r="C9">
        <f>$C$5+($D$5*B9)</f>
        <v>0.13</v>
      </c>
    </row>
    <row r="10" spans="1:8" x14ac:dyDescent="0.2">
      <c r="B10">
        <v>0.09</v>
      </c>
      <c r="C10">
        <f>$C$5+($D$5*B10)</f>
        <v>0.14799999999999999</v>
      </c>
    </row>
    <row r="12" spans="1:8" x14ac:dyDescent="0.2">
      <c r="E12" t="s">
        <v>101</v>
      </c>
    </row>
    <row r="13" spans="1:8" x14ac:dyDescent="0.2">
      <c r="B13" s="9"/>
      <c r="C13" s="9">
        <v>0.9</v>
      </c>
      <c r="D13" s="9">
        <f>C13+0.1</f>
        <v>1</v>
      </c>
      <c r="E13" s="9">
        <f t="shared" ref="E13:H13" si="0">D13+0.1</f>
        <v>1.1000000000000001</v>
      </c>
      <c r="F13" s="9">
        <f t="shared" si="0"/>
        <v>1.2000000000000002</v>
      </c>
      <c r="G13" s="9">
        <f t="shared" si="0"/>
        <v>1.3000000000000003</v>
      </c>
      <c r="H13" s="9">
        <f t="shared" si="0"/>
        <v>1.4000000000000004</v>
      </c>
    </row>
    <row r="14" spans="1:8" x14ac:dyDescent="0.2">
      <c r="B14" s="9">
        <v>4.4999999999999998E-2</v>
      </c>
      <c r="C14" s="8">
        <f>$C$5+(C$13*$B14)</f>
        <v>8.0500000000000002E-2</v>
      </c>
      <c r="D14" s="8">
        <f>$C$5+(D$13*$B14)</f>
        <v>8.4999999999999992E-2</v>
      </c>
      <c r="E14" s="8">
        <f>$C$5+(E$13*$B14)</f>
        <v>8.9499999999999996E-2</v>
      </c>
      <c r="F14" s="8">
        <f>$C$5+(F$13*$B14)</f>
        <v>9.4E-2</v>
      </c>
      <c r="G14" s="8">
        <f>$C$5+(G$13*$B14)</f>
        <v>9.8500000000000004E-2</v>
      </c>
      <c r="H14" s="8">
        <f>$C$5+(H$13*$B14)</f>
        <v>0.10300000000000001</v>
      </c>
    </row>
    <row r="15" spans="1:8" x14ac:dyDescent="0.2">
      <c r="A15" t="s">
        <v>103</v>
      </c>
      <c r="B15" s="9">
        <v>0.06</v>
      </c>
      <c r="C15" s="8">
        <f>$C$5+(C$13*$B15)</f>
        <v>9.4E-2</v>
      </c>
      <c r="D15" s="8">
        <f>$C$5+(D$13*$B15)</f>
        <v>0.1</v>
      </c>
      <c r="E15" s="8">
        <f>$C$5+(E$13*$B15)</f>
        <v>0.10600000000000001</v>
      </c>
      <c r="F15" s="8">
        <f>$C$5+(F$13*$B15)</f>
        <v>0.11200000000000002</v>
      </c>
      <c r="G15" s="8">
        <f>$C$5+(G$13*$B15)</f>
        <v>0.11800000000000002</v>
      </c>
      <c r="H15" s="8">
        <f>$C$5+(H$13*$B15)</f>
        <v>0.12400000000000003</v>
      </c>
    </row>
    <row r="16" spans="1:8" x14ac:dyDescent="0.2">
      <c r="B16" s="9">
        <v>7.4999999999999997E-2</v>
      </c>
      <c r="C16" s="8">
        <f>$C$5+(C$13*$B16)</f>
        <v>0.10750000000000001</v>
      </c>
      <c r="D16" s="8">
        <f>$C$5+(D$13*$B16)</f>
        <v>0.11499999999999999</v>
      </c>
      <c r="E16" s="8">
        <f>$C$5+(E$13*$B16)</f>
        <v>0.1225</v>
      </c>
      <c r="F16" s="8">
        <f>$C$5+(F$13*$B16)</f>
        <v>0.13</v>
      </c>
      <c r="G16" s="8">
        <f>$C$5+(G$13*$B16)</f>
        <v>0.13750000000000001</v>
      </c>
      <c r="H16" s="8">
        <f>$C$5+(H$13*$B16)</f>
        <v>0.14500000000000002</v>
      </c>
    </row>
    <row r="17" spans="2:8" x14ac:dyDescent="0.2">
      <c r="B17" s="9">
        <v>0.09</v>
      </c>
      <c r="C17" s="8">
        <f>$C$5+(C$13*$B17)</f>
        <v>0.121</v>
      </c>
      <c r="D17" s="8">
        <f>$C$5+(D$13*$B17)</f>
        <v>0.13</v>
      </c>
      <c r="E17" s="8">
        <f>$C$5+(E$13*$B17)</f>
        <v>0.13900000000000001</v>
      </c>
      <c r="F17" s="8">
        <f>$C$5+(F$13*$B17)</f>
        <v>0.14800000000000002</v>
      </c>
      <c r="G17" s="8">
        <f>$C$5+(G$13*$B17)</f>
        <v>0.15700000000000003</v>
      </c>
      <c r="H17" s="8">
        <f>$C$5+(H$13*$B17)</f>
        <v>0.16600000000000004</v>
      </c>
    </row>
    <row r="19" spans="2:8" x14ac:dyDescent="0.2">
      <c r="B19" t="s">
        <v>105</v>
      </c>
      <c r="C19">
        <f>MIN(C14:H17)</f>
        <v>8.0500000000000002E-2</v>
      </c>
    </row>
    <row r="20" spans="2:8" x14ac:dyDescent="0.2">
      <c r="B20" t="s">
        <v>106</v>
      </c>
      <c r="C20">
        <f>MAX(C14:H17)</f>
        <v>0.16600000000000004</v>
      </c>
    </row>
    <row r="22" spans="2:8" x14ac:dyDescent="0.2">
      <c r="B22" t="s">
        <v>107</v>
      </c>
    </row>
    <row r="23" spans="2:8" x14ac:dyDescent="0.2">
      <c r="B23" t="s">
        <v>108</v>
      </c>
    </row>
    <row r="24" spans="2:8" x14ac:dyDescent="0.2">
      <c r="B24" t="s">
        <v>109</v>
      </c>
    </row>
    <row r="25" spans="2:8" x14ac:dyDescent="0.2">
      <c r="B25" t="s">
        <v>110</v>
      </c>
      <c r="C25">
        <v>43.64</v>
      </c>
    </row>
    <row r="27" spans="2:8" x14ac:dyDescent="0.2">
      <c r="B27" t="s">
        <v>111</v>
      </c>
    </row>
    <row r="28" spans="2:8" x14ac:dyDescent="0.2">
      <c r="B28">
        <f>C25/(1+C19)</f>
        <v>40.388708931050438</v>
      </c>
    </row>
    <row r="29" spans="2:8" x14ac:dyDescent="0.2">
      <c r="B29" t="s">
        <v>112</v>
      </c>
    </row>
    <row r="30" spans="2:8" x14ac:dyDescent="0.2">
      <c r="B30">
        <f>C25/(1+C20)</f>
        <v>37.42710120068611</v>
      </c>
    </row>
    <row r="32" spans="2:8" x14ac:dyDescent="0.2">
      <c r="B32" t="s">
        <v>113</v>
      </c>
    </row>
    <row r="36" spans="2:2" ht="23" x14ac:dyDescent="0.25">
      <c r="B36" s="1"/>
    </row>
    <row r="37" spans="2:2" ht="23" x14ac:dyDescent="0.25">
      <c r="B37" s="1"/>
    </row>
    <row r="38" spans="2:2" ht="23" x14ac:dyDescent="0.25">
      <c r="B38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F0DD-8C7D-5140-93A6-D632E88AD9F9}">
  <dimension ref="A2:E18"/>
  <sheetViews>
    <sheetView workbookViewId="0">
      <selection activeCell="B19" sqref="B19"/>
    </sheetView>
  </sheetViews>
  <sheetFormatPr baseColWidth="10" defaultRowHeight="16" x14ac:dyDescent="0.2"/>
  <cols>
    <col min="2" max="2" width="22.5" customWidth="1"/>
  </cols>
  <sheetData>
    <row r="2" spans="1:5" x14ac:dyDescent="0.2">
      <c r="C2">
        <v>1</v>
      </c>
      <c r="D2">
        <v>2</v>
      </c>
      <c r="E2">
        <v>3</v>
      </c>
    </row>
    <row r="3" spans="1:5" x14ac:dyDescent="0.2">
      <c r="A3" t="s">
        <v>13</v>
      </c>
      <c r="B3" t="s">
        <v>114</v>
      </c>
      <c r="C3">
        <v>1450</v>
      </c>
      <c r="D3">
        <v>1576</v>
      </c>
      <c r="E3">
        <v>1718</v>
      </c>
    </row>
    <row r="4" spans="1:5" x14ac:dyDescent="0.2">
      <c r="B4" t="s">
        <v>115</v>
      </c>
      <c r="C4">
        <v>1020</v>
      </c>
      <c r="D4">
        <v>1124</v>
      </c>
      <c r="E4">
        <v>1200</v>
      </c>
    </row>
    <row r="5" spans="1:5" x14ac:dyDescent="0.2">
      <c r="B5" t="s">
        <v>116</v>
      </c>
      <c r="C5">
        <f>C3-C4</f>
        <v>430</v>
      </c>
      <c r="D5">
        <f t="shared" ref="D5:E5" si="0">D3-D4</f>
        <v>452</v>
      </c>
      <c r="E5">
        <f t="shared" si="0"/>
        <v>518</v>
      </c>
    </row>
    <row r="7" spans="1:5" x14ac:dyDescent="0.2">
      <c r="B7" t="s">
        <v>117</v>
      </c>
      <c r="C7">
        <f>(1.1)^C2</f>
        <v>1.1000000000000001</v>
      </c>
      <c r="D7">
        <f t="shared" ref="D7:E7" si="1">(1.1)^D2</f>
        <v>1.2100000000000002</v>
      </c>
      <c r="E7">
        <f t="shared" si="1"/>
        <v>1.3310000000000004</v>
      </c>
    </row>
    <row r="8" spans="1:5" x14ac:dyDescent="0.2">
      <c r="B8" t="s">
        <v>118</v>
      </c>
      <c r="C8" s="6">
        <f>C5/C7</f>
        <v>390.90909090909088</v>
      </c>
      <c r="D8" s="6">
        <f t="shared" ref="D8:E8" si="2">D5/D7</f>
        <v>373.55371900826441</v>
      </c>
      <c r="E8" s="6">
        <f t="shared" si="2"/>
        <v>389.18106686701714</v>
      </c>
    </row>
    <row r="9" spans="1:5" x14ac:dyDescent="0.2">
      <c r="B9" t="s">
        <v>119</v>
      </c>
      <c r="C9" s="6">
        <f>SUM(C8:E8)</f>
        <v>1153.6438767843724</v>
      </c>
    </row>
    <row r="10" spans="1:5" x14ac:dyDescent="0.2">
      <c r="B10" t="s">
        <v>121</v>
      </c>
      <c r="C10">
        <v>1.04</v>
      </c>
    </row>
    <row r="11" spans="1:5" x14ac:dyDescent="0.2">
      <c r="B11" t="s">
        <v>120</v>
      </c>
      <c r="C11" s="6">
        <f>(C10*E5)/(C7-C10)</f>
        <v>8978.6666666666588</v>
      </c>
    </row>
    <row r="12" spans="1:5" x14ac:dyDescent="0.2">
      <c r="B12" t="s">
        <v>122</v>
      </c>
      <c r="C12" s="6"/>
    </row>
    <row r="13" spans="1:5" x14ac:dyDescent="0.2">
      <c r="B13" t="s">
        <v>123</v>
      </c>
      <c r="C13" s="6">
        <f>C11/E7</f>
        <v>6745.8051590282912</v>
      </c>
    </row>
    <row r="15" spans="1:5" x14ac:dyDescent="0.2">
      <c r="B15" t="s">
        <v>124</v>
      </c>
      <c r="C15" s="6">
        <f>C13+C9</f>
        <v>7899.4490358126641</v>
      </c>
    </row>
    <row r="17" spans="1:3" x14ac:dyDescent="0.2">
      <c r="A17" t="s">
        <v>90</v>
      </c>
      <c r="B17" t="s">
        <v>125</v>
      </c>
      <c r="C17" s="6">
        <f>C15-C18</f>
        <v>7140.4490358126641</v>
      </c>
    </row>
    <row r="18" spans="1:3" x14ac:dyDescent="0.2">
      <c r="B18" t="s">
        <v>126</v>
      </c>
      <c r="C18">
        <v>759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A9B7-6629-9449-9397-51CE11028BBD}">
  <dimension ref="A2:F30"/>
  <sheetViews>
    <sheetView workbookViewId="0">
      <selection activeCell="H7" sqref="H7"/>
    </sheetView>
  </sheetViews>
  <sheetFormatPr baseColWidth="10" defaultRowHeight="16" x14ac:dyDescent="0.2"/>
  <sheetData>
    <row r="2" spans="1:6" x14ac:dyDescent="0.2">
      <c r="A2" t="s">
        <v>13</v>
      </c>
      <c r="B2" t="s">
        <v>78</v>
      </c>
      <c r="C2">
        <v>1380</v>
      </c>
    </row>
    <row r="3" spans="1:6" x14ac:dyDescent="0.2">
      <c r="B3" t="s">
        <v>16</v>
      </c>
      <c r="C3">
        <v>4310</v>
      </c>
    </row>
    <row r="4" spans="1:6" x14ac:dyDescent="0.2">
      <c r="B4" t="s">
        <v>127</v>
      </c>
      <c r="C4">
        <v>1.1000000000000001</v>
      </c>
    </row>
    <row r="5" spans="1:6" x14ac:dyDescent="0.2">
      <c r="B5">
        <v>2013</v>
      </c>
      <c r="C5">
        <f>B5+1</f>
        <v>2014</v>
      </c>
      <c r="D5">
        <f t="shared" ref="D5:F5" si="0">C5+1</f>
        <v>2015</v>
      </c>
      <c r="E5">
        <f t="shared" si="0"/>
        <v>2016</v>
      </c>
      <c r="F5">
        <f t="shared" si="0"/>
        <v>2017</v>
      </c>
    </row>
    <row r="6" spans="1:6" x14ac:dyDescent="0.2">
      <c r="B6">
        <v>1</v>
      </c>
      <c r="C6">
        <v>2</v>
      </c>
      <c r="D6">
        <v>3</v>
      </c>
      <c r="E6">
        <v>4</v>
      </c>
      <c r="F6">
        <v>5</v>
      </c>
    </row>
    <row r="7" spans="1:6" x14ac:dyDescent="0.2">
      <c r="A7" t="s">
        <v>128</v>
      </c>
      <c r="B7">
        <v>388</v>
      </c>
      <c r="C7">
        <v>570</v>
      </c>
      <c r="D7">
        <v>599</v>
      </c>
      <c r="E7">
        <v>629</v>
      </c>
      <c r="F7">
        <v>660</v>
      </c>
    </row>
    <row r="8" spans="1:6" x14ac:dyDescent="0.2">
      <c r="A8" t="s">
        <v>63</v>
      </c>
      <c r="B8">
        <v>115</v>
      </c>
      <c r="C8">
        <v>160</v>
      </c>
      <c r="D8">
        <v>349</v>
      </c>
      <c r="E8">
        <v>367</v>
      </c>
      <c r="F8">
        <v>385.4</v>
      </c>
    </row>
    <row r="9" spans="1:6" x14ac:dyDescent="0.2">
      <c r="A9" t="s">
        <v>131</v>
      </c>
      <c r="B9">
        <f>C3+B7-B8</f>
        <v>4583</v>
      </c>
      <c r="C9">
        <f>B9+C7-C8</f>
        <v>4993</v>
      </c>
      <c r="D9">
        <f t="shared" ref="D9:F9" si="1">C9+D7-D8</f>
        <v>5243</v>
      </c>
      <c r="E9">
        <f t="shared" si="1"/>
        <v>5505</v>
      </c>
      <c r="F9">
        <f t="shared" si="1"/>
        <v>5779.6</v>
      </c>
    </row>
    <row r="11" spans="1:6" x14ac:dyDescent="0.2">
      <c r="A11" t="s">
        <v>129</v>
      </c>
      <c r="B11" s="4">
        <f>B7/C3</f>
        <v>9.0023201856148496E-2</v>
      </c>
      <c r="C11" s="4">
        <f>C7/B9</f>
        <v>0.12437268164957452</v>
      </c>
      <c r="D11" s="4">
        <f t="shared" ref="D11:F11" si="2">D7/C9</f>
        <v>0.11996795513719206</v>
      </c>
      <c r="E11" s="4">
        <f t="shared" si="2"/>
        <v>0.11996948312035094</v>
      </c>
      <c r="F11" s="4">
        <f t="shared" si="2"/>
        <v>0.11989100817438691</v>
      </c>
    </row>
    <row r="12" spans="1:6" x14ac:dyDescent="0.2">
      <c r="A12" t="s">
        <v>130</v>
      </c>
      <c r="B12">
        <f>B7-(C3*($C$4-1))</f>
        <v>-43.000000000000398</v>
      </c>
      <c r="C12">
        <f>C7-(B9*($C$4-1))</f>
        <v>111.69999999999959</v>
      </c>
      <c r="D12">
        <f t="shared" ref="D12:F12" si="3">D7-(C9*($C$4-1))</f>
        <v>99.699999999999534</v>
      </c>
      <c r="E12">
        <f t="shared" si="3"/>
        <v>104.69999999999959</v>
      </c>
      <c r="F12">
        <f t="shared" si="3"/>
        <v>109.49999999999955</v>
      </c>
    </row>
    <row r="14" spans="1:6" x14ac:dyDescent="0.2">
      <c r="A14" t="s">
        <v>132</v>
      </c>
      <c r="C14" s="4">
        <f>C9/B9-1</f>
        <v>8.9461051712851791E-2</v>
      </c>
      <c r="D14" s="4">
        <f t="shared" ref="D14:F14" si="4">D9/C9-1</f>
        <v>5.0070098137392272E-2</v>
      </c>
      <c r="E14" s="4">
        <f t="shared" si="4"/>
        <v>4.9971390425328943E-2</v>
      </c>
      <c r="F14" s="4">
        <f t="shared" si="4"/>
        <v>4.9881925522252457E-2</v>
      </c>
    </row>
    <row r="15" spans="1:6" x14ac:dyDescent="0.2">
      <c r="A15" t="s">
        <v>133</v>
      </c>
      <c r="C15" s="4">
        <f>C12/B12-1</f>
        <v>-3.5976744186046177</v>
      </c>
      <c r="D15" s="4">
        <f t="shared" ref="D15:F15" si="5">D12/C12-1</f>
        <v>-0.10743061772605278</v>
      </c>
      <c r="E15" s="4">
        <f t="shared" si="5"/>
        <v>5.015045135406293E-2</v>
      </c>
      <c r="F15" s="4">
        <f t="shared" si="5"/>
        <v>4.5845272206303411E-2</v>
      </c>
    </row>
    <row r="17" spans="1:6" x14ac:dyDescent="0.2">
      <c r="A17" t="s">
        <v>135</v>
      </c>
      <c r="B17">
        <f>$C$4^B6</f>
        <v>1.1000000000000001</v>
      </c>
      <c r="C17">
        <f t="shared" ref="C17:F17" si="6">$C$4^C6</f>
        <v>1.2100000000000002</v>
      </c>
      <c r="D17">
        <f t="shared" si="6"/>
        <v>1.3310000000000004</v>
      </c>
      <c r="E17">
        <f t="shared" si="6"/>
        <v>1.4641000000000004</v>
      </c>
      <c r="F17">
        <f t="shared" si="6"/>
        <v>1.6105100000000006</v>
      </c>
    </row>
    <row r="18" spans="1:6" x14ac:dyDescent="0.2">
      <c r="A18" t="s">
        <v>134</v>
      </c>
      <c r="B18" s="4">
        <f>B12/B17</f>
        <v>-39.090909090909449</v>
      </c>
      <c r="C18" s="4">
        <f t="shared" ref="C18:F18" si="7">C12/C17</f>
        <v>92.314049586776505</v>
      </c>
      <c r="D18" s="4">
        <f t="shared" si="7"/>
        <v>74.906085649886933</v>
      </c>
      <c r="E18" s="4"/>
      <c r="F18" s="4"/>
    </row>
    <row r="19" spans="1:6" x14ac:dyDescent="0.2">
      <c r="A19" t="s">
        <v>136</v>
      </c>
      <c r="B19" s="4">
        <f>SUM(B18:F18)</f>
        <v>128.12922614575399</v>
      </c>
    </row>
    <row r="21" spans="1:6" x14ac:dyDescent="0.2">
      <c r="A21" t="s">
        <v>137</v>
      </c>
      <c r="B21">
        <f>D12/(C4-(1+E15))</f>
        <v>2000.0181086519283</v>
      </c>
    </row>
    <row r="22" spans="1:6" x14ac:dyDescent="0.2">
      <c r="A22" t="s">
        <v>123</v>
      </c>
      <c r="B22">
        <f>B21/C17</f>
        <v>1652.9075278115108</v>
      </c>
    </row>
    <row r="23" spans="1:6" x14ac:dyDescent="0.2">
      <c r="A23" t="s">
        <v>138</v>
      </c>
      <c r="B23">
        <f>B22+C3</f>
        <v>5962.9075278115106</v>
      </c>
    </row>
    <row r="24" spans="1:6" x14ac:dyDescent="0.2">
      <c r="A24" t="s">
        <v>79</v>
      </c>
      <c r="B24">
        <f>B23/C2</f>
        <v>4.3209474839213842</v>
      </c>
    </row>
    <row r="26" spans="1:6" x14ac:dyDescent="0.2">
      <c r="A26" t="s">
        <v>139</v>
      </c>
      <c r="F26" t="s">
        <v>141</v>
      </c>
    </row>
    <row r="27" spans="1:6" x14ac:dyDescent="0.2">
      <c r="A27" t="s">
        <v>140</v>
      </c>
      <c r="E27">
        <f>B23-C3</f>
        <v>1652.9075278115106</v>
      </c>
      <c r="F27">
        <f>E27/C2</f>
        <v>1.1977590781242831</v>
      </c>
    </row>
    <row r="29" spans="1:6" x14ac:dyDescent="0.2">
      <c r="A29" t="s">
        <v>142</v>
      </c>
    </row>
    <row r="30" spans="1:6" x14ac:dyDescent="0.2">
      <c r="A30">
        <f>B23/C3</f>
        <v>1.38350522687042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25F68-506E-7745-B05A-E47800347425}">
  <dimension ref="A2:H19"/>
  <sheetViews>
    <sheetView workbookViewId="0">
      <selection activeCell="J26" sqref="J26"/>
    </sheetView>
  </sheetViews>
  <sheetFormatPr baseColWidth="10" defaultRowHeight="16" x14ac:dyDescent="0.2"/>
  <sheetData>
    <row r="2" spans="1:8" x14ac:dyDescent="0.2">
      <c r="B2" t="s">
        <v>146</v>
      </c>
      <c r="C2" s="10">
        <v>1.1200000000000001</v>
      </c>
    </row>
    <row r="4" spans="1:8" x14ac:dyDescent="0.2">
      <c r="C4">
        <v>2012</v>
      </c>
      <c r="D4">
        <v>2013</v>
      </c>
      <c r="E4">
        <v>2014</v>
      </c>
      <c r="F4">
        <v>2015</v>
      </c>
      <c r="G4">
        <v>2016</v>
      </c>
      <c r="H4">
        <v>2017</v>
      </c>
    </row>
    <row r="5" spans="1:8" x14ac:dyDescent="0.2">
      <c r="C5">
        <v>0</v>
      </c>
      <c r="D5">
        <v>1</v>
      </c>
      <c r="E5">
        <f>D5+1</f>
        <v>2</v>
      </c>
      <c r="F5">
        <f t="shared" ref="F5:H5" si="0">E5+1</f>
        <v>3</v>
      </c>
      <c r="G5">
        <f t="shared" si="0"/>
        <v>4</v>
      </c>
      <c r="H5">
        <f t="shared" si="0"/>
        <v>5</v>
      </c>
    </row>
    <row r="6" spans="1:8" x14ac:dyDescent="0.2">
      <c r="B6" t="s">
        <v>143</v>
      </c>
      <c r="D6">
        <v>3.9</v>
      </c>
      <c r="E6">
        <v>3.7</v>
      </c>
      <c r="F6">
        <v>3.31</v>
      </c>
      <c r="G6">
        <v>3.59</v>
      </c>
      <c r="H6">
        <v>3.9</v>
      </c>
    </row>
    <row r="7" spans="1:8" x14ac:dyDescent="0.2">
      <c r="B7" t="s">
        <v>144</v>
      </c>
      <c r="D7">
        <v>1</v>
      </c>
      <c r="E7">
        <v>1</v>
      </c>
      <c r="F7">
        <v>1</v>
      </c>
      <c r="G7">
        <v>1</v>
      </c>
      <c r="H7">
        <v>1</v>
      </c>
    </row>
    <row r="8" spans="1:8" x14ac:dyDescent="0.2">
      <c r="B8" t="s">
        <v>145</v>
      </c>
      <c r="C8">
        <v>22</v>
      </c>
      <c r="D8">
        <f>C8+D6-D7</f>
        <v>24.9</v>
      </c>
      <c r="E8">
        <f t="shared" ref="E8:H8" si="1">D8+E6-E7</f>
        <v>27.599999999999998</v>
      </c>
      <c r="F8">
        <f t="shared" si="1"/>
        <v>29.909999999999997</v>
      </c>
      <c r="G8">
        <f t="shared" si="1"/>
        <v>32.5</v>
      </c>
      <c r="H8">
        <f t="shared" si="1"/>
        <v>35.4</v>
      </c>
    </row>
    <row r="10" spans="1:8" x14ac:dyDescent="0.2">
      <c r="A10" t="s">
        <v>13</v>
      </c>
      <c r="B10" t="s">
        <v>147</v>
      </c>
      <c r="D10" s="4">
        <f>D6-(C8*($C$2-1))</f>
        <v>1.2599999999999976</v>
      </c>
      <c r="E10" s="4">
        <f t="shared" ref="E10:H10" si="2">E6-(D8*($C$2-1))</f>
        <v>0.71199999999999752</v>
      </c>
      <c r="F10" s="4">
        <f t="shared" si="2"/>
        <v>-2.0000000000024443E-3</v>
      </c>
      <c r="G10" s="4">
        <f t="shared" si="2"/>
        <v>7.9999999999724736E-4</v>
      </c>
      <c r="H10" s="4">
        <f t="shared" si="2"/>
        <v>-3.5527136788005009E-15</v>
      </c>
    </row>
    <row r="11" spans="1:8" x14ac:dyDescent="0.2">
      <c r="B11" t="s">
        <v>148</v>
      </c>
      <c r="C11" s="5">
        <f>$C$2^C5</f>
        <v>1</v>
      </c>
      <c r="D11" s="5">
        <f t="shared" ref="D11:H11" si="3">$C$2^D5</f>
        <v>1.1200000000000001</v>
      </c>
      <c r="E11" s="5">
        <f t="shared" si="3"/>
        <v>1.2544000000000002</v>
      </c>
      <c r="F11" s="5">
        <f t="shared" si="3"/>
        <v>1.4049280000000004</v>
      </c>
      <c r="G11" s="5">
        <f t="shared" si="3"/>
        <v>1.5735193600000004</v>
      </c>
      <c r="H11" s="5">
        <f t="shared" si="3"/>
        <v>1.7623416832000005</v>
      </c>
    </row>
    <row r="12" spans="1:8" x14ac:dyDescent="0.2">
      <c r="B12" t="s">
        <v>134</v>
      </c>
      <c r="D12" s="4">
        <f>D10/D11</f>
        <v>1.1249999999999978</v>
      </c>
      <c r="E12" s="4">
        <f>E10/E11</f>
        <v>0.56760204081632448</v>
      </c>
    </row>
    <row r="13" spans="1:8" x14ac:dyDescent="0.2">
      <c r="B13" t="s">
        <v>134</v>
      </c>
      <c r="C13" s="4">
        <f>SUM(D12:E12)</f>
        <v>1.6926020408163223</v>
      </c>
    </row>
    <row r="15" spans="1:8" x14ac:dyDescent="0.2">
      <c r="A15" t="s">
        <v>17</v>
      </c>
      <c r="B15" t="s">
        <v>150</v>
      </c>
      <c r="C15" s="4">
        <f>C8+C13</f>
        <v>23.692602040816322</v>
      </c>
    </row>
    <row r="17" spans="1:2" x14ac:dyDescent="0.2">
      <c r="A17" t="s">
        <v>151</v>
      </c>
      <c r="B17" t="s">
        <v>152</v>
      </c>
    </row>
    <row r="19" spans="1:2" x14ac:dyDescent="0.2">
      <c r="A19" t="s">
        <v>27</v>
      </c>
      <c r="B19" t="s">
        <v>153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A924E-8866-CD47-B619-D8E7014164A3}">
  <dimension ref="B2:H22"/>
  <sheetViews>
    <sheetView topLeftCell="A17" workbookViewId="0">
      <selection activeCell="B23" sqref="B23"/>
    </sheetView>
  </sheetViews>
  <sheetFormatPr baseColWidth="10" defaultRowHeight="16" x14ac:dyDescent="0.2"/>
  <cols>
    <col min="3" max="3" width="11.6640625" bestFit="1" customWidth="1"/>
  </cols>
  <sheetData>
    <row r="2" spans="2:8" x14ac:dyDescent="0.2">
      <c r="B2" t="s">
        <v>149</v>
      </c>
      <c r="C2">
        <v>1.1000000000000001</v>
      </c>
    </row>
    <row r="3" spans="2:8" x14ac:dyDescent="0.2">
      <c r="B3" t="s">
        <v>154</v>
      </c>
      <c r="C3">
        <v>1.04</v>
      </c>
    </row>
    <row r="4" spans="2:8" x14ac:dyDescent="0.2">
      <c r="B4" t="s">
        <v>155</v>
      </c>
      <c r="C4">
        <v>60</v>
      </c>
    </row>
    <row r="6" spans="2:8" x14ac:dyDescent="0.2">
      <c r="C6">
        <v>2008</v>
      </c>
      <c r="D6">
        <f>C6+1</f>
        <v>2009</v>
      </c>
      <c r="E6">
        <f>D6+1</f>
        <v>2010</v>
      </c>
      <c r="F6">
        <f>E6+1</f>
        <v>2011</v>
      </c>
      <c r="G6">
        <f>F6+1</f>
        <v>2012</v>
      </c>
      <c r="H6">
        <f>G6+1</f>
        <v>2013</v>
      </c>
    </row>
    <row r="7" spans="2:8" x14ac:dyDescent="0.2">
      <c r="C7">
        <v>0</v>
      </c>
      <c r="D7">
        <f>C7+1</f>
        <v>1</v>
      </c>
      <c r="E7">
        <f>D7+1</f>
        <v>2</v>
      </c>
      <c r="F7">
        <f>E7+1</f>
        <v>3</v>
      </c>
      <c r="G7">
        <f>F7+1</f>
        <v>4</v>
      </c>
      <c r="H7">
        <f>G7+1</f>
        <v>5</v>
      </c>
    </row>
    <row r="8" spans="2:8" x14ac:dyDescent="0.2">
      <c r="B8" t="s">
        <v>143</v>
      </c>
      <c r="C8">
        <v>3.8</v>
      </c>
      <c r="D8">
        <v>3.9</v>
      </c>
      <c r="E8">
        <v>4.45</v>
      </c>
      <c r="F8">
        <v>5.03</v>
      </c>
      <c r="G8">
        <v>5.68</v>
      </c>
      <c r="H8">
        <v>6.42</v>
      </c>
    </row>
    <row r="9" spans="2:8" x14ac:dyDescent="0.2">
      <c r="B9" t="s">
        <v>144</v>
      </c>
      <c r="C9">
        <v>0.88</v>
      </c>
      <c r="D9">
        <v>0.9</v>
      </c>
      <c r="E9">
        <v>1.02</v>
      </c>
      <c r="F9">
        <v>1.1599999999999999</v>
      </c>
      <c r="G9">
        <v>1.31</v>
      </c>
      <c r="H9">
        <v>1.48</v>
      </c>
    </row>
    <row r="10" spans="2:8" x14ac:dyDescent="0.2">
      <c r="B10" t="s">
        <v>145</v>
      </c>
      <c r="C10">
        <v>15.93</v>
      </c>
      <c r="D10">
        <f>C10+D8-D9</f>
        <v>18.93</v>
      </c>
      <c r="E10">
        <f t="shared" ref="E10:H10" si="0">D10+E8-E9</f>
        <v>22.36</v>
      </c>
      <c r="F10">
        <f t="shared" si="0"/>
        <v>26.23</v>
      </c>
      <c r="G10">
        <f t="shared" si="0"/>
        <v>30.6</v>
      </c>
      <c r="H10">
        <f t="shared" si="0"/>
        <v>35.540000000000006</v>
      </c>
    </row>
    <row r="12" spans="2:8" x14ac:dyDescent="0.2">
      <c r="B12" t="s">
        <v>129</v>
      </c>
      <c r="D12" s="4">
        <f>D8/C10</f>
        <v>0.2448210922787194</v>
      </c>
      <c r="E12" s="4">
        <f t="shared" ref="E12:H12" si="1">E8/D10</f>
        <v>0.23507659799260436</v>
      </c>
      <c r="F12" s="4">
        <f t="shared" si="1"/>
        <v>0.22495527728085871</v>
      </c>
      <c r="G12" s="4">
        <f t="shared" si="1"/>
        <v>0.21654593976362943</v>
      </c>
      <c r="H12" s="4">
        <f t="shared" si="1"/>
        <v>0.20980392156862743</v>
      </c>
    </row>
    <row r="13" spans="2:8" x14ac:dyDescent="0.2">
      <c r="B13" t="s">
        <v>147</v>
      </c>
      <c r="D13">
        <f>D8-(C10*($C$2-1))</f>
        <v>2.3069999999999986</v>
      </c>
      <c r="E13">
        <f t="shared" ref="E13:H13" si="2">E8-(D10*($C$2-1))</f>
        <v>2.5569999999999986</v>
      </c>
      <c r="F13">
        <f t="shared" si="2"/>
        <v>2.7939999999999983</v>
      </c>
      <c r="G13">
        <f t="shared" si="2"/>
        <v>3.0569999999999973</v>
      </c>
      <c r="H13">
        <f t="shared" si="2"/>
        <v>3.3599999999999972</v>
      </c>
    </row>
    <row r="14" spans="2:8" x14ac:dyDescent="0.2">
      <c r="B14" t="s">
        <v>156</v>
      </c>
      <c r="C14">
        <f>$C$2^C7</f>
        <v>1</v>
      </c>
      <c r="D14" s="3">
        <f>$C$2^D7</f>
        <v>1.1000000000000001</v>
      </c>
      <c r="E14" s="3">
        <f t="shared" ref="E14:H14" si="3">$C$2^E7</f>
        <v>1.2100000000000002</v>
      </c>
      <c r="F14" s="3">
        <f t="shared" si="3"/>
        <v>1.3310000000000004</v>
      </c>
      <c r="G14" s="3">
        <f>$C$2^G7</f>
        <v>1.4641000000000004</v>
      </c>
      <c r="H14" s="3">
        <f t="shared" si="3"/>
        <v>1.6105100000000006</v>
      </c>
    </row>
    <row r="15" spans="2:8" x14ac:dyDescent="0.2">
      <c r="B15" t="s">
        <v>134</v>
      </c>
      <c r="D15" s="3">
        <f>D13/D14</f>
        <v>2.0972727272727258</v>
      </c>
      <c r="E15" s="3">
        <f t="shared" ref="E15:H15" si="4">E13/E14</f>
        <v>2.1132231404958661</v>
      </c>
      <c r="F15" s="3">
        <f t="shared" si="4"/>
        <v>2.0991735537190062</v>
      </c>
      <c r="G15" s="3">
        <f>G13/G14</f>
        <v>2.0879721330510188</v>
      </c>
      <c r="H15" s="3">
        <f t="shared" si="4"/>
        <v>2.0862956454787591</v>
      </c>
    </row>
    <row r="16" spans="2:8" x14ac:dyDescent="0.2">
      <c r="B16" t="s">
        <v>136</v>
      </c>
      <c r="C16" s="3">
        <f>SUM(D15:H15)</f>
        <v>10.483937200017376</v>
      </c>
    </row>
    <row r="18" spans="2:8" x14ac:dyDescent="0.2">
      <c r="B18" t="s">
        <v>157</v>
      </c>
      <c r="H18">
        <f>H13*C3/(C2-C3)</f>
        <v>58.239999999999903</v>
      </c>
    </row>
    <row r="19" spans="2:8" x14ac:dyDescent="0.2">
      <c r="B19" t="s">
        <v>123</v>
      </c>
      <c r="C19" s="4">
        <f>H18/H14</f>
        <v>36.162457854965126</v>
      </c>
    </row>
    <row r="20" spans="2:8" x14ac:dyDescent="0.2">
      <c r="B20" t="s">
        <v>158</v>
      </c>
      <c r="C20" s="4">
        <f>C10+C19+C16</f>
        <v>62.576395054982498</v>
      </c>
    </row>
    <row r="22" spans="2:8" x14ac:dyDescent="0.2">
      <c r="B22" t="s">
        <v>159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83B5-222F-A542-9C6D-9998531F488F}">
  <dimension ref="A3:G41"/>
  <sheetViews>
    <sheetView topLeftCell="A4" workbookViewId="0">
      <selection activeCell="D16" sqref="D16"/>
    </sheetView>
  </sheetViews>
  <sheetFormatPr baseColWidth="10" defaultRowHeight="16" x14ac:dyDescent="0.2"/>
  <cols>
    <col min="2" max="2" width="13.33203125" customWidth="1"/>
    <col min="7" max="7" width="12.83203125" bestFit="1" customWidth="1"/>
  </cols>
  <sheetData>
    <row r="3" spans="1:7" x14ac:dyDescent="0.2">
      <c r="B3" t="s">
        <v>0</v>
      </c>
      <c r="C3">
        <v>1380</v>
      </c>
    </row>
    <row r="4" spans="1:7" x14ac:dyDescent="0.2">
      <c r="B4" t="s">
        <v>160</v>
      </c>
      <c r="C4">
        <v>1.1000000000000001</v>
      </c>
    </row>
    <row r="8" spans="1:7" x14ac:dyDescent="0.2">
      <c r="A8" t="s">
        <v>13</v>
      </c>
      <c r="C8">
        <v>2013</v>
      </c>
      <c r="D8">
        <f>C8+1</f>
        <v>2014</v>
      </c>
      <c r="E8">
        <f>D8+1</f>
        <v>2015</v>
      </c>
      <c r="F8">
        <f>E8+1</f>
        <v>2016</v>
      </c>
      <c r="G8">
        <f>F8+1</f>
        <v>2017</v>
      </c>
    </row>
    <row r="9" spans="1:7" x14ac:dyDescent="0.2">
      <c r="C9">
        <f>C8-2013</f>
        <v>0</v>
      </c>
      <c r="D9">
        <f t="shared" ref="D9:G9" si="0">D8-2013</f>
        <v>1</v>
      </c>
      <c r="E9">
        <f t="shared" si="0"/>
        <v>2</v>
      </c>
      <c r="F9">
        <f t="shared" si="0"/>
        <v>3</v>
      </c>
      <c r="G9">
        <f t="shared" si="0"/>
        <v>4</v>
      </c>
    </row>
    <row r="10" spans="1:7" x14ac:dyDescent="0.2">
      <c r="B10" t="s">
        <v>128</v>
      </c>
      <c r="C10">
        <v>388</v>
      </c>
      <c r="D10">
        <v>570</v>
      </c>
      <c r="E10">
        <v>599</v>
      </c>
      <c r="F10">
        <v>629</v>
      </c>
      <c r="G10">
        <v>660.45</v>
      </c>
    </row>
    <row r="11" spans="1:7" x14ac:dyDescent="0.2">
      <c r="B11" t="s">
        <v>161</v>
      </c>
      <c r="C11">
        <v>115</v>
      </c>
      <c r="D11">
        <v>160</v>
      </c>
      <c r="E11">
        <v>349</v>
      </c>
      <c r="F11">
        <v>367</v>
      </c>
      <c r="G11">
        <v>385.4</v>
      </c>
    </row>
    <row r="12" spans="1:7" x14ac:dyDescent="0.2">
      <c r="B12" t="s">
        <v>162</v>
      </c>
      <c r="D12">
        <f>($C$4-1)*C11</f>
        <v>11.500000000000011</v>
      </c>
      <c r="E12">
        <f t="shared" ref="E12:G12" si="1">($C$4-1)*D11</f>
        <v>16.000000000000014</v>
      </c>
      <c r="F12">
        <f t="shared" si="1"/>
        <v>34.900000000000034</v>
      </c>
      <c r="G12">
        <f t="shared" si="1"/>
        <v>36.700000000000031</v>
      </c>
    </row>
    <row r="14" spans="1:7" x14ac:dyDescent="0.2">
      <c r="B14" t="s">
        <v>163</v>
      </c>
      <c r="D14">
        <f>D10+D12</f>
        <v>581.5</v>
      </c>
      <c r="E14">
        <f t="shared" ref="E14:G14" si="2">E10+E12</f>
        <v>615</v>
      </c>
      <c r="F14">
        <f t="shared" si="2"/>
        <v>663.90000000000009</v>
      </c>
      <c r="G14">
        <f t="shared" si="2"/>
        <v>697.15000000000009</v>
      </c>
    </row>
    <row r="15" spans="1:7" x14ac:dyDescent="0.2">
      <c r="B15" t="s">
        <v>164</v>
      </c>
      <c r="D15">
        <f>C10*$C$4</f>
        <v>426.8</v>
      </c>
      <c r="E15">
        <f t="shared" ref="E15:G15" si="3">D10*$C$4</f>
        <v>627</v>
      </c>
      <c r="F15">
        <f t="shared" si="3"/>
        <v>658.90000000000009</v>
      </c>
      <c r="G15">
        <f t="shared" si="3"/>
        <v>691.90000000000009</v>
      </c>
    </row>
    <row r="16" spans="1:7" x14ac:dyDescent="0.2">
      <c r="B16" t="s">
        <v>166</v>
      </c>
      <c r="D16">
        <f>D14-D15</f>
        <v>154.69999999999999</v>
      </c>
      <c r="E16">
        <f t="shared" ref="E16:G16" si="4">E14-E15</f>
        <v>-12</v>
      </c>
      <c r="F16">
        <f t="shared" si="4"/>
        <v>5</v>
      </c>
      <c r="G16">
        <f t="shared" si="4"/>
        <v>5.25</v>
      </c>
    </row>
    <row r="18" spans="1:7" x14ac:dyDescent="0.2">
      <c r="A18" t="s">
        <v>90</v>
      </c>
      <c r="B18" t="s">
        <v>167</v>
      </c>
      <c r="D18" s="4">
        <f>D10/C10-1</f>
        <v>0.46907216494845372</v>
      </c>
      <c r="E18" s="4">
        <f t="shared" ref="E18:G18" si="5">E10/D10-1</f>
        <v>5.0877192982456076E-2</v>
      </c>
      <c r="F18" s="4">
        <f t="shared" si="5"/>
        <v>5.0083472454090172E-2</v>
      </c>
      <c r="G18" s="4">
        <f t="shared" si="5"/>
        <v>5.0000000000000044E-2</v>
      </c>
    </row>
    <row r="19" spans="1:7" x14ac:dyDescent="0.2">
      <c r="B19" t="s">
        <v>168</v>
      </c>
      <c r="D19" s="4">
        <f>D14/C10-1</f>
        <v>0.49871134020618557</v>
      </c>
      <c r="E19" s="4">
        <f t="shared" ref="E19:G19" si="6">E14/D10-1</f>
        <v>7.8947368421052655E-2</v>
      </c>
      <c r="F19" s="4">
        <f t="shared" si="6"/>
        <v>0.10834724540901508</v>
      </c>
      <c r="G19" s="4">
        <f t="shared" si="6"/>
        <v>0.10834658187599389</v>
      </c>
    </row>
    <row r="20" spans="1:7" x14ac:dyDescent="0.2">
      <c r="B20" t="s">
        <v>170</v>
      </c>
      <c r="E20" s="5"/>
      <c r="F20" s="5"/>
      <c r="G20" s="4">
        <f>G16/F16-1</f>
        <v>5.0000000000000044E-2</v>
      </c>
    </row>
    <row r="22" spans="1:7" x14ac:dyDescent="0.2">
      <c r="B22" t="s">
        <v>117</v>
      </c>
      <c r="C22">
        <f>$C$4^C9</f>
        <v>1</v>
      </c>
      <c r="D22" s="4">
        <f>$C$4^D9</f>
        <v>1.1000000000000001</v>
      </c>
      <c r="E22" s="4">
        <f>$C$4^E9</f>
        <v>1.2100000000000002</v>
      </c>
      <c r="F22" s="4">
        <f>$C$4^F9</f>
        <v>1.3310000000000004</v>
      </c>
      <c r="G22" s="4">
        <f>$C$4^G9</f>
        <v>1.4641000000000004</v>
      </c>
    </row>
    <row r="24" spans="1:7" x14ac:dyDescent="0.2">
      <c r="B24" t="s">
        <v>169</v>
      </c>
      <c r="D24" s="4">
        <f>D16/D22</f>
        <v>140.63636363636363</v>
      </c>
      <c r="E24" s="4">
        <f>E16/E22</f>
        <v>-9.9173553719008254</v>
      </c>
      <c r="F24" s="4">
        <f>F16/F22</f>
        <v>3.7565740045078875</v>
      </c>
      <c r="G24" s="4">
        <f>G16/G22</f>
        <v>3.5858206406666202</v>
      </c>
    </row>
    <row r="25" spans="1:7" x14ac:dyDescent="0.2">
      <c r="B25" t="s">
        <v>172</v>
      </c>
      <c r="D25" s="4">
        <f>SUM(D24:E24)</f>
        <v>130.71900826446279</v>
      </c>
    </row>
    <row r="27" spans="1:7" x14ac:dyDescent="0.2">
      <c r="A27" t="s">
        <v>21</v>
      </c>
    </row>
    <row r="28" spans="1:7" x14ac:dyDescent="0.2">
      <c r="A28" t="s">
        <v>171</v>
      </c>
    </row>
    <row r="29" spans="1:7" x14ac:dyDescent="0.2">
      <c r="B29" t="s">
        <v>137</v>
      </c>
      <c r="D29">
        <f>F16/(C4-(1+F18))</f>
        <v>100.16722408026743</v>
      </c>
    </row>
    <row r="30" spans="1:7" x14ac:dyDescent="0.2">
      <c r="B30" t="s">
        <v>123</v>
      </c>
      <c r="D30">
        <f>D29/E22</f>
        <v>82.782829818402817</v>
      </c>
    </row>
    <row r="32" spans="1:7" x14ac:dyDescent="0.2">
      <c r="B32" t="s">
        <v>173</v>
      </c>
      <c r="D32" s="4">
        <f>D30+D25+C10</f>
        <v>601.50183808286556</v>
      </c>
    </row>
    <row r="34" spans="1:4" x14ac:dyDescent="0.2">
      <c r="B34" t="s">
        <v>174</v>
      </c>
      <c r="D34">
        <f>D32/(C4-1)</f>
        <v>6015.0183808286502</v>
      </c>
    </row>
    <row r="35" spans="1:4" x14ac:dyDescent="0.2">
      <c r="B35" t="s">
        <v>175</v>
      </c>
      <c r="D35">
        <f>D34/C3</f>
        <v>4.3587089716149636</v>
      </c>
    </row>
    <row r="38" spans="1:4" x14ac:dyDescent="0.2">
      <c r="A38" t="s">
        <v>27</v>
      </c>
      <c r="B38" t="s">
        <v>176</v>
      </c>
    </row>
    <row r="39" spans="1:4" x14ac:dyDescent="0.2">
      <c r="B39">
        <f>D34/C10</f>
        <v>15.502624692857346</v>
      </c>
    </row>
    <row r="40" spans="1:4" x14ac:dyDescent="0.2">
      <c r="B40" t="s">
        <v>177</v>
      </c>
    </row>
    <row r="41" spans="1:4" x14ac:dyDescent="0.2">
      <c r="B41">
        <f>1/0.1</f>
        <v>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32AD1-551D-B040-B6B6-82A7DCE3EF4B}">
  <dimension ref="A2:G41"/>
  <sheetViews>
    <sheetView topLeftCell="A9" workbookViewId="0">
      <selection activeCell="B41" sqref="B41"/>
    </sheetView>
  </sheetViews>
  <sheetFormatPr baseColWidth="10" defaultRowHeight="16" x14ac:dyDescent="0.2"/>
  <sheetData>
    <row r="2" spans="1:7" x14ac:dyDescent="0.2">
      <c r="B2" t="s">
        <v>178</v>
      </c>
      <c r="C2">
        <v>0.12</v>
      </c>
    </row>
    <row r="4" spans="1:7" x14ac:dyDescent="0.2">
      <c r="C4">
        <v>2013</v>
      </c>
      <c r="D4">
        <f>C4+1</f>
        <v>2014</v>
      </c>
      <c r="E4">
        <f t="shared" ref="E4:G4" si="0">D4+1</f>
        <v>2015</v>
      </c>
      <c r="F4">
        <f t="shared" si="0"/>
        <v>2016</v>
      </c>
      <c r="G4">
        <f t="shared" si="0"/>
        <v>2017</v>
      </c>
    </row>
    <row r="5" spans="1:7" x14ac:dyDescent="0.2">
      <c r="C5">
        <f>C4-2013</f>
        <v>0</v>
      </c>
      <c r="D5">
        <f>D4-2013</f>
        <v>1</v>
      </c>
      <c r="E5">
        <f t="shared" ref="E5:G5" si="1">E4-2013</f>
        <v>2</v>
      </c>
      <c r="F5">
        <f t="shared" si="1"/>
        <v>3</v>
      </c>
      <c r="G5">
        <f t="shared" si="1"/>
        <v>4</v>
      </c>
    </row>
    <row r="6" spans="1:7" x14ac:dyDescent="0.2">
      <c r="B6" t="s">
        <v>143</v>
      </c>
      <c r="C6">
        <v>3.9</v>
      </c>
      <c r="D6">
        <v>3.7</v>
      </c>
      <c r="E6">
        <v>3.31</v>
      </c>
      <c r="F6">
        <v>3.59</v>
      </c>
      <c r="G6">
        <v>3.9</v>
      </c>
    </row>
    <row r="7" spans="1:7" x14ac:dyDescent="0.2">
      <c r="B7" t="s">
        <v>144</v>
      </c>
      <c r="C7">
        <v>1</v>
      </c>
      <c r="D7">
        <v>1</v>
      </c>
      <c r="E7">
        <v>1</v>
      </c>
      <c r="F7">
        <v>1</v>
      </c>
      <c r="G7">
        <v>1</v>
      </c>
    </row>
    <row r="8" spans="1:7" x14ac:dyDescent="0.2">
      <c r="B8" t="s">
        <v>179</v>
      </c>
      <c r="D8">
        <f>C7*$C$2</f>
        <v>0.12</v>
      </c>
      <c r="E8">
        <f t="shared" ref="E8:G8" si="2">D7*$C$2</f>
        <v>0.12</v>
      </c>
      <c r="F8">
        <f t="shared" si="2"/>
        <v>0.12</v>
      </c>
      <c r="G8">
        <f t="shared" si="2"/>
        <v>0.12</v>
      </c>
    </row>
    <row r="9" spans="1:7" x14ac:dyDescent="0.2">
      <c r="A9" t="s">
        <v>85</v>
      </c>
      <c r="B9" t="s">
        <v>180</v>
      </c>
      <c r="D9">
        <f>D6+D8</f>
        <v>3.8200000000000003</v>
      </c>
      <c r="E9">
        <f t="shared" ref="E9:G9" si="3">E6+E8</f>
        <v>3.43</v>
      </c>
      <c r="F9">
        <f t="shared" si="3"/>
        <v>3.71</v>
      </c>
      <c r="G9">
        <f t="shared" si="3"/>
        <v>4.0199999999999996</v>
      </c>
    </row>
    <row r="10" spans="1:7" x14ac:dyDescent="0.2">
      <c r="B10" t="s">
        <v>164</v>
      </c>
      <c r="D10">
        <f>C6*(1+$C$2)</f>
        <v>4.3680000000000003</v>
      </c>
      <c r="E10">
        <f t="shared" ref="E10:G10" si="4">D6*(1+$C$2)</f>
        <v>4.144000000000001</v>
      </c>
      <c r="F10">
        <f t="shared" si="4"/>
        <v>3.7072000000000003</v>
      </c>
      <c r="G10">
        <f t="shared" si="4"/>
        <v>4.0208000000000004</v>
      </c>
    </row>
    <row r="12" spans="1:7" x14ac:dyDescent="0.2">
      <c r="B12" t="s">
        <v>181</v>
      </c>
      <c r="D12" s="3">
        <f>D9-D10</f>
        <v>-0.54800000000000004</v>
      </c>
      <c r="E12" s="3">
        <f t="shared" ref="E12:G12" si="5">E9-E10</f>
        <v>-0.71400000000000086</v>
      </c>
      <c r="F12" s="3">
        <f t="shared" si="5"/>
        <v>2.7999999999996916E-3</v>
      </c>
      <c r="G12" s="3">
        <f t="shared" si="5"/>
        <v>-8.0000000000080007E-4</v>
      </c>
    </row>
    <row r="15" spans="1:7" x14ac:dyDescent="0.2">
      <c r="A15" t="s">
        <v>17</v>
      </c>
    </row>
    <row r="16" spans="1:7" x14ac:dyDescent="0.2">
      <c r="B16" t="s">
        <v>182</v>
      </c>
    </row>
    <row r="19" spans="1:2" x14ac:dyDescent="0.2">
      <c r="B19">
        <f>1/C2*(C6+D12/(1+C2)+E12/(1+C2)^2)</f>
        <v>23.679315476190471</v>
      </c>
    </row>
    <row r="27" spans="1:2" x14ac:dyDescent="0.2">
      <c r="A27" t="s">
        <v>21</v>
      </c>
    </row>
    <row r="28" spans="1:2" x14ac:dyDescent="0.2">
      <c r="B28" t="s">
        <v>183</v>
      </c>
    </row>
    <row r="29" spans="1:2" x14ac:dyDescent="0.2">
      <c r="B29" t="s">
        <v>184</v>
      </c>
    </row>
    <row r="30" spans="1:2" x14ac:dyDescent="0.2">
      <c r="B30">
        <f>1.12/0.12</f>
        <v>9.3333333333333339</v>
      </c>
    </row>
    <row r="39" spans="2:5" x14ac:dyDescent="0.2">
      <c r="B39" t="s">
        <v>185</v>
      </c>
      <c r="C39">
        <v>3.9</v>
      </c>
      <c r="D39">
        <v>9.33</v>
      </c>
      <c r="E39">
        <f>C39*D39</f>
        <v>36.387</v>
      </c>
    </row>
    <row r="40" spans="2:5" x14ac:dyDescent="0.2">
      <c r="B40" t="s">
        <v>186</v>
      </c>
    </row>
    <row r="41" spans="2:5" x14ac:dyDescent="0.2">
      <c r="B41">
        <f>E39-1</f>
        <v>35.387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733F-3AF1-764E-827B-BAF62F2700B5}">
  <dimension ref="A3:H32"/>
  <sheetViews>
    <sheetView workbookViewId="0">
      <selection activeCell="A27" sqref="A27"/>
    </sheetView>
  </sheetViews>
  <sheetFormatPr baseColWidth="10" defaultRowHeight="16" x14ac:dyDescent="0.2"/>
  <sheetData>
    <row r="3" spans="1:8" x14ac:dyDescent="0.2">
      <c r="B3" t="s">
        <v>77</v>
      </c>
      <c r="C3">
        <v>55</v>
      </c>
    </row>
    <row r="4" spans="1:8" x14ac:dyDescent="0.2">
      <c r="B4" t="s">
        <v>187</v>
      </c>
      <c r="C4" s="10">
        <v>0.1</v>
      </c>
    </row>
    <row r="10" spans="1:8" x14ac:dyDescent="0.2">
      <c r="A10" t="s">
        <v>13</v>
      </c>
    </row>
    <row r="11" spans="1:8" x14ac:dyDescent="0.2">
      <c r="A11" t="s">
        <v>188</v>
      </c>
    </row>
    <row r="12" spans="1:8" x14ac:dyDescent="0.2">
      <c r="A12" t="s">
        <v>189</v>
      </c>
    </row>
    <row r="13" spans="1:8" x14ac:dyDescent="0.2">
      <c r="B13">
        <f>C17/C4</f>
        <v>52.999999999999993</v>
      </c>
    </row>
    <row r="15" spans="1:8" x14ac:dyDescent="0.2">
      <c r="C15">
        <v>2003</v>
      </c>
      <c r="D15">
        <f>C15+1</f>
        <v>2004</v>
      </c>
      <c r="E15">
        <f t="shared" ref="E15:G15" si="0">D15+1</f>
        <v>2005</v>
      </c>
      <c r="F15">
        <f t="shared" si="0"/>
        <v>2006</v>
      </c>
      <c r="G15">
        <f t="shared" si="0"/>
        <v>2007</v>
      </c>
      <c r="H15">
        <f t="shared" ref="H15" si="1">G15+1</f>
        <v>2008</v>
      </c>
    </row>
    <row r="16" spans="1:8" x14ac:dyDescent="0.2">
      <c r="A16" t="s">
        <v>193</v>
      </c>
      <c r="C16">
        <f>C15-2003</f>
        <v>0</v>
      </c>
      <c r="D16">
        <f t="shared" ref="D16:H16" si="2">D15-2003</f>
        <v>1</v>
      </c>
      <c r="E16">
        <f t="shared" si="2"/>
        <v>2</v>
      </c>
      <c r="F16">
        <f t="shared" si="2"/>
        <v>3</v>
      </c>
      <c r="G16">
        <f t="shared" si="2"/>
        <v>4</v>
      </c>
      <c r="H16">
        <f t="shared" si="2"/>
        <v>5</v>
      </c>
    </row>
    <row r="17" spans="1:8" x14ac:dyDescent="0.2">
      <c r="B17" t="s">
        <v>143</v>
      </c>
      <c r="C17">
        <v>5.3</v>
      </c>
      <c r="D17" s="4">
        <f>C17*1.12</f>
        <v>5.9359999999999999</v>
      </c>
      <c r="E17" s="4">
        <f t="shared" ref="E17:G17" si="3">D17*1.12</f>
        <v>6.6483200000000009</v>
      </c>
      <c r="F17" s="4">
        <f t="shared" si="3"/>
        <v>7.4461184000000014</v>
      </c>
      <c r="G17" s="4">
        <f t="shared" si="3"/>
        <v>8.3396526080000015</v>
      </c>
      <c r="H17" s="4">
        <f t="shared" ref="H17" si="4">G17*1.12</f>
        <v>9.3404109209600019</v>
      </c>
    </row>
    <row r="18" spans="1:8" x14ac:dyDescent="0.2">
      <c r="B18" t="s">
        <v>161</v>
      </c>
      <c r="C18">
        <f>$C$4*C17</f>
        <v>0.53</v>
      </c>
      <c r="D18" s="4">
        <f t="shared" ref="D18:H18" si="5">$C$4*D17</f>
        <v>0.59360000000000002</v>
      </c>
      <c r="E18" s="4">
        <f t="shared" si="5"/>
        <v>0.66483200000000009</v>
      </c>
      <c r="F18" s="4">
        <f t="shared" si="5"/>
        <v>0.74461184000000014</v>
      </c>
      <c r="G18" s="4">
        <f t="shared" si="5"/>
        <v>0.83396526080000022</v>
      </c>
      <c r="H18" s="4">
        <f t="shared" si="5"/>
        <v>0.93404109209600028</v>
      </c>
    </row>
    <row r="19" spans="1:8" x14ac:dyDescent="0.2">
      <c r="B19" t="s">
        <v>191</v>
      </c>
      <c r="D19" s="4">
        <f>C18*$C$4</f>
        <v>5.3000000000000005E-2</v>
      </c>
      <c r="E19" s="4">
        <f t="shared" ref="E19:H19" si="6">D18*$C$4</f>
        <v>5.9360000000000003E-2</v>
      </c>
      <c r="F19" s="4">
        <f t="shared" si="6"/>
        <v>6.6483200000000006E-2</v>
      </c>
      <c r="G19" s="4">
        <f t="shared" si="6"/>
        <v>7.4461184000000014E-2</v>
      </c>
      <c r="H19" s="4">
        <f t="shared" si="6"/>
        <v>8.3396526080000033E-2</v>
      </c>
    </row>
    <row r="20" spans="1:8" x14ac:dyDescent="0.2">
      <c r="B20" t="s">
        <v>190</v>
      </c>
      <c r="D20" s="4">
        <f t="shared" ref="D20:H20" si="7">D17+D19</f>
        <v>5.9889999999999999</v>
      </c>
      <c r="E20" s="4">
        <f t="shared" si="7"/>
        <v>6.7076800000000008</v>
      </c>
      <c r="F20" s="4">
        <f t="shared" si="7"/>
        <v>7.5126016000000018</v>
      </c>
      <c r="G20" s="4">
        <f t="shared" si="7"/>
        <v>8.414113792000002</v>
      </c>
      <c r="H20" s="4">
        <f t="shared" si="7"/>
        <v>9.4238074470400015</v>
      </c>
    </row>
    <row r="21" spans="1:8" x14ac:dyDescent="0.2">
      <c r="B21" t="s">
        <v>192</v>
      </c>
      <c r="D21" s="4">
        <f>C17*(1+$C$4)</f>
        <v>5.83</v>
      </c>
      <c r="E21" s="4">
        <f t="shared" ref="E21:H21" si="8">D17*(1+$C$4)</f>
        <v>6.5296000000000003</v>
      </c>
      <c r="F21" s="4">
        <f t="shared" si="8"/>
        <v>7.3131520000000014</v>
      </c>
      <c r="G21" s="4">
        <f t="shared" si="8"/>
        <v>8.1907302400000024</v>
      </c>
      <c r="H21" s="4">
        <f t="shared" si="8"/>
        <v>9.1736178688000027</v>
      </c>
    </row>
    <row r="22" spans="1:8" x14ac:dyDescent="0.2">
      <c r="B22" t="s">
        <v>181</v>
      </c>
      <c r="D22" s="4">
        <f>D20-D21</f>
        <v>0.15899999999999981</v>
      </c>
      <c r="E22" s="4">
        <f t="shared" ref="E22:H22" si="9">E20-E21</f>
        <v>0.17808000000000046</v>
      </c>
      <c r="F22" s="4">
        <f t="shared" si="9"/>
        <v>0.19944960000000034</v>
      </c>
      <c r="G22" s="4">
        <f t="shared" si="9"/>
        <v>0.2233835519999996</v>
      </c>
      <c r="H22" s="4">
        <f t="shared" si="9"/>
        <v>0.25018957823999877</v>
      </c>
    </row>
    <row r="24" spans="1:8" x14ac:dyDescent="0.2">
      <c r="A24" t="s">
        <v>139</v>
      </c>
    </row>
    <row r="25" spans="1:8" x14ac:dyDescent="0.2">
      <c r="B25" t="s">
        <v>194</v>
      </c>
    </row>
    <row r="31" spans="1:8" ht="23" x14ac:dyDescent="0.25">
      <c r="B31" s="7"/>
    </row>
    <row r="32" spans="1:8" ht="23" x14ac:dyDescent="0.25">
      <c r="B32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F55A-63D6-B946-8382-2F73F30AA522}">
  <dimension ref="A2:D1048576"/>
  <sheetViews>
    <sheetView workbookViewId="0">
      <selection activeCell="C29" sqref="C29"/>
    </sheetView>
  </sheetViews>
  <sheetFormatPr baseColWidth="10" defaultRowHeight="16" x14ac:dyDescent="0.2"/>
  <sheetData>
    <row r="2" spans="1:3" x14ac:dyDescent="0.2">
      <c r="A2" t="s">
        <v>13</v>
      </c>
      <c r="B2" t="s">
        <v>195</v>
      </c>
    </row>
    <row r="3" spans="1:3" x14ac:dyDescent="0.2">
      <c r="B3" t="s">
        <v>196</v>
      </c>
    </row>
    <row r="6" spans="1:3" x14ac:dyDescent="0.2">
      <c r="B6" t="s">
        <v>197</v>
      </c>
      <c r="C6">
        <v>174.8</v>
      </c>
    </row>
    <row r="7" spans="1:3" x14ac:dyDescent="0.2">
      <c r="B7" t="s">
        <v>198</v>
      </c>
      <c r="C7">
        <f>8.3-34.4</f>
        <v>-26.099999999999998</v>
      </c>
    </row>
    <row r="8" spans="1:3" x14ac:dyDescent="0.2">
      <c r="B8" t="s">
        <v>199</v>
      </c>
      <c r="C8">
        <v>226.2</v>
      </c>
    </row>
    <row r="9" spans="1:3" x14ac:dyDescent="0.2">
      <c r="B9" t="s">
        <v>51</v>
      </c>
      <c r="C9">
        <f>C8-C6+C7</f>
        <v>25.299999999999979</v>
      </c>
    </row>
    <row r="11" spans="1:3" x14ac:dyDescent="0.2">
      <c r="B11" t="s">
        <v>203</v>
      </c>
    </row>
    <row r="12" spans="1:3" x14ac:dyDescent="0.2">
      <c r="B12" t="s">
        <v>204</v>
      </c>
    </row>
    <row r="14" spans="1:3" x14ac:dyDescent="0.2">
      <c r="B14" t="s">
        <v>205</v>
      </c>
    </row>
    <row r="17" spans="2:4" x14ac:dyDescent="0.2">
      <c r="B17" t="s">
        <v>129</v>
      </c>
      <c r="C17">
        <f>C9/C6</f>
        <v>0.14473684210526302</v>
      </c>
      <c r="D17">
        <f>C17*100</f>
        <v>14.473684210526303</v>
      </c>
    </row>
    <row r="18" spans="2:4" x14ac:dyDescent="0.2">
      <c r="B18" t="s">
        <v>208</v>
      </c>
    </row>
    <row r="19" spans="2:4" x14ac:dyDescent="0.2">
      <c r="B19" t="s">
        <v>209</v>
      </c>
    </row>
    <row r="1048571" spans="2:2" ht="23" x14ac:dyDescent="0.25">
      <c r="B1048571" s="1" t="s">
        <v>206</v>
      </c>
    </row>
    <row r="1048572" spans="2:2" ht="23" x14ac:dyDescent="0.25">
      <c r="B1048572" s="1" t="s">
        <v>207</v>
      </c>
    </row>
    <row r="1048574" spans="2:2" ht="23" x14ac:dyDescent="0.25">
      <c r="B1048574" s="7" t="s">
        <v>200</v>
      </c>
    </row>
    <row r="1048575" spans="2:2" ht="23" x14ac:dyDescent="0.25">
      <c r="B1048575" s="1" t="s">
        <v>201</v>
      </c>
    </row>
    <row r="1048576" spans="2:2" ht="23" x14ac:dyDescent="0.25">
      <c r="B1048576" s="1" t="s">
        <v>202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A15E-F918-874B-B015-7F57C7023084}">
  <dimension ref="A2:E25"/>
  <sheetViews>
    <sheetView workbookViewId="0">
      <selection activeCell="B27" sqref="B27"/>
    </sheetView>
  </sheetViews>
  <sheetFormatPr baseColWidth="10" defaultRowHeight="16" x14ac:dyDescent="0.2"/>
  <cols>
    <col min="2" max="2" width="14.6640625" customWidth="1"/>
  </cols>
  <sheetData>
    <row r="2" spans="1:5" x14ac:dyDescent="0.2">
      <c r="B2" t="s">
        <v>197</v>
      </c>
      <c r="C2">
        <v>4500</v>
      </c>
    </row>
    <row r="3" spans="1:5" x14ac:dyDescent="0.2">
      <c r="B3" t="s">
        <v>199</v>
      </c>
      <c r="C3">
        <v>5580</v>
      </c>
    </row>
    <row r="4" spans="1:5" x14ac:dyDescent="0.2">
      <c r="B4" t="s">
        <v>211</v>
      </c>
      <c r="C4">
        <v>2100</v>
      </c>
    </row>
    <row r="6" spans="1:5" x14ac:dyDescent="0.2">
      <c r="A6" t="s">
        <v>13</v>
      </c>
      <c r="B6" t="s">
        <v>213</v>
      </c>
      <c r="C6">
        <f>C2-C4</f>
        <v>2400</v>
      </c>
    </row>
    <row r="7" spans="1:5" x14ac:dyDescent="0.2">
      <c r="B7" t="s">
        <v>214</v>
      </c>
      <c r="C7">
        <f>C3-C4</f>
        <v>3480</v>
      </c>
    </row>
    <row r="9" spans="1:5" x14ac:dyDescent="0.2">
      <c r="B9" t="s">
        <v>215</v>
      </c>
    </row>
    <row r="10" spans="1:5" x14ac:dyDescent="0.2">
      <c r="B10" t="s">
        <v>216</v>
      </c>
      <c r="C10">
        <f>C7-C6+3</f>
        <v>1083</v>
      </c>
    </row>
    <row r="12" spans="1:5" x14ac:dyDescent="0.2">
      <c r="A12" t="s">
        <v>90</v>
      </c>
      <c r="B12" t="s">
        <v>213</v>
      </c>
      <c r="D12">
        <v>2400</v>
      </c>
    </row>
    <row r="13" spans="1:5" x14ac:dyDescent="0.2">
      <c r="B13" t="s">
        <v>217</v>
      </c>
    </row>
    <row r="14" spans="1:5" x14ac:dyDescent="0.2">
      <c r="C14">
        <v>155</v>
      </c>
    </row>
    <row r="15" spans="1:5" x14ac:dyDescent="0.2">
      <c r="C15">
        <v>-132</v>
      </c>
      <c r="E15">
        <f>SUM(C14:C15)</f>
        <v>23</v>
      </c>
    </row>
    <row r="17" spans="2:5" x14ac:dyDescent="0.2">
      <c r="B17" t="s">
        <v>218</v>
      </c>
    </row>
    <row r="18" spans="2:5" x14ac:dyDescent="0.2">
      <c r="B18" t="s">
        <v>18</v>
      </c>
      <c r="C18">
        <f>C10</f>
        <v>1083</v>
      </c>
    </row>
    <row r="19" spans="2:5" x14ac:dyDescent="0.2">
      <c r="B19" t="s">
        <v>219</v>
      </c>
      <c r="C19">
        <v>13</v>
      </c>
    </row>
    <row r="20" spans="2:5" x14ac:dyDescent="0.2">
      <c r="B20" t="s">
        <v>220</v>
      </c>
      <c r="C20">
        <v>-9</v>
      </c>
    </row>
    <row r="21" spans="2:5" x14ac:dyDescent="0.2">
      <c r="B21" t="s">
        <v>221</v>
      </c>
      <c r="C21">
        <v>-30</v>
      </c>
      <c r="E21">
        <f>SUM(C18:C21)</f>
        <v>1057</v>
      </c>
    </row>
    <row r="23" spans="2:5" x14ac:dyDescent="0.2">
      <c r="B23" t="s">
        <v>222</v>
      </c>
      <c r="E23">
        <f>D12+E15+E21</f>
        <v>3480</v>
      </c>
    </row>
    <row r="25" spans="2:5" x14ac:dyDescent="0.2">
      <c r="B25" t="s">
        <v>223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1C9C1-C5CD-BF46-82DB-514912D51B60}">
  <dimension ref="B2:F18"/>
  <sheetViews>
    <sheetView topLeftCell="A3" workbookViewId="0">
      <selection activeCell="F19" sqref="F19"/>
    </sheetView>
  </sheetViews>
  <sheetFormatPr baseColWidth="10" defaultRowHeight="16" x14ac:dyDescent="0.2"/>
  <sheetData>
    <row r="2" spans="2:5" x14ac:dyDescent="0.2">
      <c r="B2" t="s">
        <v>233</v>
      </c>
      <c r="D2">
        <v>0.35</v>
      </c>
    </row>
    <row r="3" spans="2:5" x14ac:dyDescent="0.2">
      <c r="B3" t="s">
        <v>226</v>
      </c>
      <c r="E3">
        <v>100</v>
      </c>
    </row>
    <row r="4" spans="2:5" x14ac:dyDescent="0.2">
      <c r="B4" t="s">
        <v>224</v>
      </c>
      <c r="E4">
        <v>-10</v>
      </c>
    </row>
    <row r="5" spans="2:5" x14ac:dyDescent="0.2">
      <c r="B5" t="s">
        <v>225</v>
      </c>
      <c r="E5">
        <v>-25</v>
      </c>
    </row>
    <row r="6" spans="2:5" x14ac:dyDescent="0.2">
      <c r="B6" t="s">
        <v>216</v>
      </c>
      <c r="E6">
        <f>SUM(E3:E5)</f>
        <v>65</v>
      </c>
    </row>
    <row r="8" spans="2:5" x14ac:dyDescent="0.2">
      <c r="B8" t="s">
        <v>227</v>
      </c>
      <c r="E8">
        <f>100-10</f>
        <v>90</v>
      </c>
    </row>
    <row r="9" spans="2:5" x14ac:dyDescent="0.2">
      <c r="B9" t="s">
        <v>228</v>
      </c>
    </row>
    <row r="10" spans="2:5" x14ac:dyDescent="0.2">
      <c r="B10" t="s">
        <v>229</v>
      </c>
      <c r="C10" s="4">
        <f>E5/E8*(-1)</f>
        <v>0.27777777777777779</v>
      </c>
      <c r="D10" t="s">
        <v>230</v>
      </c>
    </row>
    <row r="13" spans="2:5" x14ac:dyDescent="0.2">
      <c r="B13" t="s">
        <v>36</v>
      </c>
      <c r="E13">
        <v>100</v>
      </c>
    </row>
    <row r="14" spans="2:5" x14ac:dyDescent="0.2">
      <c r="B14" t="s">
        <v>231</v>
      </c>
      <c r="D14">
        <v>25</v>
      </c>
    </row>
    <row r="15" spans="2:5" x14ac:dyDescent="0.2">
      <c r="B15" t="s">
        <v>232</v>
      </c>
      <c r="D15">
        <f>-E4*D2</f>
        <v>3.5</v>
      </c>
      <c r="E15">
        <f>SUM(D14:D15)</f>
        <v>28.5</v>
      </c>
    </row>
    <row r="16" spans="2:5" x14ac:dyDescent="0.2">
      <c r="B16" t="s">
        <v>234</v>
      </c>
      <c r="E16">
        <f>E13-E15</f>
        <v>71.5</v>
      </c>
    </row>
    <row r="18" spans="2:6" x14ac:dyDescent="0.2">
      <c r="B18" t="s">
        <v>235</v>
      </c>
      <c r="E18">
        <f>E15/E13</f>
        <v>0.28499999999999998</v>
      </c>
      <c r="F18" t="s">
        <v>230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D90F-87A6-EB49-93FF-0620D0CC6A26}">
  <dimension ref="A2:E46"/>
  <sheetViews>
    <sheetView topLeftCell="A19" workbookViewId="0">
      <selection activeCell="B47" sqref="B47"/>
    </sheetView>
  </sheetViews>
  <sheetFormatPr baseColWidth="10" defaultRowHeight="16" x14ac:dyDescent="0.2"/>
  <sheetData>
    <row r="2" spans="1:5" x14ac:dyDescent="0.2">
      <c r="B2" t="s">
        <v>233</v>
      </c>
      <c r="C2">
        <v>0.35</v>
      </c>
    </row>
    <row r="3" spans="1:5" x14ac:dyDescent="0.2">
      <c r="B3" t="s">
        <v>236</v>
      </c>
      <c r="C3">
        <v>15</v>
      </c>
    </row>
    <row r="4" spans="1:5" x14ac:dyDescent="0.2">
      <c r="B4" t="s">
        <v>237</v>
      </c>
      <c r="C4">
        <v>98</v>
      </c>
    </row>
    <row r="5" spans="1:5" x14ac:dyDescent="0.2">
      <c r="B5" t="s">
        <v>238</v>
      </c>
      <c r="C5">
        <f>C4-C3</f>
        <v>83</v>
      </c>
    </row>
    <row r="6" spans="1:5" x14ac:dyDescent="0.2">
      <c r="B6" t="s">
        <v>239</v>
      </c>
      <c r="C6">
        <f>C5*C2</f>
        <v>29.049999999999997</v>
      </c>
    </row>
    <row r="7" spans="1:5" x14ac:dyDescent="0.2">
      <c r="B7" t="s">
        <v>49</v>
      </c>
      <c r="C7">
        <v>3726</v>
      </c>
    </row>
    <row r="10" spans="1:5" x14ac:dyDescent="0.2">
      <c r="A10" t="s">
        <v>13</v>
      </c>
      <c r="B10" t="s">
        <v>240</v>
      </c>
      <c r="D10">
        <v>60</v>
      </c>
    </row>
    <row r="11" spans="1:5" x14ac:dyDescent="0.2">
      <c r="B11" t="s">
        <v>241</v>
      </c>
      <c r="D11">
        <v>940</v>
      </c>
    </row>
    <row r="12" spans="1:5" x14ac:dyDescent="0.2">
      <c r="B12" t="s">
        <v>242</v>
      </c>
      <c r="D12">
        <v>910</v>
      </c>
    </row>
    <row r="13" spans="1:5" x14ac:dyDescent="0.2">
      <c r="B13" t="s">
        <v>243</v>
      </c>
      <c r="D13">
        <v>2840</v>
      </c>
    </row>
    <row r="14" spans="1:5" x14ac:dyDescent="0.2">
      <c r="B14" t="s">
        <v>244</v>
      </c>
      <c r="E14">
        <f>SUM(D10:D13)</f>
        <v>4750</v>
      </c>
    </row>
    <row r="17" spans="2:5" x14ac:dyDescent="0.2">
      <c r="B17" t="s">
        <v>245</v>
      </c>
    </row>
    <row r="18" spans="2:5" x14ac:dyDescent="0.2">
      <c r="B18" t="s">
        <v>246</v>
      </c>
      <c r="D18">
        <v>1200</v>
      </c>
    </row>
    <row r="19" spans="2:5" x14ac:dyDescent="0.2">
      <c r="B19" t="s">
        <v>247</v>
      </c>
      <c r="D19">
        <v>390</v>
      </c>
    </row>
    <row r="20" spans="2:5" x14ac:dyDescent="0.2">
      <c r="E20">
        <f>SUM(D18:D19)</f>
        <v>1590</v>
      </c>
    </row>
    <row r="22" spans="2:5" x14ac:dyDescent="0.2">
      <c r="B22" t="s">
        <v>249</v>
      </c>
      <c r="E22">
        <f>E14-E20</f>
        <v>3160</v>
      </c>
    </row>
    <row r="24" spans="2:5" x14ac:dyDescent="0.2">
      <c r="B24" t="s">
        <v>250</v>
      </c>
    </row>
    <row r="25" spans="2:5" x14ac:dyDescent="0.2">
      <c r="B25" t="s">
        <v>251</v>
      </c>
      <c r="D25">
        <v>-550</v>
      </c>
    </row>
    <row r="26" spans="2:5" x14ac:dyDescent="0.2">
      <c r="B26" t="s">
        <v>252</v>
      </c>
      <c r="D26">
        <v>1840</v>
      </c>
    </row>
    <row r="28" spans="2:5" x14ac:dyDescent="0.2">
      <c r="B28" t="s">
        <v>253</v>
      </c>
      <c r="E28">
        <f>SUM(D25:D26)</f>
        <v>1290</v>
      </c>
    </row>
    <row r="30" spans="2:5" x14ac:dyDescent="0.2">
      <c r="B30" t="s">
        <v>16</v>
      </c>
      <c r="E30">
        <v>1870</v>
      </c>
    </row>
    <row r="34" spans="1:5" x14ac:dyDescent="0.2">
      <c r="A34" t="s">
        <v>90</v>
      </c>
      <c r="B34" t="s">
        <v>254</v>
      </c>
      <c r="E34">
        <v>1430</v>
      </c>
    </row>
    <row r="35" spans="1:5" x14ac:dyDescent="0.2">
      <c r="B35" t="s">
        <v>255</v>
      </c>
    </row>
    <row r="36" spans="1:5" x14ac:dyDescent="0.2">
      <c r="B36" t="s">
        <v>42</v>
      </c>
      <c r="D36">
        <v>822</v>
      </c>
    </row>
    <row r="37" spans="1:5" x14ac:dyDescent="0.2">
      <c r="B37" t="s">
        <v>256</v>
      </c>
      <c r="D37">
        <v>-720</v>
      </c>
    </row>
    <row r="38" spans="1:5" x14ac:dyDescent="0.2">
      <c r="B38" t="s">
        <v>22</v>
      </c>
      <c r="D38">
        <v>-180</v>
      </c>
    </row>
    <row r="39" spans="1:5" x14ac:dyDescent="0.2">
      <c r="B39" t="s">
        <v>257</v>
      </c>
      <c r="E39">
        <f>SUM(D36:D38)</f>
        <v>-78</v>
      </c>
    </row>
    <row r="41" spans="1:5" x14ac:dyDescent="0.2">
      <c r="B41" t="s">
        <v>218</v>
      </c>
    </row>
    <row r="42" spans="1:5" x14ac:dyDescent="0.2">
      <c r="B42" t="s">
        <v>18</v>
      </c>
      <c r="D42">
        <v>468</v>
      </c>
    </row>
    <row r="43" spans="1:5" x14ac:dyDescent="0.2">
      <c r="B43" t="s">
        <v>258</v>
      </c>
      <c r="D43">
        <v>50</v>
      </c>
    </row>
    <row r="44" spans="1:5" x14ac:dyDescent="0.2">
      <c r="B44" t="s">
        <v>257</v>
      </c>
      <c r="E44">
        <f>SUM(D42:D43)</f>
        <v>518</v>
      </c>
    </row>
    <row r="46" spans="1:5" x14ac:dyDescent="0.2">
      <c r="B46" t="s">
        <v>259</v>
      </c>
      <c r="E46">
        <f>SUM(E34:E45)</f>
        <v>1870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DC81-394D-3E42-834C-9D90F62F50A5}">
  <dimension ref="A2:H20"/>
  <sheetViews>
    <sheetView workbookViewId="0">
      <selection activeCell="D21" sqref="D21"/>
    </sheetView>
  </sheetViews>
  <sheetFormatPr baseColWidth="10" defaultRowHeight="16" x14ac:dyDescent="0.2"/>
  <cols>
    <col min="2" max="2" width="11.6640625" customWidth="1"/>
  </cols>
  <sheetData>
    <row r="2" spans="1:8" x14ac:dyDescent="0.2">
      <c r="B2" t="s">
        <v>248</v>
      </c>
      <c r="C2">
        <v>1135</v>
      </c>
    </row>
    <row r="3" spans="1:8" x14ac:dyDescent="0.2">
      <c r="B3" t="s">
        <v>253</v>
      </c>
      <c r="C3">
        <v>720</v>
      </c>
    </row>
    <row r="4" spans="1:8" x14ac:dyDescent="0.2">
      <c r="B4" t="s">
        <v>260</v>
      </c>
      <c r="C4">
        <v>0.10100000000000001</v>
      </c>
    </row>
    <row r="5" spans="1:8" x14ac:dyDescent="0.2">
      <c r="D5">
        <v>2012</v>
      </c>
      <c r="E5">
        <f>D5+1</f>
        <v>2013</v>
      </c>
      <c r="F5">
        <f t="shared" ref="F5:H5" si="0">E5+1</f>
        <v>2014</v>
      </c>
      <c r="G5">
        <f t="shared" si="0"/>
        <v>2015</v>
      </c>
      <c r="H5">
        <f t="shared" si="0"/>
        <v>2016</v>
      </c>
    </row>
    <row r="6" spans="1:8" x14ac:dyDescent="0.2">
      <c r="A6" t="s">
        <v>85</v>
      </c>
      <c r="D6">
        <f>D5-2012</f>
        <v>0</v>
      </c>
      <c r="E6">
        <f t="shared" ref="E6:H6" si="1">E5-2012</f>
        <v>1</v>
      </c>
      <c r="F6">
        <f t="shared" ref="F6" si="2">F5-2012</f>
        <v>2</v>
      </c>
      <c r="G6">
        <f t="shared" ref="G6" si="3">G5-2012</f>
        <v>3</v>
      </c>
      <c r="H6">
        <f t="shared" ref="H6" si="4">H5-2012</f>
        <v>4</v>
      </c>
    </row>
    <row r="7" spans="1:8" x14ac:dyDescent="0.2">
      <c r="B7" t="s">
        <v>261</v>
      </c>
      <c r="E7">
        <v>187</v>
      </c>
      <c r="F7">
        <v>200.09</v>
      </c>
      <c r="G7">
        <v>214.1</v>
      </c>
      <c r="H7">
        <v>229.08</v>
      </c>
    </row>
    <row r="8" spans="1:8" x14ac:dyDescent="0.2">
      <c r="B8" t="s">
        <v>249</v>
      </c>
      <c r="D8">
        <v>1135</v>
      </c>
      <c r="E8">
        <v>1214.45</v>
      </c>
      <c r="F8">
        <v>1299.46</v>
      </c>
      <c r="G8">
        <v>1390.42</v>
      </c>
      <c r="H8">
        <v>1487.75</v>
      </c>
    </row>
    <row r="9" spans="1:8" x14ac:dyDescent="0.2">
      <c r="B9" t="s">
        <v>262</v>
      </c>
      <c r="E9" s="2">
        <f>E7/D8</f>
        <v>0.16475770925110131</v>
      </c>
      <c r="F9" s="2">
        <f>F7/E8</f>
        <v>0.16475770925110131</v>
      </c>
      <c r="G9" s="2">
        <f t="shared" ref="F9:H9" si="5">G7/F8</f>
        <v>0.16476074677173594</v>
      </c>
      <c r="H9" s="2">
        <f t="shared" si="5"/>
        <v>0.16475597301534789</v>
      </c>
    </row>
    <row r="10" spans="1:8" x14ac:dyDescent="0.2">
      <c r="B10" t="s">
        <v>263</v>
      </c>
      <c r="E10" s="4">
        <f>E7-(D8*$C$4)</f>
        <v>72.364999999999995</v>
      </c>
      <c r="F10" s="4">
        <f t="shared" ref="F10:H10" si="6">F7-(E8*$C$4)</f>
        <v>77.430549999999997</v>
      </c>
      <c r="G10" s="4">
        <f t="shared" si="6"/>
        <v>82.854539999999986</v>
      </c>
      <c r="H10" s="4">
        <f t="shared" si="6"/>
        <v>88.647580000000005</v>
      </c>
    </row>
    <row r="11" spans="1:8" x14ac:dyDescent="0.2">
      <c r="B11" t="s">
        <v>264</v>
      </c>
      <c r="D11">
        <f>($C$4+1)^D6</f>
        <v>1</v>
      </c>
      <c r="E11" s="4">
        <f t="shared" ref="E11:H11" si="7">($C$4+1)^E6</f>
        <v>1.101</v>
      </c>
      <c r="F11" s="4">
        <f t="shared" si="7"/>
        <v>1.2122009999999999</v>
      </c>
      <c r="G11" s="4">
        <f t="shared" si="7"/>
        <v>1.3346333009999998</v>
      </c>
      <c r="H11" s="4">
        <f t="shared" si="7"/>
        <v>1.4694312644009997</v>
      </c>
    </row>
    <row r="12" spans="1:8" x14ac:dyDescent="0.2">
      <c r="B12" t="s">
        <v>265</v>
      </c>
      <c r="E12" s="4">
        <f>E10/E11</f>
        <v>65.726612170753853</v>
      </c>
      <c r="F12" s="4">
        <f t="shared" ref="F12:H12" si="8">F10/F11</f>
        <v>63.875999112358436</v>
      </c>
      <c r="G12" s="4">
        <f t="shared" si="8"/>
        <v>62.080378136765823</v>
      </c>
      <c r="H12" s="4">
        <f t="shared" si="8"/>
        <v>60.327816719032711</v>
      </c>
    </row>
    <row r="13" spans="1:8" x14ac:dyDescent="0.2">
      <c r="B13" t="s">
        <v>266</v>
      </c>
      <c r="D13" s="4">
        <f>SUM(E12:H12)</f>
        <v>252.01080613891082</v>
      </c>
    </row>
    <row r="15" spans="1:8" x14ac:dyDescent="0.2">
      <c r="B15" t="s">
        <v>270</v>
      </c>
    </row>
    <row r="16" spans="1:8" x14ac:dyDescent="0.2">
      <c r="B16" t="s">
        <v>137</v>
      </c>
      <c r="H16">
        <f>H10*1.07/((1+C4)-1.07)</f>
        <v>3059.7713096774282</v>
      </c>
    </row>
    <row r="17" spans="2:8" x14ac:dyDescent="0.2">
      <c r="B17" t="s">
        <v>123</v>
      </c>
      <c r="H17">
        <f>H16/H11</f>
        <v>2082.2827061085545</v>
      </c>
    </row>
    <row r="18" spans="2:8" x14ac:dyDescent="0.2">
      <c r="B18" t="s">
        <v>267</v>
      </c>
      <c r="D18" s="4">
        <f>D8+H17+D13</f>
        <v>3469.2935122474655</v>
      </c>
    </row>
    <row r="19" spans="2:8" x14ac:dyDescent="0.2">
      <c r="B19" t="s">
        <v>268</v>
      </c>
      <c r="D19">
        <v>720</v>
      </c>
    </row>
    <row r="20" spans="2:8" x14ac:dyDescent="0.2">
      <c r="B20" t="s">
        <v>269</v>
      </c>
      <c r="D20" s="4">
        <f>D18-D19</f>
        <v>2749.2935122474655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BA01-0F0A-7B4F-A19F-E42EC23249F4}">
  <dimension ref="A2:K29"/>
  <sheetViews>
    <sheetView workbookViewId="0">
      <selection activeCell="B29" sqref="B29"/>
    </sheetView>
  </sheetViews>
  <sheetFormatPr baseColWidth="10" defaultRowHeight="16" x14ac:dyDescent="0.2"/>
  <sheetData>
    <row r="2" spans="1:11" x14ac:dyDescent="0.2">
      <c r="F2" t="s">
        <v>212</v>
      </c>
      <c r="G2">
        <v>2004</v>
      </c>
      <c r="H2">
        <f>G2-1</f>
        <v>2003</v>
      </c>
      <c r="J2" t="s">
        <v>272</v>
      </c>
    </row>
    <row r="3" spans="1:11" x14ac:dyDescent="0.2">
      <c r="B3" t="s">
        <v>0</v>
      </c>
      <c r="C3">
        <v>263.10000000000002</v>
      </c>
      <c r="F3" t="s">
        <v>248</v>
      </c>
      <c r="G3">
        <v>4551</v>
      </c>
      <c r="H3">
        <v>4330</v>
      </c>
      <c r="J3" t="s">
        <v>273</v>
      </c>
      <c r="K3">
        <v>961</v>
      </c>
    </row>
    <row r="4" spans="1:11" x14ac:dyDescent="0.2">
      <c r="B4" t="s">
        <v>79</v>
      </c>
      <c r="C4">
        <v>75</v>
      </c>
      <c r="F4" t="s">
        <v>271</v>
      </c>
      <c r="G4">
        <v>289</v>
      </c>
      <c r="H4">
        <v>-302</v>
      </c>
      <c r="J4" t="s">
        <v>274</v>
      </c>
      <c r="K4">
        <v>16</v>
      </c>
    </row>
    <row r="5" spans="1:11" x14ac:dyDescent="0.2">
      <c r="B5" t="s">
        <v>2</v>
      </c>
      <c r="C5">
        <f>C3*C4</f>
        <v>19732.5</v>
      </c>
    </row>
    <row r="8" spans="1:11" x14ac:dyDescent="0.2">
      <c r="A8" t="s">
        <v>13</v>
      </c>
    </row>
    <row r="9" spans="1:11" x14ac:dyDescent="0.2">
      <c r="B9" t="s">
        <v>275</v>
      </c>
      <c r="E9" t="s">
        <v>278</v>
      </c>
    </row>
    <row r="10" spans="1:11" x14ac:dyDescent="0.2">
      <c r="B10" t="s">
        <v>276</v>
      </c>
      <c r="E10" t="s">
        <v>279</v>
      </c>
    </row>
    <row r="11" spans="1:11" x14ac:dyDescent="0.2">
      <c r="B11">
        <f>SUM(G3:G4)</f>
        <v>4840</v>
      </c>
      <c r="E11" t="s">
        <v>280</v>
      </c>
    </row>
    <row r="12" spans="1:11" x14ac:dyDescent="0.2">
      <c r="B12" t="s">
        <v>277</v>
      </c>
      <c r="E12">
        <f>C5-G4</f>
        <v>19443.5</v>
      </c>
    </row>
    <row r="13" spans="1:11" x14ac:dyDescent="0.2">
      <c r="B13" s="4">
        <f>C5/B11</f>
        <v>4.0769628099173554</v>
      </c>
      <c r="E13" t="s">
        <v>281</v>
      </c>
    </row>
    <row r="14" spans="1:11" x14ac:dyDescent="0.2">
      <c r="E14" s="4">
        <f>E12/G3</f>
        <v>4.2723577235772359</v>
      </c>
    </row>
    <row r="15" spans="1:11" x14ac:dyDescent="0.2">
      <c r="B15" t="s">
        <v>260</v>
      </c>
      <c r="C15">
        <v>8.5999999999999993E-2</v>
      </c>
    </row>
    <row r="16" spans="1:11" x14ac:dyDescent="0.2">
      <c r="A16" t="s">
        <v>90</v>
      </c>
      <c r="B16" t="s">
        <v>263</v>
      </c>
      <c r="C16">
        <f>K3-(H3*C15)</f>
        <v>588.62</v>
      </c>
    </row>
    <row r="18" spans="1:4" x14ac:dyDescent="0.2">
      <c r="A18" t="s">
        <v>21</v>
      </c>
      <c r="B18" t="s">
        <v>262</v>
      </c>
      <c r="C18" s="4">
        <f>K3/H3</f>
        <v>0.22193995381062356</v>
      </c>
      <c r="D18" t="s">
        <v>230</v>
      </c>
    </row>
    <row r="21" spans="1:4" x14ac:dyDescent="0.2">
      <c r="A21" t="s">
        <v>139</v>
      </c>
      <c r="B21" t="s">
        <v>282</v>
      </c>
      <c r="C21" s="6">
        <f>G3*C18</f>
        <v>1010.0487297921478</v>
      </c>
    </row>
    <row r="22" spans="1:4" x14ac:dyDescent="0.2">
      <c r="B22" t="s">
        <v>283</v>
      </c>
      <c r="C22">
        <f>C21-(G3*C15)</f>
        <v>618.66272979214784</v>
      </c>
    </row>
    <row r="24" spans="1:4" x14ac:dyDescent="0.2">
      <c r="A24" t="s">
        <v>284</v>
      </c>
      <c r="B24" t="s">
        <v>210</v>
      </c>
      <c r="C24">
        <f>SUM(G3:G4)</f>
        <v>4840</v>
      </c>
    </row>
    <row r="25" spans="1:4" x14ac:dyDescent="0.2">
      <c r="B25" t="s">
        <v>285</v>
      </c>
      <c r="C25">
        <v>0.04</v>
      </c>
    </row>
    <row r="26" spans="1:4" x14ac:dyDescent="0.2">
      <c r="B26" t="s">
        <v>286</v>
      </c>
      <c r="C26">
        <f>C24+C22/(C15-C25)</f>
        <v>18289.189778090171</v>
      </c>
    </row>
    <row r="27" spans="1:4" x14ac:dyDescent="0.2">
      <c r="B27" t="s">
        <v>79</v>
      </c>
      <c r="C27">
        <f>C26/C3</f>
        <v>69.514214283885096</v>
      </c>
    </row>
    <row r="29" spans="1:4" x14ac:dyDescent="0.2">
      <c r="B29" t="s">
        <v>287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3393-81CA-EC44-A3F8-E4844018993D}">
  <dimension ref="A1"/>
  <sheetViews>
    <sheetView topLeftCell="A83" workbookViewId="0"/>
  </sheetViews>
  <sheetFormatPr baseColWidth="10" defaultRowHeight="16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1018-1D75-9D40-99AB-705BAEBF8AAB}">
  <dimension ref="B2:E19"/>
  <sheetViews>
    <sheetView workbookViewId="0">
      <selection activeCell="D11" sqref="D11"/>
    </sheetView>
  </sheetViews>
  <sheetFormatPr baseColWidth="10" defaultRowHeight="16" x14ac:dyDescent="0.2"/>
  <sheetData>
    <row r="2" spans="2:5" x14ac:dyDescent="0.2">
      <c r="B2" t="s">
        <v>260</v>
      </c>
      <c r="C2">
        <v>8.2000000000000003E-2</v>
      </c>
    </row>
    <row r="3" spans="2:5" x14ac:dyDescent="0.2">
      <c r="B3" t="s">
        <v>288</v>
      </c>
      <c r="C3" s="10">
        <v>0.03</v>
      </c>
    </row>
    <row r="4" spans="2:5" x14ac:dyDescent="0.2">
      <c r="B4" t="s">
        <v>289</v>
      </c>
      <c r="C4">
        <v>0.13</v>
      </c>
    </row>
    <row r="7" spans="2:5" x14ac:dyDescent="0.2">
      <c r="C7">
        <v>2009</v>
      </c>
      <c r="D7">
        <v>2010</v>
      </c>
      <c r="E7">
        <v>2011</v>
      </c>
    </row>
    <row r="8" spans="2:5" x14ac:dyDescent="0.2">
      <c r="C8">
        <f>C7-2009</f>
        <v>0</v>
      </c>
      <c r="D8">
        <f t="shared" ref="D8:E8" si="0">D7-2009</f>
        <v>1</v>
      </c>
      <c r="E8">
        <f t="shared" si="0"/>
        <v>2</v>
      </c>
    </row>
    <row r="9" spans="2:5" x14ac:dyDescent="0.2">
      <c r="B9" t="s">
        <v>143</v>
      </c>
      <c r="D9" s="4">
        <v>36.22</v>
      </c>
      <c r="E9" s="4">
        <v>40.590000000000003</v>
      </c>
    </row>
    <row r="10" spans="2:5" x14ac:dyDescent="0.2">
      <c r="B10" t="s">
        <v>290</v>
      </c>
      <c r="D10" s="4">
        <f>D9*$C$4</f>
        <v>4.7085999999999997</v>
      </c>
      <c r="E10" s="4">
        <f>E9*$C$4</f>
        <v>5.2767000000000008</v>
      </c>
    </row>
    <row r="11" spans="2:5" x14ac:dyDescent="0.2">
      <c r="B11" t="s">
        <v>145</v>
      </c>
      <c r="C11">
        <v>359</v>
      </c>
      <c r="D11" s="4">
        <f>C11+D9+D10</f>
        <v>399.92860000000002</v>
      </c>
      <c r="E11" s="4">
        <f>D11+E9+E10</f>
        <v>445.7953</v>
      </c>
    </row>
    <row r="12" spans="2:5" x14ac:dyDescent="0.2">
      <c r="B12" t="s">
        <v>263</v>
      </c>
      <c r="D12" s="4">
        <f>D9-($C$2*C11)</f>
        <v>6.7819999999999965</v>
      </c>
      <c r="E12" s="4">
        <f>E9-($C$2*D11)</f>
        <v>7.7958548000000008</v>
      </c>
    </row>
    <row r="13" spans="2:5" x14ac:dyDescent="0.2">
      <c r="B13" t="s">
        <v>156</v>
      </c>
      <c r="C13" s="4">
        <f>(1+$C$2)^C8</f>
        <v>1</v>
      </c>
      <c r="D13" s="4">
        <f t="shared" ref="D13:E13" si="1">(1+$C$2)^D8</f>
        <v>1.0820000000000001</v>
      </c>
      <c r="E13" s="4">
        <f t="shared" si="1"/>
        <v>1.1707240000000001</v>
      </c>
    </row>
    <row r="14" spans="2:5" x14ac:dyDescent="0.2">
      <c r="B14" t="s">
        <v>291</v>
      </c>
      <c r="D14">
        <f>D12/D13</f>
        <v>6.2680221811460219</v>
      </c>
      <c r="E14">
        <f>E12/E13</f>
        <v>6.6590031467707167</v>
      </c>
    </row>
    <row r="15" spans="2:5" x14ac:dyDescent="0.2">
      <c r="B15" t="s">
        <v>292</v>
      </c>
      <c r="C15">
        <f>SUM(D14:E14)</f>
        <v>12.927025327916738</v>
      </c>
    </row>
    <row r="18" spans="2:3" x14ac:dyDescent="0.2">
      <c r="B18" t="s">
        <v>293</v>
      </c>
      <c r="C18">
        <f>E12/(C2-C3)</f>
        <v>149.92028461538462</v>
      </c>
    </row>
    <row r="19" spans="2:3" x14ac:dyDescent="0.2">
      <c r="B19" t="s">
        <v>294</v>
      </c>
      <c r="C19">
        <f>C11+D12/D13+C18/D13</f>
        <v>503.8265107351059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1FEA-1F0F-5746-B254-953EB8B49ED6}">
  <dimension ref="A2:H1048575"/>
  <sheetViews>
    <sheetView topLeftCell="A2" workbookViewId="0">
      <selection activeCell="A27" sqref="A27:B28"/>
    </sheetView>
  </sheetViews>
  <sheetFormatPr baseColWidth="10" defaultRowHeight="16" x14ac:dyDescent="0.2"/>
  <sheetData>
    <row r="2" spans="2:8" x14ac:dyDescent="0.2">
      <c r="B2" t="s">
        <v>77</v>
      </c>
      <c r="C2">
        <v>36.450000000000003</v>
      </c>
      <c r="E2" t="s">
        <v>295</v>
      </c>
      <c r="F2">
        <v>88.4</v>
      </c>
    </row>
    <row r="3" spans="2:8" x14ac:dyDescent="0.2">
      <c r="B3" t="s">
        <v>260</v>
      </c>
      <c r="C3">
        <v>0.09</v>
      </c>
    </row>
    <row r="5" spans="2:8" x14ac:dyDescent="0.2">
      <c r="C5">
        <v>2013</v>
      </c>
      <c r="D5">
        <f>C5+1</f>
        <v>2014</v>
      </c>
      <c r="E5">
        <f>D5+1</f>
        <v>2015</v>
      </c>
      <c r="H5" t="s">
        <v>298</v>
      </c>
    </row>
    <row r="6" spans="2:8" x14ac:dyDescent="0.2">
      <c r="C6">
        <f>C5-2013</f>
        <v>0</v>
      </c>
      <c r="D6">
        <f>D5-2013</f>
        <v>1</v>
      </c>
      <c r="E6">
        <f>E5-2013</f>
        <v>2</v>
      </c>
    </row>
    <row r="7" spans="2:8" x14ac:dyDescent="0.2">
      <c r="B7" t="s">
        <v>143</v>
      </c>
      <c r="D7">
        <v>3.9</v>
      </c>
      <c r="E7">
        <v>4.16</v>
      </c>
    </row>
    <row r="8" spans="2:8" x14ac:dyDescent="0.2">
      <c r="B8" t="s">
        <v>144</v>
      </c>
      <c r="D8">
        <v>0.6</v>
      </c>
      <c r="E8">
        <f>D8*C3</f>
        <v>5.3999999999999999E-2</v>
      </c>
    </row>
    <row r="10" spans="2:8" x14ac:dyDescent="0.2">
      <c r="B10" t="s">
        <v>297</v>
      </c>
      <c r="E10">
        <f>SUM(E7:E8)</f>
        <v>4.2140000000000004</v>
      </c>
    </row>
    <row r="11" spans="2:8" x14ac:dyDescent="0.2">
      <c r="B11" t="s">
        <v>192</v>
      </c>
      <c r="E11">
        <f>D7*(1+C3)</f>
        <v>4.2510000000000003</v>
      </c>
    </row>
    <row r="12" spans="2:8" x14ac:dyDescent="0.2">
      <c r="B12" t="s">
        <v>165</v>
      </c>
      <c r="E12">
        <f>E10-E11</f>
        <v>-3.6999999999999922E-2</v>
      </c>
    </row>
    <row r="14" spans="2:8" x14ac:dyDescent="0.2">
      <c r="B14" t="s">
        <v>299</v>
      </c>
      <c r="C14" s="4">
        <f>1/C3*(D7+E12/(1+C3))</f>
        <v>42.956167176350661</v>
      </c>
    </row>
    <row r="21" spans="1:4" x14ac:dyDescent="0.2">
      <c r="A21" t="s">
        <v>85</v>
      </c>
      <c r="B21" t="s">
        <v>307</v>
      </c>
      <c r="D21" t="s">
        <v>308</v>
      </c>
    </row>
    <row r="22" spans="1:4" x14ac:dyDescent="0.2">
      <c r="B22" s="4">
        <f>1/C3</f>
        <v>11.111111111111111</v>
      </c>
    </row>
    <row r="24" spans="1:4" x14ac:dyDescent="0.2">
      <c r="A24" t="s">
        <v>90</v>
      </c>
      <c r="B24" t="s">
        <v>300</v>
      </c>
      <c r="D24" t="s">
        <v>301</v>
      </c>
    </row>
    <row r="25" spans="1:4" x14ac:dyDescent="0.2">
      <c r="B25" t="s">
        <v>302</v>
      </c>
      <c r="C25" s="5">
        <f>C14/D7</f>
        <v>11.014401840089914</v>
      </c>
    </row>
    <row r="27" spans="1:4" x14ac:dyDescent="0.2">
      <c r="A27" t="s">
        <v>21</v>
      </c>
      <c r="B27" t="s">
        <v>305</v>
      </c>
    </row>
    <row r="28" spans="1:4" x14ac:dyDescent="0.2">
      <c r="B28" t="s">
        <v>306</v>
      </c>
    </row>
    <row r="1048574" spans="2:2" ht="23" x14ac:dyDescent="0.25">
      <c r="B1048574" s="7" t="s">
        <v>303</v>
      </c>
    </row>
    <row r="1048575" spans="2:2" ht="23" x14ac:dyDescent="0.25">
      <c r="B1048575" s="1" t="s">
        <v>304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DDC06-98F2-C645-9CC7-DA55000D3A36}">
  <dimension ref="B3:H29"/>
  <sheetViews>
    <sheetView workbookViewId="0">
      <selection activeCell="A2" sqref="A2:I33"/>
    </sheetView>
  </sheetViews>
  <sheetFormatPr baseColWidth="10" defaultRowHeight="16" x14ac:dyDescent="0.2"/>
  <cols>
    <col min="3" max="3" width="11.6640625" customWidth="1"/>
  </cols>
  <sheetData>
    <row r="3" spans="2:8" x14ac:dyDescent="0.2">
      <c r="B3" t="s">
        <v>309</v>
      </c>
      <c r="C3">
        <v>920</v>
      </c>
    </row>
    <row r="4" spans="2:8" x14ac:dyDescent="0.2">
      <c r="B4" t="s">
        <v>260</v>
      </c>
      <c r="C4">
        <v>0.1</v>
      </c>
    </row>
    <row r="7" spans="2:8" x14ac:dyDescent="0.2">
      <c r="D7">
        <v>2016</v>
      </c>
      <c r="E7">
        <f>D7+1</f>
        <v>2017</v>
      </c>
      <c r="F7">
        <f t="shared" ref="F7:H7" si="0">E7+1</f>
        <v>2018</v>
      </c>
      <c r="G7">
        <f t="shared" si="0"/>
        <v>2019</v>
      </c>
      <c r="H7">
        <f t="shared" si="0"/>
        <v>2020</v>
      </c>
    </row>
    <row r="8" spans="2:8" x14ac:dyDescent="0.2">
      <c r="D8">
        <f>D7-2016</f>
        <v>0</v>
      </c>
      <c r="E8">
        <f>E7-2016</f>
        <v>1</v>
      </c>
      <c r="F8">
        <f t="shared" ref="F8:H8" si="1">F7-2016</f>
        <v>2</v>
      </c>
      <c r="G8">
        <f t="shared" si="1"/>
        <v>3</v>
      </c>
      <c r="H8">
        <f t="shared" si="1"/>
        <v>4</v>
      </c>
    </row>
    <row r="9" spans="2:8" x14ac:dyDescent="0.2">
      <c r="C9" t="s">
        <v>310</v>
      </c>
      <c r="D9" s="5">
        <v>259</v>
      </c>
      <c r="E9" s="5">
        <v>380</v>
      </c>
      <c r="F9" s="5">
        <v>399</v>
      </c>
      <c r="G9" s="5">
        <v>419</v>
      </c>
      <c r="H9" s="5">
        <v>440</v>
      </c>
    </row>
    <row r="10" spans="2:8" x14ac:dyDescent="0.2">
      <c r="C10" t="s">
        <v>296</v>
      </c>
      <c r="D10" s="5">
        <v>77</v>
      </c>
      <c r="E10" s="5">
        <v>107</v>
      </c>
      <c r="F10" s="5">
        <v>233</v>
      </c>
      <c r="G10" s="5">
        <v>244.7</v>
      </c>
      <c r="H10" s="5">
        <v>257</v>
      </c>
    </row>
    <row r="11" spans="2:8" x14ac:dyDescent="0.2">
      <c r="D11" s="5"/>
      <c r="E11" s="5">
        <f>D10*$C$4</f>
        <v>7.7</v>
      </c>
      <c r="F11" s="5">
        <f t="shared" ref="F11:H11" si="2">E10*$C$4</f>
        <v>10.700000000000001</v>
      </c>
      <c r="G11" s="5">
        <f t="shared" si="2"/>
        <v>23.3</v>
      </c>
      <c r="H11" s="5">
        <f t="shared" si="2"/>
        <v>24.47</v>
      </c>
    </row>
    <row r="12" spans="2:8" x14ac:dyDescent="0.2">
      <c r="C12" t="s">
        <v>311</v>
      </c>
      <c r="D12" s="5"/>
      <c r="E12" s="5">
        <f>E9+E11</f>
        <v>387.7</v>
      </c>
      <c r="F12" s="5">
        <f t="shared" ref="F12:H12" si="3">F9+F11</f>
        <v>409.7</v>
      </c>
      <c r="G12" s="5">
        <f t="shared" si="3"/>
        <v>442.3</v>
      </c>
      <c r="H12" s="5">
        <f t="shared" si="3"/>
        <v>464.47</v>
      </c>
    </row>
    <row r="13" spans="2:8" x14ac:dyDescent="0.2">
      <c r="C13" t="s">
        <v>192</v>
      </c>
      <c r="D13" s="5"/>
      <c r="E13" s="5">
        <f>D9*(1+$C$4)</f>
        <v>284.90000000000003</v>
      </c>
      <c r="F13" s="5">
        <f t="shared" ref="F13:H13" si="4">E9*(1+$C$4)</f>
        <v>418.00000000000006</v>
      </c>
      <c r="G13" s="5">
        <f t="shared" si="4"/>
        <v>438.90000000000003</v>
      </c>
      <c r="H13" s="5">
        <f t="shared" si="4"/>
        <v>460.90000000000003</v>
      </c>
    </row>
    <row r="14" spans="2:8" x14ac:dyDescent="0.2">
      <c r="C14" t="s">
        <v>165</v>
      </c>
      <c r="D14" s="5"/>
      <c r="E14" s="5">
        <f>E12-E13</f>
        <v>102.79999999999995</v>
      </c>
      <c r="F14" s="5">
        <f t="shared" ref="F14:H14" si="5">F12-F13</f>
        <v>-8.3000000000000682</v>
      </c>
      <c r="G14" s="5">
        <f t="shared" si="5"/>
        <v>3.3999999999999773</v>
      </c>
      <c r="H14" s="5">
        <f t="shared" si="5"/>
        <v>3.5699999999999932</v>
      </c>
    </row>
    <row r="15" spans="2:8" x14ac:dyDescent="0.2">
      <c r="C15" t="s">
        <v>312</v>
      </c>
      <c r="D15" s="5"/>
      <c r="E15" s="5"/>
      <c r="F15" s="5">
        <f>F14/E14-1</f>
        <v>-1.0807392996108955</v>
      </c>
      <c r="G15" s="5">
        <f t="shared" ref="G15:H15" si="6">G14/F14-1</f>
        <v>-1.4096385542168615</v>
      </c>
      <c r="H15" s="5">
        <f t="shared" si="6"/>
        <v>5.0000000000004929E-2</v>
      </c>
    </row>
    <row r="16" spans="2:8" x14ac:dyDescent="0.2">
      <c r="D16" s="5"/>
      <c r="E16" s="5"/>
      <c r="F16" s="5"/>
      <c r="G16" s="5"/>
      <c r="H16" s="5"/>
    </row>
    <row r="17" spans="3:8" x14ac:dyDescent="0.2">
      <c r="C17" t="s">
        <v>313</v>
      </c>
      <c r="D17" s="5">
        <f>(1+$C$4)^D8</f>
        <v>1</v>
      </c>
      <c r="E17" s="5">
        <f t="shared" ref="E17:H17" si="7">(1+$C$4)^E8</f>
        <v>1.1000000000000001</v>
      </c>
      <c r="F17" s="5">
        <f t="shared" si="7"/>
        <v>1.2100000000000002</v>
      </c>
      <c r="G17" s="5">
        <f t="shared" si="7"/>
        <v>1.3310000000000004</v>
      </c>
      <c r="H17" s="5">
        <f t="shared" si="7"/>
        <v>1.4641000000000004</v>
      </c>
    </row>
    <row r="18" spans="3:8" x14ac:dyDescent="0.2">
      <c r="C18" t="s">
        <v>314</v>
      </c>
      <c r="D18" s="5"/>
      <c r="E18" s="5">
        <f>E14/E17</f>
        <v>93.454545454545411</v>
      </c>
      <c r="F18" s="5">
        <f t="shared" ref="F18:H18" si="8">F14/F17</f>
        <v>-6.8595041322314607</v>
      </c>
      <c r="G18" s="5">
        <f t="shared" si="8"/>
        <v>2.5544703230653467</v>
      </c>
      <c r="H18" s="5">
        <f t="shared" si="8"/>
        <v>2.4383580356532972</v>
      </c>
    </row>
    <row r="19" spans="3:8" x14ac:dyDescent="0.2">
      <c r="C19" t="s">
        <v>315</v>
      </c>
      <c r="D19" s="5"/>
      <c r="E19" s="5">
        <f>SUM(E18:F18)</f>
        <v>86.595041322313946</v>
      </c>
      <c r="F19" s="5"/>
      <c r="G19" s="5"/>
      <c r="H19" s="5"/>
    </row>
    <row r="20" spans="3:8" x14ac:dyDescent="0.2">
      <c r="C20" t="s">
        <v>316</v>
      </c>
      <c r="D20" s="5"/>
      <c r="E20" s="5"/>
      <c r="F20" s="5"/>
      <c r="G20" s="5">
        <f>G14/(C4-H15)</f>
        <v>68.000000000006239</v>
      </c>
      <c r="H20" s="5"/>
    </row>
    <row r="21" spans="3:8" x14ac:dyDescent="0.2">
      <c r="C21" t="s">
        <v>317</v>
      </c>
      <c r="D21" s="5"/>
      <c r="E21" s="5">
        <f>G20/F17</f>
        <v>56.198347107443162</v>
      </c>
      <c r="F21" s="5"/>
      <c r="G21" s="5"/>
      <c r="H21" s="5"/>
    </row>
    <row r="22" spans="3:8" x14ac:dyDescent="0.2">
      <c r="D22" s="5"/>
      <c r="E22" s="5"/>
      <c r="F22" s="5"/>
      <c r="G22" s="5"/>
      <c r="H22" s="5"/>
    </row>
    <row r="23" spans="3:8" x14ac:dyDescent="0.2">
      <c r="D23" s="5">
        <f>D9+E19+E21</f>
        <v>401.7933884297571</v>
      </c>
      <c r="E23" s="5"/>
      <c r="F23" s="5"/>
      <c r="G23" s="5"/>
      <c r="H23" s="5"/>
    </row>
    <row r="24" spans="3:8" x14ac:dyDescent="0.2">
      <c r="C24" t="s">
        <v>318</v>
      </c>
      <c r="D24" s="5">
        <f>D23*1/C4</f>
        <v>4017.9338842975708</v>
      </c>
      <c r="E24" s="5"/>
      <c r="F24" s="5"/>
      <c r="G24" s="5"/>
      <c r="H24" s="5"/>
    </row>
    <row r="25" spans="3:8" x14ac:dyDescent="0.2">
      <c r="C25" t="s">
        <v>319</v>
      </c>
      <c r="D25" s="5">
        <f>D24/C3</f>
        <v>4.3673194394538815</v>
      </c>
      <c r="E25" s="5"/>
      <c r="F25" s="5"/>
      <c r="G25" s="5"/>
      <c r="H25" s="5"/>
    </row>
    <row r="28" spans="3:8" x14ac:dyDescent="0.2">
      <c r="C28" t="s">
        <v>320</v>
      </c>
      <c r="D28" t="s">
        <v>321</v>
      </c>
      <c r="E28" s="5">
        <f>D24/D9</f>
        <v>15.513258240531162</v>
      </c>
    </row>
    <row r="29" spans="3:8" x14ac:dyDescent="0.2">
      <c r="C29" t="s">
        <v>322</v>
      </c>
      <c r="D29" t="s">
        <v>299</v>
      </c>
      <c r="E29">
        <f>1/C4</f>
        <v>10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F20D-ED84-7A4E-86A0-CECEB10D77FA}">
  <dimension ref="B3:I29"/>
  <sheetViews>
    <sheetView workbookViewId="0">
      <selection activeCell="D10" sqref="D10"/>
    </sheetView>
  </sheetViews>
  <sheetFormatPr baseColWidth="10" defaultRowHeight="16" x14ac:dyDescent="0.2"/>
  <sheetData>
    <row r="3" spans="2:8" x14ac:dyDescent="0.2">
      <c r="B3" t="s">
        <v>309</v>
      </c>
      <c r="C3">
        <v>920</v>
      </c>
    </row>
    <row r="4" spans="2:8" x14ac:dyDescent="0.2">
      <c r="B4" t="s">
        <v>260</v>
      </c>
      <c r="C4">
        <v>0.1</v>
      </c>
    </row>
    <row r="7" spans="2:8" x14ac:dyDescent="0.2">
      <c r="D7">
        <v>2016</v>
      </c>
      <c r="E7">
        <f>D7+1</f>
        <v>2017</v>
      </c>
      <c r="F7">
        <f t="shared" ref="F7:H7" si="0">E7+1</f>
        <v>2018</v>
      </c>
      <c r="G7">
        <f t="shared" si="0"/>
        <v>2019</v>
      </c>
      <c r="H7">
        <f t="shared" si="0"/>
        <v>2020</v>
      </c>
    </row>
    <row r="8" spans="2:8" x14ac:dyDescent="0.2">
      <c r="D8">
        <f>D7-2016</f>
        <v>0</v>
      </c>
      <c r="E8">
        <f>E7-2016</f>
        <v>1</v>
      </c>
      <c r="F8">
        <f t="shared" ref="F8:H8" si="1">F7-2016</f>
        <v>2</v>
      </c>
      <c r="G8">
        <f t="shared" si="1"/>
        <v>3</v>
      </c>
      <c r="H8">
        <f t="shared" si="1"/>
        <v>4</v>
      </c>
    </row>
    <row r="9" spans="2:8" x14ac:dyDescent="0.2">
      <c r="C9" t="s">
        <v>310</v>
      </c>
      <c r="D9" s="5">
        <v>335</v>
      </c>
      <c r="E9" s="5">
        <v>380</v>
      </c>
      <c r="F9" s="5">
        <v>399</v>
      </c>
      <c r="G9" s="5">
        <v>419</v>
      </c>
      <c r="H9" s="5">
        <v>440</v>
      </c>
    </row>
    <row r="10" spans="2:8" x14ac:dyDescent="0.2">
      <c r="C10" t="s">
        <v>296</v>
      </c>
      <c r="D10" s="5">
        <v>77</v>
      </c>
      <c r="E10" s="5">
        <v>107</v>
      </c>
      <c r="F10" s="5">
        <v>233</v>
      </c>
      <c r="G10" s="5">
        <v>244.7</v>
      </c>
      <c r="H10" s="5">
        <v>257</v>
      </c>
    </row>
    <row r="11" spans="2:8" x14ac:dyDescent="0.2">
      <c r="D11" s="5"/>
      <c r="E11" s="5">
        <f>D10*$C$4</f>
        <v>7.7</v>
      </c>
      <c r="F11" s="5">
        <f t="shared" ref="F11:H11" si="2">E10*$C$4</f>
        <v>10.700000000000001</v>
      </c>
      <c r="G11" s="5">
        <f t="shared" si="2"/>
        <v>23.3</v>
      </c>
      <c r="H11" s="5">
        <f t="shared" si="2"/>
        <v>24.47</v>
      </c>
    </row>
    <row r="12" spans="2:8" x14ac:dyDescent="0.2">
      <c r="C12" t="s">
        <v>311</v>
      </c>
      <c r="D12" s="5"/>
      <c r="E12" s="5">
        <f>E9+E11</f>
        <v>387.7</v>
      </c>
      <c r="F12" s="5">
        <f t="shared" ref="F12:H12" si="3">F9+F11</f>
        <v>409.7</v>
      </c>
      <c r="G12" s="5">
        <f t="shared" si="3"/>
        <v>442.3</v>
      </c>
      <c r="H12" s="5">
        <f t="shared" si="3"/>
        <v>464.47</v>
      </c>
    </row>
    <row r="13" spans="2:8" x14ac:dyDescent="0.2">
      <c r="C13" t="s">
        <v>192</v>
      </c>
      <c r="D13" s="5"/>
      <c r="E13" s="5">
        <f>D9*(1+$C$4)</f>
        <v>368.50000000000006</v>
      </c>
      <c r="F13" s="5">
        <f t="shared" ref="F13:H13" si="4">E9*(1+$C$4)</f>
        <v>418.00000000000006</v>
      </c>
      <c r="G13" s="5">
        <f t="shared" si="4"/>
        <v>438.90000000000003</v>
      </c>
      <c r="H13" s="5">
        <f t="shared" si="4"/>
        <v>460.90000000000003</v>
      </c>
    </row>
    <row r="14" spans="2:8" x14ac:dyDescent="0.2">
      <c r="C14" t="s">
        <v>165</v>
      </c>
      <c r="D14" s="5"/>
      <c r="E14" s="5">
        <f>E12-E13</f>
        <v>19.199999999999932</v>
      </c>
      <c r="F14" s="5">
        <f t="shared" ref="F14:H14" si="5">F12-F13</f>
        <v>-8.3000000000000682</v>
      </c>
      <c r="G14" s="5">
        <f t="shared" si="5"/>
        <v>3.3999999999999773</v>
      </c>
      <c r="H14" s="5">
        <f t="shared" si="5"/>
        <v>3.5699999999999932</v>
      </c>
    </row>
    <row r="15" spans="2:8" x14ac:dyDescent="0.2">
      <c r="C15" t="s">
        <v>312</v>
      </c>
      <c r="D15" s="5"/>
      <c r="E15" s="5"/>
      <c r="F15" s="5">
        <f>F14/E14-1</f>
        <v>-1.4322916666666718</v>
      </c>
      <c r="G15" s="5">
        <f t="shared" ref="G15:H15" si="6">G14/F14-1</f>
        <v>-1.4096385542168615</v>
      </c>
      <c r="H15" s="5">
        <f t="shared" si="6"/>
        <v>5.0000000000004929E-2</v>
      </c>
    </row>
    <row r="16" spans="2:8" x14ac:dyDescent="0.2">
      <c r="D16" s="5"/>
      <c r="E16" s="5"/>
      <c r="F16" s="5"/>
      <c r="G16" s="5"/>
      <c r="H16" s="5"/>
    </row>
    <row r="17" spans="3:9" x14ac:dyDescent="0.2">
      <c r="C17" t="s">
        <v>313</v>
      </c>
      <c r="D17" s="5">
        <f>(1+$C$4)^D8</f>
        <v>1</v>
      </c>
      <c r="E17" s="5">
        <f t="shared" ref="E17:H17" si="7">(1+$C$4)^E8</f>
        <v>1.1000000000000001</v>
      </c>
      <c r="F17" s="5">
        <f t="shared" si="7"/>
        <v>1.2100000000000002</v>
      </c>
      <c r="G17" s="5">
        <f t="shared" si="7"/>
        <v>1.3310000000000004</v>
      </c>
      <c r="H17" s="5">
        <f t="shared" si="7"/>
        <v>1.4641000000000004</v>
      </c>
    </row>
    <row r="18" spans="3:9" x14ac:dyDescent="0.2">
      <c r="C18" t="s">
        <v>314</v>
      </c>
      <c r="D18" s="5"/>
      <c r="E18" s="5">
        <f>E14/E17</f>
        <v>17.454545454545393</v>
      </c>
      <c r="F18" s="5">
        <f t="shared" ref="F18:H18" si="8">F14/F17</f>
        <v>-6.8595041322314607</v>
      </c>
      <c r="G18" s="5">
        <f t="shared" si="8"/>
        <v>2.5544703230653467</v>
      </c>
      <c r="H18" s="5">
        <f t="shared" si="8"/>
        <v>2.4383580356532972</v>
      </c>
    </row>
    <row r="19" spans="3:9" x14ac:dyDescent="0.2">
      <c r="C19" t="s">
        <v>315</v>
      </c>
      <c r="D19" s="5"/>
      <c r="E19" s="5">
        <f>SUM(E18:F18)</f>
        <v>10.595041322313932</v>
      </c>
      <c r="F19" s="5"/>
      <c r="G19" s="5"/>
      <c r="H19" s="5"/>
    </row>
    <row r="20" spans="3:9" x14ac:dyDescent="0.2">
      <c r="C20" t="s">
        <v>316</v>
      </c>
      <c r="D20" s="5"/>
      <c r="E20" s="5"/>
      <c r="F20" s="5"/>
      <c r="G20" s="5">
        <f>G14/(C4-H15)</f>
        <v>68.000000000006239</v>
      </c>
      <c r="H20" s="5"/>
      <c r="I20" s="5"/>
    </row>
    <row r="21" spans="3:9" x14ac:dyDescent="0.2">
      <c r="C21" t="s">
        <v>317</v>
      </c>
      <c r="D21" s="5"/>
      <c r="E21" s="5">
        <f>G20/F17</f>
        <v>56.198347107443162</v>
      </c>
      <c r="F21" s="5"/>
      <c r="G21" s="5"/>
      <c r="H21" s="5"/>
    </row>
    <row r="22" spans="3:9" x14ac:dyDescent="0.2">
      <c r="D22" s="5"/>
      <c r="E22" s="5"/>
      <c r="F22" s="5"/>
      <c r="G22" s="5"/>
      <c r="H22" s="5"/>
    </row>
    <row r="23" spans="3:9" x14ac:dyDescent="0.2">
      <c r="D23" s="5">
        <f>D9+E19+E21</f>
        <v>401.7933884297571</v>
      </c>
      <c r="E23" s="5"/>
      <c r="F23" s="5"/>
      <c r="G23" s="5"/>
      <c r="H23" s="5"/>
    </row>
    <row r="24" spans="3:9" x14ac:dyDescent="0.2">
      <c r="C24" t="s">
        <v>318</v>
      </c>
      <c r="D24" s="5">
        <f>D23*1/C4</f>
        <v>4017.9338842975708</v>
      </c>
      <c r="E24" s="5"/>
      <c r="F24" s="5"/>
      <c r="G24" s="5"/>
      <c r="H24" s="5"/>
    </row>
    <row r="25" spans="3:9" x14ac:dyDescent="0.2">
      <c r="C25" t="s">
        <v>319</v>
      </c>
      <c r="D25" s="5">
        <f>D24/C3</f>
        <v>4.3673194394538815</v>
      </c>
      <c r="E25" s="5"/>
      <c r="F25" s="5"/>
      <c r="G25" s="5"/>
      <c r="H25" s="5"/>
    </row>
    <row r="28" spans="3:9" x14ac:dyDescent="0.2">
      <c r="C28" t="s">
        <v>320</v>
      </c>
      <c r="D28" t="s">
        <v>321</v>
      </c>
      <c r="E28" s="5">
        <f>D24/D9</f>
        <v>11.993832490440509</v>
      </c>
    </row>
    <row r="29" spans="3:9" x14ac:dyDescent="0.2">
      <c r="C29" t="s">
        <v>322</v>
      </c>
      <c r="D29" t="s">
        <v>299</v>
      </c>
      <c r="E29">
        <f>1/C4</f>
        <v>10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3BA9-D9B9-DB4F-B9FF-6AE7E3F783E6}">
  <dimension ref="A2:I49"/>
  <sheetViews>
    <sheetView tabSelected="1" topLeftCell="J21" workbookViewId="0">
      <selection activeCell="V38" sqref="V38"/>
    </sheetView>
  </sheetViews>
  <sheetFormatPr baseColWidth="10" defaultRowHeight="16" x14ac:dyDescent="0.2"/>
  <sheetData>
    <row r="2" spans="2:9" x14ac:dyDescent="0.2">
      <c r="B2" t="s">
        <v>323</v>
      </c>
      <c r="C2">
        <v>22.5</v>
      </c>
    </row>
    <row r="9" spans="2:9" x14ac:dyDescent="0.2">
      <c r="G9" t="s">
        <v>343</v>
      </c>
      <c r="H9">
        <f>E21+E22</f>
        <v>8272</v>
      </c>
    </row>
    <row r="10" spans="2:9" x14ac:dyDescent="0.2">
      <c r="G10" t="s">
        <v>344</v>
      </c>
      <c r="H10" s="11">
        <f>C2/100*H9</f>
        <v>1861.2</v>
      </c>
      <c r="I10" s="6">
        <f>H9-H10</f>
        <v>6410.8</v>
      </c>
    </row>
    <row r="11" spans="2:9" x14ac:dyDescent="0.2">
      <c r="G11" t="s">
        <v>345</v>
      </c>
    </row>
    <row r="12" spans="2:9" x14ac:dyDescent="0.2">
      <c r="B12" t="s">
        <v>324</v>
      </c>
      <c r="E12">
        <v>33788</v>
      </c>
    </row>
    <row r="13" spans="2:9" x14ac:dyDescent="0.2">
      <c r="B13" t="s">
        <v>325</v>
      </c>
      <c r="E13">
        <v>19466</v>
      </c>
      <c r="G13" t="s">
        <v>346</v>
      </c>
      <c r="I13" s="6">
        <f>E24-I10</f>
        <v>33038.199999999997</v>
      </c>
    </row>
    <row r="15" spans="2:9" x14ac:dyDescent="0.2">
      <c r="B15" t="s">
        <v>326</v>
      </c>
      <c r="E15">
        <v>477</v>
      </c>
    </row>
    <row r="16" spans="2:9" x14ac:dyDescent="0.2">
      <c r="B16" t="s">
        <v>327</v>
      </c>
      <c r="E16">
        <v>-1694</v>
      </c>
    </row>
    <row r="17" spans="2:9" x14ac:dyDescent="0.2">
      <c r="B17" t="s">
        <v>328</v>
      </c>
      <c r="E17">
        <v>3996</v>
      </c>
    </row>
    <row r="18" spans="2:9" x14ac:dyDescent="0.2">
      <c r="G18" t="s">
        <v>348</v>
      </c>
      <c r="H18">
        <f>E28+E29</f>
        <v>40001</v>
      </c>
    </row>
    <row r="20" spans="2:9" x14ac:dyDescent="0.2">
      <c r="B20" t="s">
        <v>329</v>
      </c>
      <c r="E20">
        <v>56033</v>
      </c>
      <c r="G20" t="s">
        <v>349</v>
      </c>
    </row>
    <row r="21" spans="2:9" x14ac:dyDescent="0.2">
      <c r="B21" t="s">
        <v>330</v>
      </c>
      <c r="E21">
        <v>9625</v>
      </c>
      <c r="I21">
        <f>E31-H18</f>
        <v>-47171</v>
      </c>
    </row>
    <row r="22" spans="2:9" x14ac:dyDescent="0.2">
      <c r="B22" t="s">
        <v>331</v>
      </c>
      <c r="E22">
        <v>-1353</v>
      </c>
    </row>
    <row r="23" spans="2:9" x14ac:dyDescent="0.2">
      <c r="B23" t="s">
        <v>332</v>
      </c>
      <c r="E23">
        <v>-24856</v>
      </c>
      <c r="G23" t="s">
        <v>350</v>
      </c>
    </row>
    <row r="24" spans="2:9" x14ac:dyDescent="0.2">
      <c r="B24" t="s">
        <v>347</v>
      </c>
      <c r="E24">
        <v>39449</v>
      </c>
      <c r="I24" s="6">
        <f>I13+I21</f>
        <v>-14132.800000000003</v>
      </c>
    </row>
    <row r="25" spans="2:9" x14ac:dyDescent="0.2">
      <c r="B25" t="s">
        <v>333</v>
      </c>
      <c r="E25">
        <v>-12455</v>
      </c>
    </row>
    <row r="26" spans="2:9" x14ac:dyDescent="0.2">
      <c r="B26" t="s">
        <v>334</v>
      </c>
      <c r="E26">
        <v>-41316</v>
      </c>
    </row>
    <row r="27" spans="2:9" x14ac:dyDescent="0.2">
      <c r="B27" t="s">
        <v>335</v>
      </c>
      <c r="E27">
        <v>6600</v>
      </c>
    </row>
    <row r="28" spans="2:9" x14ac:dyDescent="0.2">
      <c r="B28" t="s">
        <v>336</v>
      </c>
      <c r="E28">
        <v>-9852</v>
      </c>
    </row>
    <row r="29" spans="2:9" x14ac:dyDescent="0.2">
      <c r="B29" t="s">
        <v>337</v>
      </c>
      <c r="E29">
        <v>49853</v>
      </c>
    </row>
    <row r="31" spans="2:9" x14ac:dyDescent="0.2">
      <c r="B31" t="s">
        <v>341</v>
      </c>
      <c r="E31">
        <v>-7170</v>
      </c>
    </row>
    <row r="32" spans="2:9" x14ac:dyDescent="0.2">
      <c r="B32" t="s">
        <v>342</v>
      </c>
      <c r="E32">
        <v>-7500</v>
      </c>
    </row>
    <row r="33" spans="1:8" x14ac:dyDescent="0.2">
      <c r="B33" t="s">
        <v>338</v>
      </c>
      <c r="E33">
        <v>-1300</v>
      </c>
    </row>
    <row r="34" spans="1:8" x14ac:dyDescent="0.2">
      <c r="B34" t="s">
        <v>339</v>
      </c>
      <c r="E34">
        <v>38025</v>
      </c>
    </row>
    <row r="35" spans="1:8" x14ac:dyDescent="0.2">
      <c r="B35" t="s">
        <v>340</v>
      </c>
      <c r="E35">
        <v>-31519</v>
      </c>
    </row>
    <row r="39" spans="1:8" x14ac:dyDescent="0.2">
      <c r="A39" t="s">
        <v>351</v>
      </c>
      <c r="B39" t="s">
        <v>352</v>
      </c>
    </row>
    <row r="40" spans="1:8" x14ac:dyDescent="0.2">
      <c r="B40" t="s">
        <v>353</v>
      </c>
      <c r="E40">
        <v>-38025</v>
      </c>
    </row>
    <row r="41" spans="1:8" x14ac:dyDescent="0.2">
      <c r="B41" t="s">
        <v>354</v>
      </c>
      <c r="E41">
        <v>31519</v>
      </c>
    </row>
    <row r="42" spans="1:8" x14ac:dyDescent="0.2">
      <c r="B42" t="s">
        <v>355</v>
      </c>
      <c r="E42">
        <v>-6411</v>
      </c>
    </row>
    <row r="43" spans="1:8" x14ac:dyDescent="0.2">
      <c r="B43" t="s">
        <v>356</v>
      </c>
      <c r="E43">
        <f>-H18</f>
        <v>-40001</v>
      </c>
    </row>
    <row r="44" spans="1:8" x14ac:dyDescent="0.2">
      <c r="B44" t="s">
        <v>357</v>
      </c>
      <c r="E44">
        <v>29985</v>
      </c>
      <c r="F44">
        <f>SUM(E40:E44)</f>
        <v>-22933</v>
      </c>
    </row>
    <row r="46" spans="1:8" x14ac:dyDescent="0.2">
      <c r="B46" t="s">
        <v>358</v>
      </c>
    </row>
    <row r="47" spans="1:8" x14ac:dyDescent="0.2">
      <c r="B47" t="s">
        <v>290</v>
      </c>
      <c r="E47">
        <v>7500</v>
      </c>
    </row>
    <row r="48" spans="1:8" x14ac:dyDescent="0.2">
      <c r="B48" t="s">
        <v>359</v>
      </c>
      <c r="E48">
        <v>1300</v>
      </c>
      <c r="F48">
        <f>SUM(E47:E48)</f>
        <v>8800</v>
      </c>
      <c r="G48">
        <f>SUM(F44:F48)</f>
        <v>-14133</v>
      </c>
      <c r="H48" t="s">
        <v>360</v>
      </c>
    </row>
    <row r="49" spans="8:8" x14ac:dyDescent="0.2">
      <c r="H49" t="s">
        <v>361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E1.5</vt:lpstr>
      <vt:lpstr>E2.1</vt:lpstr>
      <vt:lpstr>E2.4</vt:lpstr>
      <vt:lpstr>E2.7</vt:lpstr>
      <vt:lpstr>E3.7</vt:lpstr>
      <vt:lpstr>E3.11</vt:lpstr>
      <vt:lpstr>E3.13</vt:lpstr>
      <vt:lpstr>E4.1</vt:lpstr>
      <vt:lpstr>E5.3</vt:lpstr>
      <vt:lpstr>E5.4</vt:lpstr>
      <vt:lpstr>E5.13</vt:lpstr>
      <vt:lpstr>E6.3</vt:lpstr>
      <vt:lpstr>E6.4</vt:lpstr>
      <vt:lpstr>E6.13</vt:lpstr>
      <vt:lpstr>E9.2</vt:lpstr>
      <vt:lpstr>E9.4</vt:lpstr>
      <vt:lpstr>E10.3</vt:lpstr>
      <vt:lpstr>E10.6</vt:lpstr>
      <vt:lpstr>E14.7</vt:lpstr>
      <vt:lpstr>E14.17</vt:lpstr>
      <vt:lpstr>E17.5</vt:lpstr>
      <vt:lpstr>Ex1</vt:lpstr>
      <vt:lpstr>Ex2</vt:lpstr>
      <vt:lpstr>Ex3A</vt:lpstr>
      <vt:lpstr>Ex3B</vt:lpstr>
      <vt:lpstr>Ex4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Vanderhaegen</dc:creator>
  <cp:lastModifiedBy>Jeppe Vanderhaegen</cp:lastModifiedBy>
  <dcterms:created xsi:type="dcterms:W3CDTF">2024-06-14T07:57:23Z</dcterms:created>
  <dcterms:modified xsi:type="dcterms:W3CDTF">2024-06-15T09:49:49Z</dcterms:modified>
</cp:coreProperties>
</file>