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F198635C-5116-3943-9675-11FAF49A0704}" xr6:coauthVersionLast="47" xr6:coauthVersionMax="47" xr10:uidLastSave="{00000000-0000-0000-0000-000000000000}"/>
  <bookViews>
    <workbookView xWindow="300" yWindow="1540" windowWidth="28380" windowHeight="14680" activeTab="3" xr2:uid="{00000000-000D-0000-FFFF-FFFF00000000}"/>
  </bookViews>
  <sheets>
    <sheet name="Opgave 1" sheetId="3" r:id="rId1"/>
    <sheet name="Opgave 2" sheetId="1" r:id="rId2"/>
    <sheet name="Opgave 3" sheetId="2" r:id="rId3"/>
    <sheet name="Opgav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22" i="2"/>
  <c r="G25" i="1"/>
  <c r="H30" i="2" l="1"/>
  <c r="G42" i="1" l="1"/>
  <c r="D35" i="2" l="1"/>
  <c r="D34" i="2"/>
  <c r="D33" i="2"/>
  <c r="D32" i="2"/>
  <c r="D24" i="2"/>
  <c r="D23" i="2"/>
  <c r="D31" i="2"/>
  <c r="D29" i="2"/>
  <c r="E28" i="2"/>
  <c r="F28" i="2"/>
  <c r="G28" i="2"/>
  <c r="H28" i="2"/>
  <c r="D28" i="2"/>
  <c r="E27" i="2"/>
  <c r="F27" i="2"/>
  <c r="G27" i="2"/>
  <c r="H27" i="2"/>
  <c r="D27" i="2"/>
  <c r="E26" i="2"/>
  <c r="F26" i="2"/>
  <c r="G26" i="2"/>
  <c r="H26" i="2"/>
  <c r="D26" i="2"/>
  <c r="G22" i="2"/>
  <c r="H22" i="2"/>
  <c r="D22" i="2"/>
  <c r="E14" i="2"/>
  <c r="F14" i="2"/>
  <c r="F17" i="2" s="1"/>
  <c r="G14" i="2"/>
  <c r="H14" i="2"/>
  <c r="H17" i="2" s="1"/>
  <c r="E15" i="2"/>
  <c r="F15" i="2"/>
  <c r="G15" i="2"/>
  <c r="H15" i="2"/>
  <c r="E16" i="2"/>
  <c r="F16" i="2"/>
  <c r="G16" i="2"/>
  <c r="H16" i="2"/>
  <c r="E17" i="2"/>
  <c r="E18" i="2" s="1"/>
  <c r="G17" i="2"/>
  <c r="G18" i="2" s="1"/>
  <c r="G19" i="2" s="1"/>
  <c r="D19" i="2"/>
  <c r="D18" i="2"/>
  <c r="D17" i="2"/>
  <c r="D15" i="2"/>
  <c r="D16" i="2"/>
  <c r="D14" i="2"/>
  <c r="F13" i="2"/>
  <c r="G13" i="2" s="1"/>
  <c r="H13" i="2" s="1"/>
  <c r="E13" i="2"/>
  <c r="D13" i="2"/>
  <c r="E12" i="2"/>
  <c r="F12" i="2"/>
  <c r="G12" i="2"/>
  <c r="H12" i="2"/>
  <c r="D12" i="2"/>
  <c r="K12" i="1"/>
  <c r="K11" i="1"/>
  <c r="C7" i="1"/>
  <c r="H57" i="1"/>
  <c r="G56" i="1"/>
  <c r="G55" i="1"/>
  <c r="G54" i="1"/>
  <c r="G53" i="1"/>
  <c r="H49" i="1"/>
  <c r="G48" i="1"/>
  <c r="H43" i="1"/>
  <c r="F18" i="2" l="1"/>
  <c r="F19" i="2"/>
  <c r="H18" i="2"/>
  <c r="H19" i="2"/>
  <c r="E19" i="2"/>
  <c r="H39" i="1" l="1"/>
  <c r="G49" i="1"/>
  <c r="G47" i="1"/>
  <c r="H44" i="1"/>
  <c r="H50" i="1" s="1"/>
  <c r="G41" i="1"/>
  <c r="H38" i="1"/>
  <c r="H37" i="1"/>
  <c r="H35" i="1"/>
  <c r="H34" i="1"/>
  <c r="H33" i="1"/>
  <c r="H25" i="1"/>
  <c r="H23" i="1"/>
  <c r="G23" i="1"/>
  <c r="H21" i="1"/>
  <c r="G21" i="1"/>
  <c r="H20" i="1"/>
  <c r="G20" i="1"/>
  <c r="H19" i="1"/>
  <c r="G19" i="1"/>
  <c r="H18" i="1"/>
  <c r="G18" i="1"/>
  <c r="H16" i="1"/>
  <c r="G16" i="1"/>
  <c r="H15" i="1"/>
  <c r="G15" i="1"/>
  <c r="H14" i="1"/>
  <c r="G14" i="1"/>
  <c r="H13" i="1"/>
  <c r="G13" i="1"/>
  <c r="H12" i="1"/>
  <c r="G12" i="1"/>
  <c r="H11" i="1"/>
  <c r="G11" i="1"/>
  <c r="H9" i="1"/>
  <c r="G9" i="1"/>
  <c r="H8" i="1"/>
  <c r="G8" i="1"/>
  <c r="H6" i="1"/>
  <c r="G6" i="1"/>
  <c r="C23" i="1"/>
  <c r="D42" i="1"/>
  <c r="C42" i="1"/>
  <c r="C104" i="1"/>
  <c r="H59" i="1" l="1"/>
  <c r="K14" i="1"/>
  <c r="K10" i="1"/>
  <c r="K13" i="1" s="1"/>
  <c r="D64" i="1"/>
  <c r="C64" i="1"/>
  <c r="D69" i="1" l="1"/>
  <c r="C69" i="1"/>
  <c r="D76" i="1" l="1"/>
  <c r="C76" i="1"/>
  <c r="D38" i="1"/>
  <c r="D34" i="1"/>
  <c r="C34" i="1"/>
  <c r="C38" i="1"/>
  <c r="D50" i="1"/>
  <c r="D54" i="1" s="1"/>
  <c r="C50" i="1"/>
  <c r="C54" i="1" s="1"/>
  <c r="C10" i="1" l="1"/>
  <c r="C44" i="1"/>
  <c r="C56" i="1" s="1"/>
  <c r="D78" i="1"/>
  <c r="D80" i="1" s="1"/>
  <c r="C78" i="1"/>
  <c r="C80" i="1" s="1"/>
  <c r="D44" i="1"/>
  <c r="D56" i="1" s="1"/>
  <c r="C12" i="1" l="1"/>
  <c r="C15" i="1" s="1"/>
  <c r="C17" i="1" s="1"/>
  <c r="C19" i="1" s="1"/>
  <c r="C24" i="1" s="1"/>
</calcChain>
</file>

<file path=xl/sharedStrings.xml><?xml version="1.0" encoding="utf-8"?>
<sst xmlns="http://schemas.openxmlformats.org/spreadsheetml/2006/main" count="188" uniqueCount="158">
  <si>
    <t>Value driver</t>
  </si>
  <si>
    <t>2021E</t>
  </si>
  <si>
    <t>2022E</t>
  </si>
  <si>
    <t>2023E</t>
  </si>
  <si>
    <t>2024E</t>
  </si>
  <si>
    <t>Nettoomsætning</t>
  </si>
  <si>
    <t>Vareforbrug</t>
  </si>
  <si>
    <t>Bruttofortjeneste</t>
  </si>
  <si>
    <t>Finansielle indtægter</t>
  </si>
  <si>
    <t>Finansielle omkostninger</t>
  </si>
  <si>
    <t>Resultat før skat</t>
  </si>
  <si>
    <t>Skat af årets resultat</t>
  </si>
  <si>
    <t>Balance</t>
  </si>
  <si>
    <t>Varemærker</t>
  </si>
  <si>
    <t>Andre immaterielle aktiver</t>
  </si>
  <si>
    <t>Immaterielle aktiver i alt</t>
  </si>
  <si>
    <t>Grunde og bygninger</t>
  </si>
  <si>
    <t>Produktionsudstyr og inventar</t>
  </si>
  <si>
    <t>Materielle aktiver i alt</t>
  </si>
  <si>
    <t xml:space="preserve">Udskudte skatteaktiver </t>
  </si>
  <si>
    <t>Finansielle aktiver i alt</t>
  </si>
  <si>
    <t>Langfristede aktiver i alt</t>
  </si>
  <si>
    <t>Varebeholdninger</t>
  </si>
  <si>
    <t>Tilgodehavender fra salg</t>
  </si>
  <si>
    <t>Tilgodehavender i alt</t>
  </si>
  <si>
    <t>Likvide beholdninger</t>
  </si>
  <si>
    <t>Aktiver i alt</t>
  </si>
  <si>
    <t>Korfristede aktiver i alt</t>
  </si>
  <si>
    <t>Aktiekapital</t>
  </si>
  <si>
    <t>Overført overskud</t>
  </si>
  <si>
    <t>Reservekonti</t>
  </si>
  <si>
    <t>Egenkapital i alt</t>
  </si>
  <si>
    <t>Udskudte skatteforpligtelser</t>
  </si>
  <si>
    <t>Banklån</t>
  </si>
  <si>
    <t>Langfristede forpligtelser i alt</t>
  </si>
  <si>
    <t>Kreditinstitutter</t>
  </si>
  <si>
    <t>Skyldig selskabsskat</t>
  </si>
  <si>
    <t>Anden gæld</t>
  </si>
  <si>
    <t>Korfristede forpligtelser i alt</t>
  </si>
  <si>
    <t>Forpligtelser i alt</t>
  </si>
  <si>
    <t>Passiver i alt</t>
  </si>
  <si>
    <t>AKTIVER</t>
  </si>
  <si>
    <t>PASSIVER</t>
  </si>
  <si>
    <t>Årets resultat</t>
  </si>
  <si>
    <t>1.000 DKK</t>
  </si>
  <si>
    <t>Udvalgte noter</t>
  </si>
  <si>
    <t>Øvrige kreditinstitutter</t>
  </si>
  <si>
    <t>Salgs- og distributionsomkostninger</t>
  </si>
  <si>
    <t>Administrationsomkostninger</t>
  </si>
  <si>
    <t>Note 1</t>
  </si>
  <si>
    <t xml:space="preserve">Note </t>
  </si>
  <si>
    <t>Periodeafgræsningsposter</t>
  </si>
  <si>
    <t>Note 2</t>
  </si>
  <si>
    <t>Note 3</t>
  </si>
  <si>
    <t>Leverandørgæld</t>
  </si>
  <si>
    <t xml:space="preserve">Resultat af ordinær drift </t>
  </si>
  <si>
    <t>Effektiv skatteprocent</t>
  </si>
  <si>
    <t>Salgsvækstrate (%)</t>
  </si>
  <si>
    <t>Budget periode</t>
  </si>
  <si>
    <t>periode</t>
  </si>
  <si>
    <t>Terminal -</t>
  </si>
  <si>
    <t>2025E</t>
  </si>
  <si>
    <t>IT-system</t>
  </si>
  <si>
    <t>Resultat af ordinær drift før usædvanlige poster</t>
  </si>
  <si>
    <t>Usædvanlige poster</t>
  </si>
  <si>
    <t>Værdipapirer disponible for salg</t>
  </si>
  <si>
    <t>Nedskrivning på it-system</t>
  </si>
  <si>
    <t>Obligationsbeholdning</t>
  </si>
  <si>
    <t>Dagsværdi per 1. jan.</t>
  </si>
  <si>
    <t>Årets tilgang</t>
  </si>
  <si>
    <t>Årets værdiregulering</t>
  </si>
  <si>
    <t>Dagsværdi 31. dec.</t>
  </si>
  <si>
    <t>Obligationsbeholdningen består primært af danske statsobligationer</t>
  </si>
  <si>
    <t>Kapitalandele</t>
  </si>
  <si>
    <t>Værdipapirer disponible for salg i alt</t>
  </si>
  <si>
    <t>Kapitalandele består udelukkende af en 12 pct.'s ejerandel i A/S Greenhouse</t>
  </si>
  <si>
    <t>Aktiekapitalen på 4000 t.kr. består af 40.000 stk. aktier af nom. 100 kr. per aktie.</t>
  </si>
  <si>
    <t>Per den 31.12.2020 havde virksomheden 3500 aktier i egenbeholdning.</t>
  </si>
  <si>
    <t>Urealiseret gevinst obligationsbeholdning, efter skat</t>
  </si>
  <si>
    <t>Urealiseret gevinst kapitalandele, efter skat</t>
  </si>
  <si>
    <t>Anden totalindkomst</t>
  </si>
  <si>
    <t>Totalindkomst</t>
  </si>
  <si>
    <t>Totalindkomstopgørelse</t>
  </si>
  <si>
    <t>Bruttoavanceprocent</t>
  </si>
  <si>
    <t>Salgs- og distributionsomkostninger i procent af salg</t>
  </si>
  <si>
    <t>Administrationsomkostninger i procent af salg</t>
  </si>
  <si>
    <t>1/ATO</t>
  </si>
  <si>
    <t>i.r.</t>
  </si>
  <si>
    <t>i.r. (ikke relevant)</t>
  </si>
  <si>
    <t xml:space="preserve">Uenig </t>
  </si>
  <si>
    <t>Uenig</t>
  </si>
  <si>
    <t>Fra de ordinære aktionærers synspunkt er minoritetsinteresser ikke en finansiel forpligtelse, men en del af egenkapitalen, der tilhører andre aktionærer i dattervirksomheden.</t>
  </si>
  <si>
    <t xml:space="preserve">Dette tilhører driften, hvor det bør være under driftsaktiver. Ergo uenig </t>
  </si>
  <si>
    <t xml:space="preserve">Det er når ROCE er større end ejernes afkastkrav, der skabes værdi for ejerne </t>
  </si>
  <si>
    <t xml:space="preserve">Såfremt en virksomhed holder netto finansielle aktiver vil egenkapitalen være højere end virksomhedsværdien </t>
  </si>
  <si>
    <t>Det beregnes som CSE*(ROCE-Ejernes afkastkrav)</t>
  </si>
  <si>
    <t>Reformuleret balance</t>
  </si>
  <si>
    <t>Likvide midler</t>
  </si>
  <si>
    <t>Driftsaktiver</t>
  </si>
  <si>
    <t>Udskudte skatteforpligtigelser</t>
  </si>
  <si>
    <t>Selsabsskat</t>
  </si>
  <si>
    <t>Nettodriftsaktiver(NOA)</t>
  </si>
  <si>
    <t>Likvidbeholdninger</t>
  </si>
  <si>
    <t>Langfristet lån</t>
  </si>
  <si>
    <t>Kortfristet lån</t>
  </si>
  <si>
    <t>Netto finansielle Forpligtigelser(NFO)</t>
  </si>
  <si>
    <t>CSE</t>
  </si>
  <si>
    <t>Reformuleret Totalindkomst</t>
  </si>
  <si>
    <t>Bruttoavanche</t>
  </si>
  <si>
    <t>Salg- og distributionsomkostninger</t>
  </si>
  <si>
    <t>Driftsoverskud af salg, før skat</t>
  </si>
  <si>
    <t>Rapporteret skat</t>
  </si>
  <si>
    <t>Skattefordel @ 20%</t>
  </si>
  <si>
    <t>Driftsoverskud af salg, efter skat</t>
  </si>
  <si>
    <t>Andet driftoverskud</t>
  </si>
  <si>
    <t>Nedskrivning af IT-system</t>
  </si>
  <si>
    <t>Urelealiseret gevinst af kapitalandele, efter skat</t>
  </si>
  <si>
    <t>Driftsoverskud i alt, efter skat</t>
  </si>
  <si>
    <t>Skat allokeret til andet driftoverskud</t>
  </si>
  <si>
    <t>Skat @20%</t>
  </si>
  <si>
    <t>Netto finansielle Omkostninger (NFE)</t>
  </si>
  <si>
    <t>Finansielle udgifter</t>
  </si>
  <si>
    <t>Netto</t>
  </si>
  <si>
    <t>Urealiseret gevinest obligationsbeholdning</t>
  </si>
  <si>
    <t>RNOA = OI / gns NOA</t>
  </si>
  <si>
    <t>FLEV = NFO / CSE</t>
  </si>
  <si>
    <t>NBC = NFE / NFO</t>
  </si>
  <si>
    <t>ROCE = RNOA + FLEV*(RNOA - NBC)</t>
  </si>
  <si>
    <t>ReOI = OI - wacc * gns NOA</t>
  </si>
  <si>
    <t>RNOA</t>
  </si>
  <si>
    <t>FLEV</t>
  </si>
  <si>
    <t>NBC</t>
  </si>
  <si>
    <t>ROCE</t>
  </si>
  <si>
    <t>ReOI</t>
  </si>
  <si>
    <t>Administrationsomkostnigner</t>
  </si>
  <si>
    <t>Driftoverskud fra salg, før skat</t>
  </si>
  <si>
    <t>Skat</t>
  </si>
  <si>
    <t>RR</t>
  </si>
  <si>
    <t>Driftsoverskud efter skat(OI)</t>
  </si>
  <si>
    <t xml:space="preserve">NOA = SALG * 1/ATO </t>
  </si>
  <si>
    <t>ReOI = OI - wacc * NOA</t>
  </si>
  <si>
    <t>df = (1 + wacc)^(t)</t>
  </si>
  <si>
    <t>PV ReOI = ReOI / df</t>
  </si>
  <si>
    <t>Sum PV ReOI</t>
  </si>
  <si>
    <t>TV = ReOI * (1 + g) / (wacc - g)</t>
  </si>
  <si>
    <t>PV TV = TV / df</t>
  </si>
  <si>
    <t>EV = NOA + Sum PV ReOI + PV TV</t>
  </si>
  <si>
    <t>NFO</t>
  </si>
  <si>
    <t>V^(E) = EV - NFO</t>
  </si>
  <si>
    <t>Antal udestående aktier (40 - 3,5) = 36,5</t>
  </si>
  <si>
    <t>Værdi per aktie</t>
  </si>
  <si>
    <t>Analytikeren har ret i, at en øget finansiel gearing typisk vil øge egenkapitalsforrentningen. Så længe ROIC&gt;NBC</t>
  </si>
  <si>
    <t xml:space="preserve">Dog har analytikeren ikke ret i, at det vil lede til en øget egenkapitalværdi. </t>
  </si>
  <si>
    <t xml:space="preserve">Derudover vil det gælde, at en øget finansiel gearing vil reducere P/E værdierne, idet ejernes afkastkrav, vil stige </t>
  </si>
  <si>
    <t xml:space="preserve">qua den højere gearing og dermed fuldte risiko. </t>
  </si>
  <si>
    <t xml:space="preserve">Det kan tænkes, at vi ser flere gældsfinansiere aktietilbagekøb og større udbyttebetalinger, men ingen af delene vil </t>
  </si>
  <si>
    <t>skabe mere aktionærværdi</t>
  </si>
  <si>
    <t>ROIC er OI/Investet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</si>
</sst>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5" fillId="0" borderId="1" xfId="0" quotePrefix="1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1" applyNumberFormat="1" applyFont="1" applyBorder="1"/>
    <xf numFmtId="0" fontId="3" fillId="0" borderId="0" xfId="0" applyFont="1"/>
    <xf numFmtId="1" fontId="1" fillId="0" borderId="0" xfId="0" applyNumberFormat="1" applyFont="1"/>
    <xf numFmtId="1" fontId="2" fillId="0" borderId="0" xfId="0" applyNumberFormat="1" applyFont="1"/>
    <xf numFmtId="0" fontId="1" fillId="0" borderId="0" xfId="0" quotePrefix="1" applyFont="1"/>
    <xf numFmtId="0" fontId="4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1" fillId="0" borderId="7" xfId="1" applyNumberFormat="1" applyFont="1" applyFill="1" applyBorder="1"/>
    <xf numFmtId="164" fontId="1" fillId="0" borderId="4" xfId="1" applyNumberFormat="1" applyFont="1" applyBorder="1"/>
    <xf numFmtId="164" fontId="1" fillId="0" borderId="9" xfId="1" applyNumberFormat="1" applyFont="1" applyBorder="1"/>
    <xf numFmtId="164" fontId="1" fillId="0" borderId="0" xfId="1" applyNumberFormat="1" applyFont="1" applyFill="1" applyBorder="1"/>
    <xf numFmtId="1" fontId="1" fillId="0" borderId="0" xfId="0" applyNumberFormat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right"/>
    </xf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center"/>
    </xf>
    <xf numFmtId="0" fontId="1" fillId="0" borderId="12" xfId="0" applyFont="1" applyBorder="1"/>
    <xf numFmtId="0" fontId="2" fillId="0" borderId="12" xfId="0" applyFont="1" applyBorder="1"/>
    <xf numFmtId="0" fontId="1" fillId="0" borderId="4" xfId="0" applyFont="1" applyBorder="1" applyAlignment="1">
      <alignment horizontal="left"/>
    </xf>
    <xf numFmtId="164" fontId="1" fillId="0" borderId="8" xfId="1" applyNumberFormat="1" applyFont="1" applyBorder="1" applyAlignment="1">
      <alignment horizontal="right"/>
    </xf>
    <xf numFmtId="0" fontId="1" fillId="0" borderId="2" xfId="1" applyNumberFormat="1" applyFont="1" applyBorder="1"/>
    <xf numFmtId="0" fontId="1" fillId="0" borderId="5" xfId="1" applyNumberFormat="1" applyFont="1" applyBorder="1"/>
    <xf numFmtId="0" fontId="1" fillId="0" borderId="10" xfId="1" applyNumberFormat="1" applyFont="1" applyBorder="1"/>
    <xf numFmtId="2" fontId="1" fillId="0" borderId="2" xfId="1" applyNumberFormat="1" applyFont="1" applyBorder="1"/>
    <xf numFmtId="9" fontId="1" fillId="0" borderId="0" xfId="0" applyNumberFormat="1" applyFont="1"/>
    <xf numFmtId="167" fontId="1" fillId="0" borderId="0" xfId="0" applyNumberFormat="1" applyFont="1"/>
    <xf numFmtId="2" fontId="2" fillId="0" borderId="0" xfId="0" applyNumberFormat="1" applyFont="1" applyAlignment="1">
      <alignment horizontal="right"/>
    </xf>
    <xf numFmtId="0" fontId="10" fillId="0" borderId="0" xfId="0" applyFont="1"/>
    <xf numFmtId="0" fontId="2" fillId="0" borderId="0" xfId="0" quotePrefix="1" applyFont="1"/>
    <xf numFmtId="166" fontId="1" fillId="0" borderId="0" xfId="0" applyNumberFormat="1" applyFont="1"/>
    <xf numFmtId="0" fontId="1" fillId="0" borderId="0" xfId="1" applyNumberFormat="1" applyFont="1" applyBorder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6</xdr:row>
      <xdr:rowOff>76200</xdr:rowOff>
    </xdr:from>
    <xdr:to>
      <xdr:col>7</xdr:col>
      <xdr:colOff>800100</xdr:colOff>
      <xdr:row>27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3FF73A-53E3-CC0C-39FD-B6830C039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219200"/>
          <a:ext cx="6007100" cy="410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0</xdr:row>
      <xdr:rowOff>114300</xdr:rowOff>
    </xdr:from>
    <xdr:to>
      <xdr:col>21</xdr:col>
      <xdr:colOff>38100</xdr:colOff>
      <xdr:row>36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0C9A9F-9A1F-D731-3861-CC3DD535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14300"/>
          <a:ext cx="5295900" cy="7226300"/>
        </a:xfrm>
        <a:prstGeom prst="rect">
          <a:avLst/>
        </a:prstGeom>
      </xdr:spPr>
    </xdr:pic>
    <xdr:clientData/>
  </xdr:twoCellAnchor>
  <xdr:twoCellAnchor editAs="oneCell">
    <xdr:from>
      <xdr:col>20</xdr:col>
      <xdr:colOff>622300</xdr:colOff>
      <xdr:row>22</xdr:row>
      <xdr:rowOff>101600</xdr:rowOff>
    </xdr:from>
    <xdr:to>
      <xdr:col>32</xdr:col>
      <xdr:colOff>12700</xdr:colOff>
      <xdr:row>31</xdr:row>
      <xdr:rowOff>150242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78D8E2-216E-4B26-4CF6-D1CB28CDB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9300" y="4597400"/>
          <a:ext cx="7772400" cy="1813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584200</xdr:colOff>
      <xdr:row>4</xdr:row>
      <xdr:rowOff>76200</xdr:rowOff>
    </xdr:from>
    <xdr:to>
      <xdr:col>19</xdr:col>
      <xdr:colOff>50800</xdr:colOff>
      <xdr:row>19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66605-3CD6-19DC-FDCF-0A198B98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889000"/>
          <a:ext cx="5054600" cy="3086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3</xdr:row>
      <xdr:rowOff>114300</xdr:rowOff>
    </xdr:from>
    <xdr:to>
      <xdr:col>10</xdr:col>
      <xdr:colOff>330200</xdr:colOff>
      <xdr:row>17</xdr:row>
      <xdr:rowOff>72512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370056-9786-7561-939F-B3284646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685800"/>
          <a:ext cx="7772400" cy="2625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2D80-D2F8-D84F-86E6-CFBFC1BD4538}">
  <dimension ref="I8:I26"/>
  <sheetViews>
    <sheetView topLeftCell="A5" workbookViewId="0">
      <selection activeCell="I26" sqref="I26"/>
    </sheetView>
  </sheetViews>
  <sheetFormatPr baseColWidth="10" defaultRowHeight="15" x14ac:dyDescent="0.2"/>
  <sheetData>
    <row r="8" spans="9:9" x14ac:dyDescent="0.2">
      <c r="I8" t="s">
        <v>89</v>
      </c>
    </row>
    <row r="9" spans="9:9" x14ac:dyDescent="0.2">
      <c r="I9" t="s">
        <v>93</v>
      </c>
    </row>
    <row r="13" spans="9:9" x14ac:dyDescent="0.2">
      <c r="I13" t="s">
        <v>90</v>
      </c>
    </row>
    <row r="14" spans="9:9" x14ac:dyDescent="0.2">
      <c r="I14" t="s">
        <v>91</v>
      </c>
    </row>
    <row r="17" spans="9:9" x14ac:dyDescent="0.2">
      <c r="I17" t="s">
        <v>89</v>
      </c>
    </row>
    <row r="18" spans="9:9" x14ac:dyDescent="0.2">
      <c r="I18" t="s">
        <v>94</v>
      </c>
    </row>
    <row r="22" spans="9:9" x14ac:dyDescent="0.2">
      <c r="I22" t="s">
        <v>89</v>
      </c>
    </row>
    <row r="23" spans="9:9" x14ac:dyDescent="0.2">
      <c r="I23" t="s">
        <v>95</v>
      </c>
    </row>
    <row r="26" spans="9:9" x14ac:dyDescent="0.2">
      <c r="I26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2"/>
  <sheetViews>
    <sheetView topLeftCell="A41" workbookViewId="0">
      <selection activeCell="G26" sqref="G26"/>
    </sheetView>
  </sheetViews>
  <sheetFormatPr baseColWidth="10" defaultColWidth="9.1640625" defaultRowHeight="16" x14ac:dyDescent="0.2"/>
  <cols>
    <col min="1" max="1" width="9.1640625" style="1"/>
    <col min="2" max="2" width="48.1640625" style="1" customWidth="1"/>
    <col min="3" max="5" width="9.1640625" style="1"/>
    <col min="6" max="6" width="38.5" style="1" customWidth="1"/>
    <col min="7" max="16384" width="9.1640625" style="1"/>
  </cols>
  <sheetData>
    <row r="2" spans="2:11" ht="18" x14ac:dyDescent="0.2">
      <c r="B2" s="31" t="s">
        <v>82</v>
      </c>
    </row>
    <row r="3" spans="2:11" x14ac:dyDescent="0.2">
      <c r="I3" s="16"/>
    </row>
    <row r="4" spans="2:11" x14ac:dyDescent="0.2">
      <c r="B4" s="6" t="s">
        <v>44</v>
      </c>
      <c r="C4" s="5">
        <v>2020</v>
      </c>
      <c r="D4" s="22" t="s">
        <v>50</v>
      </c>
      <c r="F4" s="1" t="s">
        <v>96</v>
      </c>
      <c r="G4" s="1">
        <v>2020</v>
      </c>
      <c r="H4" s="1">
        <v>2019</v>
      </c>
      <c r="J4" s="1" t="s">
        <v>124</v>
      </c>
    </row>
    <row r="5" spans="2:11" x14ac:dyDescent="0.2">
      <c r="B5" s="1" t="s">
        <v>5</v>
      </c>
      <c r="C5" s="1">
        <v>19000</v>
      </c>
      <c r="D5" s="23"/>
      <c r="J5" s="1" t="s">
        <v>125</v>
      </c>
    </row>
    <row r="6" spans="2:11" x14ac:dyDescent="0.2">
      <c r="B6" s="2" t="s">
        <v>6</v>
      </c>
      <c r="C6" s="8">
        <v>-8500</v>
      </c>
      <c r="D6" s="23"/>
      <c r="F6" s="3" t="s">
        <v>26</v>
      </c>
      <c r="G6" s="3">
        <f>C56</f>
        <v>22380</v>
      </c>
      <c r="H6" s="3">
        <f>D56</f>
        <v>20125</v>
      </c>
      <c r="J6" s="1" t="s">
        <v>126</v>
      </c>
    </row>
    <row r="7" spans="2:11" x14ac:dyDescent="0.2">
      <c r="B7" s="3" t="s">
        <v>7</v>
      </c>
      <c r="C7" s="3">
        <f>C5+C6</f>
        <v>10500</v>
      </c>
      <c r="D7" s="23"/>
      <c r="G7" s="16"/>
      <c r="J7" s="1" t="s">
        <v>127</v>
      </c>
    </row>
    <row r="8" spans="2:11" x14ac:dyDescent="0.2">
      <c r="B8" s="2" t="s">
        <v>47</v>
      </c>
      <c r="C8" s="1">
        <v>-6200</v>
      </c>
      <c r="D8" s="23"/>
      <c r="F8" s="1" t="s">
        <v>67</v>
      </c>
      <c r="G8" s="52">
        <f>C94</f>
        <v>30</v>
      </c>
      <c r="H8" s="52">
        <f>D94</f>
        <v>25</v>
      </c>
      <c r="J8" s="1" t="s">
        <v>128</v>
      </c>
    </row>
    <row r="9" spans="2:11" x14ac:dyDescent="0.2">
      <c r="B9" s="2" t="s">
        <v>48</v>
      </c>
      <c r="C9" s="8">
        <v>-1100</v>
      </c>
      <c r="D9" s="23"/>
      <c r="F9" s="1" t="s">
        <v>97</v>
      </c>
      <c r="G9" s="52">
        <f>C52</f>
        <v>400</v>
      </c>
      <c r="H9" s="52">
        <f>D52</f>
        <v>500</v>
      </c>
    </row>
    <row r="10" spans="2:11" x14ac:dyDescent="0.2">
      <c r="B10" s="4" t="s">
        <v>63</v>
      </c>
      <c r="C10" s="3">
        <f>C7+C8+C9</f>
        <v>3200</v>
      </c>
      <c r="J10" s="1" t="s">
        <v>129</v>
      </c>
      <c r="K10" s="1">
        <f>H50/AVERAGE(G16:H16)</f>
        <v>0.11893272778881635</v>
      </c>
    </row>
    <row r="11" spans="2:11" x14ac:dyDescent="0.2">
      <c r="B11" s="2" t="s">
        <v>64</v>
      </c>
      <c r="C11" s="8">
        <v>-500</v>
      </c>
      <c r="D11" s="37">
        <v>1</v>
      </c>
      <c r="F11" s="3" t="s">
        <v>98</v>
      </c>
      <c r="G11" s="3">
        <f>G6-SUM(G8:G9)</f>
        <v>21950</v>
      </c>
      <c r="H11" s="3">
        <f>H6-SUM(H8:H9)</f>
        <v>19600</v>
      </c>
      <c r="J11" s="1" t="s">
        <v>130</v>
      </c>
      <c r="K11" s="1">
        <f>AVERAGE(G23:H23)/AVERAGE(G25:H25)</f>
        <v>0.61977011494252876</v>
      </c>
    </row>
    <row r="12" spans="2:11" x14ac:dyDescent="0.2">
      <c r="B12" s="4" t="s">
        <v>55</v>
      </c>
      <c r="C12" s="3">
        <f>C10+C11</f>
        <v>2700</v>
      </c>
      <c r="F12" s="1" t="s">
        <v>99</v>
      </c>
      <c r="G12" s="1">
        <f>C66</f>
        <v>1500</v>
      </c>
      <c r="H12" s="1">
        <f>D66</f>
        <v>1050</v>
      </c>
      <c r="J12" s="1" t="s">
        <v>131</v>
      </c>
      <c r="K12" s="1">
        <f>-H57/AVERAGE(G23:H23)</f>
        <v>2.3442136498516321E-2</v>
      </c>
    </row>
    <row r="13" spans="2:11" x14ac:dyDescent="0.2">
      <c r="B13" s="2" t="s">
        <v>8</v>
      </c>
      <c r="C13" s="1">
        <v>100</v>
      </c>
      <c r="F13" s="1" t="s">
        <v>54</v>
      </c>
      <c r="G13" s="1">
        <f t="shared" ref="G13:H15" si="0">C73</f>
        <v>1345</v>
      </c>
      <c r="H13" s="1">
        <f t="shared" si="0"/>
        <v>1275</v>
      </c>
      <c r="J13" s="1" t="s">
        <v>132</v>
      </c>
      <c r="K13" s="1">
        <f>K10+K11*(K10-K12)</f>
        <v>0.17811494252873564</v>
      </c>
    </row>
    <row r="14" spans="2:11" x14ac:dyDescent="0.2">
      <c r="B14" s="2" t="s">
        <v>9</v>
      </c>
      <c r="C14" s="8">
        <v>-300</v>
      </c>
      <c r="F14" s="1" t="s">
        <v>100</v>
      </c>
      <c r="G14" s="1">
        <f t="shared" si="0"/>
        <v>500</v>
      </c>
      <c r="H14" s="1">
        <f t="shared" si="0"/>
        <v>330</v>
      </c>
      <c r="J14" s="1" t="s">
        <v>133</v>
      </c>
      <c r="K14" s="1">
        <f>H50-0.07*AVERAGE(G16:H16)</f>
        <v>861.94999999999982</v>
      </c>
    </row>
    <row r="15" spans="2:11" x14ac:dyDescent="0.2">
      <c r="B15" s="4" t="s">
        <v>10</v>
      </c>
      <c r="C15" s="3">
        <f>C12+C13+C14</f>
        <v>2500</v>
      </c>
      <c r="F15" s="1" t="s">
        <v>37</v>
      </c>
      <c r="G15" s="1">
        <f t="shared" si="0"/>
        <v>150</v>
      </c>
      <c r="H15" s="1">
        <f t="shared" si="0"/>
        <v>170</v>
      </c>
    </row>
    <row r="16" spans="2:11" x14ac:dyDescent="0.2">
      <c r="B16" s="2" t="s">
        <v>11</v>
      </c>
      <c r="C16" s="1">
        <v>-600</v>
      </c>
      <c r="F16" s="3" t="s">
        <v>101</v>
      </c>
      <c r="G16" s="3">
        <f>G11-SUM(G12:G15)</f>
        <v>18455</v>
      </c>
      <c r="H16" s="3">
        <f>H11-SUM(H12:H15)</f>
        <v>16775</v>
      </c>
    </row>
    <row r="17" spans="2:8" x14ac:dyDescent="0.2">
      <c r="B17" s="4" t="s">
        <v>43</v>
      </c>
      <c r="C17" s="7">
        <f>C15+C16</f>
        <v>1900</v>
      </c>
    </row>
    <row r="18" spans="2:8" x14ac:dyDescent="0.2">
      <c r="B18" s="4"/>
      <c r="C18" s="3"/>
      <c r="F18" s="1" t="s">
        <v>67</v>
      </c>
      <c r="G18" s="1">
        <f>-C94</f>
        <v>-30</v>
      </c>
      <c r="H18" s="1">
        <f>-D94</f>
        <v>-25</v>
      </c>
    </row>
    <row r="19" spans="2:8" x14ac:dyDescent="0.2">
      <c r="B19" s="4" t="s">
        <v>43</v>
      </c>
      <c r="C19" s="3">
        <f>C17</f>
        <v>1900</v>
      </c>
      <c r="F19" s="1" t="s">
        <v>102</v>
      </c>
      <c r="G19" s="1">
        <f>-C52</f>
        <v>-400</v>
      </c>
      <c r="H19" s="1">
        <f>-D52</f>
        <v>-500</v>
      </c>
    </row>
    <row r="20" spans="2:8" x14ac:dyDescent="0.2">
      <c r="B20" s="4"/>
      <c r="C20" s="3"/>
      <c r="F20" s="1" t="s">
        <v>103</v>
      </c>
      <c r="G20" s="1">
        <f>C67+C68</f>
        <v>7200</v>
      </c>
      <c r="H20" s="1">
        <f>D67+D68</f>
        <v>6600</v>
      </c>
    </row>
    <row r="21" spans="2:8" x14ac:dyDescent="0.2">
      <c r="B21" s="35" t="s">
        <v>78</v>
      </c>
      <c r="C21" s="1">
        <v>2</v>
      </c>
      <c r="F21" s="1" t="s">
        <v>104</v>
      </c>
      <c r="G21" s="1">
        <f>C72+C71</f>
        <v>235</v>
      </c>
      <c r="H21" s="1">
        <f>D72+D71</f>
        <v>400</v>
      </c>
    </row>
    <row r="22" spans="2:8" x14ac:dyDescent="0.2">
      <c r="B22" s="35" t="s">
        <v>79</v>
      </c>
      <c r="C22" s="8">
        <v>35</v>
      </c>
    </row>
    <row r="23" spans="2:8" x14ac:dyDescent="0.2">
      <c r="B23" s="4" t="s">
        <v>80</v>
      </c>
      <c r="C23" s="3">
        <f>C21+C22</f>
        <v>37</v>
      </c>
      <c r="F23" s="3" t="s">
        <v>105</v>
      </c>
      <c r="G23" s="3">
        <f>SUM(G18:G21)</f>
        <v>7005</v>
      </c>
      <c r="H23" s="3">
        <f>SUM(H18:H21)</f>
        <v>6475</v>
      </c>
    </row>
    <row r="24" spans="2:8" ht="17" thickBot="1" x14ac:dyDescent="0.25">
      <c r="B24" s="4" t="s">
        <v>81</v>
      </c>
      <c r="C24" s="39">
        <f>C19+C23</f>
        <v>1937</v>
      </c>
    </row>
    <row r="25" spans="2:8" x14ac:dyDescent="0.2">
      <c r="B25" s="4"/>
      <c r="C25" s="3"/>
      <c r="F25" s="3" t="s">
        <v>106</v>
      </c>
      <c r="G25" s="3">
        <f>G16-G23</f>
        <v>11450</v>
      </c>
      <c r="H25" s="3">
        <f>H16-H23</f>
        <v>10300</v>
      </c>
    </row>
    <row r="26" spans="2:8" ht="18" x14ac:dyDescent="0.2">
      <c r="B26" s="31" t="s">
        <v>12</v>
      </c>
    </row>
    <row r="27" spans="2:8" x14ac:dyDescent="0.2">
      <c r="B27" s="3"/>
    </row>
    <row r="28" spans="2:8" x14ac:dyDescent="0.2">
      <c r="B28" s="6" t="s">
        <v>44</v>
      </c>
      <c r="C28" s="5">
        <v>2020</v>
      </c>
      <c r="D28" s="5">
        <v>2019</v>
      </c>
      <c r="E28" s="22" t="s">
        <v>50</v>
      </c>
    </row>
    <row r="29" spans="2:8" x14ac:dyDescent="0.2">
      <c r="B29" s="3" t="s">
        <v>41</v>
      </c>
    </row>
    <row r="30" spans="2:8" ht="8.25" customHeight="1" x14ac:dyDescent="0.2">
      <c r="B30" s="3"/>
    </row>
    <row r="31" spans="2:8" x14ac:dyDescent="0.2">
      <c r="B31" s="1" t="s">
        <v>62</v>
      </c>
      <c r="C31" s="1">
        <v>1500</v>
      </c>
      <c r="D31" s="1">
        <v>2100</v>
      </c>
      <c r="F31" s="1" t="s">
        <v>107</v>
      </c>
      <c r="H31" s="1">
        <v>2020</v>
      </c>
    </row>
    <row r="32" spans="2:8" x14ac:dyDescent="0.2">
      <c r="B32" s="1" t="s">
        <v>13</v>
      </c>
      <c r="C32" s="1">
        <v>2000</v>
      </c>
      <c r="D32" s="1">
        <v>2500</v>
      </c>
    </row>
    <row r="33" spans="2:8" x14ac:dyDescent="0.2">
      <c r="B33" s="1" t="s">
        <v>14</v>
      </c>
      <c r="C33" s="1">
        <v>500</v>
      </c>
      <c r="D33" s="1">
        <v>450</v>
      </c>
      <c r="F33" s="1" t="s">
        <v>5</v>
      </c>
      <c r="H33" s="1">
        <f>C5</f>
        <v>19000</v>
      </c>
    </row>
    <row r="34" spans="2:8" x14ac:dyDescent="0.2">
      <c r="B34" s="7" t="s">
        <v>15</v>
      </c>
      <c r="C34" s="7">
        <f>SUM(C31:C33)</f>
        <v>4000</v>
      </c>
      <c r="D34" s="7">
        <f>SUM(D31:D33)</f>
        <v>5050</v>
      </c>
      <c r="F34" s="1" t="s">
        <v>6</v>
      </c>
      <c r="H34" s="1">
        <f>C6</f>
        <v>-8500</v>
      </c>
    </row>
    <row r="35" spans="2:8" x14ac:dyDescent="0.2">
      <c r="B35" s="3"/>
      <c r="C35" s="3"/>
      <c r="D35" s="3"/>
      <c r="F35" s="3" t="s">
        <v>108</v>
      </c>
      <c r="H35" s="3">
        <f>SUM(H33:H34)</f>
        <v>10500</v>
      </c>
    </row>
    <row r="36" spans="2:8" x14ac:dyDescent="0.2">
      <c r="B36" s="1" t="s">
        <v>16</v>
      </c>
      <c r="C36" s="1">
        <v>4800</v>
      </c>
      <c r="D36" s="1">
        <v>5000</v>
      </c>
    </row>
    <row r="37" spans="2:8" x14ac:dyDescent="0.2">
      <c r="B37" s="1" t="s">
        <v>17</v>
      </c>
      <c r="C37" s="1">
        <v>7100</v>
      </c>
      <c r="D37" s="1">
        <v>6300</v>
      </c>
      <c r="F37" s="1" t="s">
        <v>109</v>
      </c>
      <c r="H37" s="1">
        <f>C8</f>
        <v>-6200</v>
      </c>
    </row>
    <row r="38" spans="2:8" x14ac:dyDescent="0.2">
      <c r="B38" s="7" t="s">
        <v>18</v>
      </c>
      <c r="C38" s="7">
        <f>SUM(C36:C37)</f>
        <v>11900</v>
      </c>
      <c r="D38" s="7">
        <f>SUM(D36:D37)</f>
        <v>11300</v>
      </c>
      <c r="F38" s="1" t="s">
        <v>48</v>
      </c>
      <c r="H38" s="1">
        <f>C9</f>
        <v>-1100</v>
      </c>
    </row>
    <row r="39" spans="2:8" x14ac:dyDescent="0.2">
      <c r="F39" s="3" t="s">
        <v>110</v>
      </c>
      <c r="H39" s="3">
        <f>H35+SUM(H37:H38)</f>
        <v>3200</v>
      </c>
    </row>
    <row r="40" spans="2:8" x14ac:dyDescent="0.2">
      <c r="B40" s="1" t="s">
        <v>19</v>
      </c>
      <c r="C40" s="1">
        <v>100</v>
      </c>
      <c r="D40" s="1">
        <v>120</v>
      </c>
      <c r="E40" s="23"/>
    </row>
    <row r="41" spans="2:8" x14ac:dyDescent="0.2">
      <c r="B41" s="1" t="s">
        <v>65</v>
      </c>
      <c r="C41" s="1">
        <v>1280</v>
      </c>
      <c r="D41" s="1">
        <v>25</v>
      </c>
      <c r="E41" s="37">
        <v>2</v>
      </c>
      <c r="F41" s="1" t="s">
        <v>111</v>
      </c>
      <c r="G41" s="1">
        <f>C16</f>
        <v>-600</v>
      </c>
    </row>
    <row r="42" spans="2:8" x14ac:dyDescent="0.2">
      <c r="B42" s="7" t="s">
        <v>20</v>
      </c>
      <c r="C42" s="7">
        <f>C40+C41</f>
        <v>1380</v>
      </c>
      <c r="D42" s="7">
        <f>D40+D41</f>
        <v>145</v>
      </c>
      <c r="E42" s="23"/>
      <c r="F42" s="1" t="s">
        <v>112</v>
      </c>
      <c r="G42" s="1">
        <f>SUM(C13:C14)*20%</f>
        <v>-40</v>
      </c>
    </row>
    <row r="43" spans="2:8" x14ac:dyDescent="0.2">
      <c r="E43" s="23"/>
      <c r="F43" s="1" t="s">
        <v>118</v>
      </c>
      <c r="G43" s="1">
        <v>-100</v>
      </c>
      <c r="H43" s="1">
        <f>SUM(G41:G43)</f>
        <v>-740</v>
      </c>
    </row>
    <row r="44" spans="2:8" x14ac:dyDescent="0.2">
      <c r="B44" s="7" t="s">
        <v>21</v>
      </c>
      <c r="C44" s="7">
        <f>C34+C38+C42</f>
        <v>17280</v>
      </c>
      <c r="D44" s="7">
        <f>D34+D38+D42</f>
        <v>16495</v>
      </c>
      <c r="E44" s="23"/>
      <c r="F44" s="3" t="s">
        <v>113</v>
      </c>
      <c r="H44" s="3">
        <f>H39+H43</f>
        <v>2460</v>
      </c>
    </row>
    <row r="45" spans="2:8" x14ac:dyDescent="0.2">
      <c r="E45" s="23"/>
    </row>
    <row r="46" spans="2:8" x14ac:dyDescent="0.2">
      <c r="B46" s="3" t="s">
        <v>22</v>
      </c>
      <c r="C46" s="3">
        <v>3000</v>
      </c>
      <c r="D46" s="3">
        <v>1500</v>
      </c>
      <c r="E46" s="23"/>
      <c r="F46" s="3" t="s">
        <v>114</v>
      </c>
    </row>
    <row r="47" spans="2:8" x14ac:dyDescent="0.2">
      <c r="F47" s="1" t="s">
        <v>115</v>
      </c>
      <c r="G47" s="1">
        <f>C11</f>
        <v>-500</v>
      </c>
    </row>
    <row r="48" spans="2:8" x14ac:dyDescent="0.2">
      <c r="B48" s="1" t="s">
        <v>23</v>
      </c>
      <c r="C48" s="1">
        <v>1400</v>
      </c>
      <c r="D48" s="1">
        <v>1200</v>
      </c>
      <c r="F48" s="1" t="s">
        <v>119</v>
      </c>
      <c r="G48" s="1">
        <f>G47*20%*(-1)</f>
        <v>100</v>
      </c>
    </row>
    <row r="49" spans="2:8" x14ac:dyDescent="0.2">
      <c r="B49" s="1" t="s">
        <v>51</v>
      </c>
      <c r="C49" s="1">
        <v>300</v>
      </c>
      <c r="D49" s="1">
        <v>430</v>
      </c>
      <c r="F49" s="1" t="s">
        <v>116</v>
      </c>
      <c r="G49" s="1">
        <f>C22</f>
        <v>35</v>
      </c>
      <c r="H49" s="1">
        <f>SUM(G47:G49)</f>
        <v>-365</v>
      </c>
    </row>
    <row r="50" spans="2:8" x14ac:dyDescent="0.2">
      <c r="B50" s="7" t="s">
        <v>24</v>
      </c>
      <c r="C50" s="7">
        <f>SUM(C48:C49)</f>
        <v>1700</v>
      </c>
      <c r="D50" s="7">
        <f>SUM(D48:D49)</f>
        <v>1630</v>
      </c>
      <c r="F50" s="3" t="s">
        <v>117</v>
      </c>
      <c r="H50" s="3">
        <f>H44+H49</f>
        <v>2095</v>
      </c>
    </row>
    <row r="52" spans="2:8" x14ac:dyDescent="0.2">
      <c r="B52" s="3" t="s">
        <v>25</v>
      </c>
      <c r="C52" s="3">
        <v>400</v>
      </c>
      <c r="D52" s="3">
        <v>500</v>
      </c>
      <c r="F52" s="3" t="s">
        <v>120</v>
      </c>
    </row>
    <row r="53" spans="2:8" x14ac:dyDescent="0.2">
      <c r="F53" s="1" t="s">
        <v>8</v>
      </c>
      <c r="G53" s="1">
        <f>C13</f>
        <v>100</v>
      </c>
      <c r="H53" s="3"/>
    </row>
    <row r="54" spans="2:8" x14ac:dyDescent="0.2">
      <c r="B54" s="7" t="s">
        <v>27</v>
      </c>
      <c r="C54" s="7">
        <f>C46+C50+C52</f>
        <v>5100</v>
      </c>
      <c r="D54" s="7">
        <f>D46+D50+D52</f>
        <v>3630</v>
      </c>
      <c r="F54" s="1" t="s">
        <v>121</v>
      </c>
      <c r="G54" s="1">
        <f>C14</f>
        <v>-300</v>
      </c>
    </row>
    <row r="55" spans="2:8" x14ac:dyDescent="0.2">
      <c r="F55" s="1" t="s">
        <v>122</v>
      </c>
      <c r="G55" s="1">
        <f>SUM(G53:G54)</f>
        <v>-200</v>
      </c>
    </row>
    <row r="56" spans="2:8" x14ac:dyDescent="0.2">
      <c r="B56" s="7" t="s">
        <v>26</v>
      </c>
      <c r="C56" s="7">
        <f>C44+C54</f>
        <v>22380</v>
      </c>
      <c r="D56" s="7">
        <f>D44+D54</f>
        <v>20125</v>
      </c>
      <c r="F56" s="1" t="s">
        <v>112</v>
      </c>
      <c r="G56" s="1">
        <f>-G55*20%</f>
        <v>40</v>
      </c>
    </row>
    <row r="57" spans="2:8" x14ac:dyDescent="0.2">
      <c r="F57" s="1" t="s">
        <v>123</v>
      </c>
      <c r="G57" s="1">
        <v>2</v>
      </c>
      <c r="H57" s="1">
        <f>SUM(G55:G57)</f>
        <v>-158</v>
      </c>
    </row>
    <row r="58" spans="2:8" x14ac:dyDescent="0.2">
      <c r="B58" s="6" t="s">
        <v>44</v>
      </c>
      <c r="C58" s="5">
        <v>2020</v>
      </c>
      <c r="D58" s="5">
        <v>2019</v>
      </c>
    </row>
    <row r="59" spans="2:8" x14ac:dyDescent="0.2">
      <c r="B59" s="3" t="s">
        <v>42</v>
      </c>
      <c r="F59" s="3" t="s">
        <v>81</v>
      </c>
      <c r="G59" s="3"/>
      <c r="H59" s="3">
        <f>SUM(H50:H58)</f>
        <v>1937</v>
      </c>
    </row>
    <row r="61" spans="2:8" x14ac:dyDescent="0.2">
      <c r="B61" s="1" t="s">
        <v>28</v>
      </c>
      <c r="C61" s="1">
        <v>4000</v>
      </c>
      <c r="D61" s="1">
        <v>4000</v>
      </c>
      <c r="E61" s="37">
        <v>3</v>
      </c>
    </row>
    <row r="62" spans="2:8" x14ac:dyDescent="0.2">
      <c r="B62" s="1" t="s">
        <v>29</v>
      </c>
      <c r="C62" s="1">
        <v>7000</v>
      </c>
      <c r="D62" s="1">
        <v>6100</v>
      </c>
    </row>
    <row r="63" spans="2:8" x14ac:dyDescent="0.2">
      <c r="B63" s="1" t="s">
        <v>30</v>
      </c>
      <c r="C63" s="1">
        <v>450</v>
      </c>
      <c r="D63" s="1">
        <v>200</v>
      </c>
    </row>
    <row r="64" spans="2:8" x14ac:dyDescent="0.2">
      <c r="B64" s="7" t="s">
        <v>31</v>
      </c>
      <c r="C64" s="7">
        <f>SUM(C61:C63)</f>
        <v>11450</v>
      </c>
      <c r="D64" s="7">
        <f>SUM(D61:D63)</f>
        <v>10300</v>
      </c>
    </row>
    <row r="66" spans="2:5" x14ac:dyDescent="0.2">
      <c r="B66" s="1" t="s">
        <v>32</v>
      </c>
      <c r="C66" s="1">
        <v>1500</v>
      </c>
      <c r="D66" s="1">
        <v>1050</v>
      </c>
      <c r="E66" s="23"/>
    </row>
    <row r="67" spans="2:5" x14ac:dyDescent="0.2">
      <c r="B67" s="1" t="s">
        <v>33</v>
      </c>
      <c r="C67" s="1">
        <v>2700</v>
      </c>
      <c r="D67" s="1">
        <v>2000</v>
      </c>
      <c r="E67" s="23"/>
    </row>
    <row r="68" spans="2:5" x14ac:dyDescent="0.2">
      <c r="B68" s="1" t="s">
        <v>46</v>
      </c>
      <c r="C68" s="1">
        <v>4500</v>
      </c>
      <c r="D68" s="1">
        <v>4600</v>
      </c>
      <c r="E68" s="23"/>
    </row>
    <row r="69" spans="2:5" x14ac:dyDescent="0.2">
      <c r="B69" s="7" t="s">
        <v>34</v>
      </c>
      <c r="C69" s="7">
        <f>SUM(C66:C68)</f>
        <v>8700</v>
      </c>
      <c r="D69" s="7">
        <f>SUM(D66:D68)</f>
        <v>7650</v>
      </c>
      <c r="E69" s="23"/>
    </row>
    <row r="70" spans="2:5" x14ac:dyDescent="0.2">
      <c r="E70" s="23"/>
    </row>
    <row r="71" spans="2:5" x14ac:dyDescent="0.2">
      <c r="B71" s="1" t="s">
        <v>33</v>
      </c>
      <c r="C71" s="1">
        <v>85</v>
      </c>
      <c r="D71" s="1">
        <v>250</v>
      </c>
      <c r="E71" s="23"/>
    </row>
    <row r="72" spans="2:5" x14ac:dyDescent="0.2">
      <c r="B72" s="1" t="s">
        <v>35</v>
      </c>
      <c r="C72" s="1">
        <v>150</v>
      </c>
      <c r="D72" s="1">
        <v>150</v>
      </c>
      <c r="E72" s="23"/>
    </row>
    <row r="73" spans="2:5" x14ac:dyDescent="0.2">
      <c r="B73" s="1" t="s">
        <v>54</v>
      </c>
      <c r="C73" s="1">
        <v>1345</v>
      </c>
      <c r="D73" s="1">
        <v>1275</v>
      </c>
      <c r="E73" s="23"/>
    </row>
    <row r="74" spans="2:5" x14ac:dyDescent="0.2">
      <c r="B74" s="1" t="s">
        <v>36</v>
      </c>
      <c r="C74" s="1">
        <v>500</v>
      </c>
      <c r="D74" s="1">
        <v>330</v>
      </c>
      <c r="E74" s="23"/>
    </row>
    <row r="75" spans="2:5" x14ac:dyDescent="0.2">
      <c r="B75" s="1" t="s">
        <v>37</v>
      </c>
      <c r="C75" s="1">
        <v>150</v>
      </c>
      <c r="D75" s="1">
        <v>170</v>
      </c>
      <c r="E75" s="23"/>
    </row>
    <row r="76" spans="2:5" x14ac:dyDescent="0.2">
      <c r="B76" s="7" t="s">
        <v>38</v>
      </c>
      <c r="C76" s="7">
        <f>SUM(C71:C75)</f>
        <v>2230</v>
      </c>
      <c r="D76" s="7">
        <f>SUM(D71:D75)</f>
        <v>2175</v>
      </c>
    </row>
    <row r="77" spans="2:5" x14ac:dyDescent="0.2">
      <c r="D77" s="3"/>
    </row>
    <row r="78" spans="2:5" x14ac:dyDescent="0.2">
      <c r="B78" s="7" t="s">
        <v>39</v>
      </c>
      <c r="C78" s="7">
        <f>C69+C76</f>
        <v>10930</v>
      </c>
      <c r="D78" s="7">
        <f>D69+D76</f>
        <v>9825</v>
      </c>
    </row>
    <row r="80" spans="2:5" x14ac:dyDescent="0.2">
      <c r="B80" s="7" t="s">
        <v>40</v>
      </c>
      <c r="C80" s="7">
        <f>C64+C78</f>
        <v>22380</v>
      </c>
      <c r="D80" s="7">
        <f>D64+D78</f>
        <v>20125</v>
      </c>
    </row>
    <row r="81" spans="2:7" x14ac:dyDescent="0.2">
      <c r="B81" s="36"/>
      <c r="C81" s="36"/>
      <c r="D81" s="36"/>
    </row>
    <row r="82" spans="2:7" ht="18" x14ac:dyDescent="0.2">
      <c r="B82" s="31" t="s">
        <v>45</v>
      </c>
      <c r="C82" s="5">
        <v>2020</v>
      </c>
      <c r="D82" s="5">
        <v>2019</v>
      </c>
    </row>
    <row r="84" spans="2:7" x14ac:dyDescent="0.2">
      <c r="B84" s="3" t="s">
        <v>49</v>
      </c>
    </row>
    <row r="85" spans="2:7" x14ac:dyDescent="0.2">
      <c r="B85" s="3" t="s">
        <v>64</v>
      </c>
    </row>
    <row r="86" spans="2:7" x14ac:dyDescent="0.2">
      <c r="B86" s="1" t="s">
        <v>66</v>
      </c>
      <c r="C86" s="1">
        <v>500</v>
      </c>
      <c r="D86" s="21"/>
      <c r="E86" s="21"/>
      <c r="F86" s="21"/>
      <c r="G86" s="21"/>
    </row>
    <row r="87" spans="2:7" x14ac:dyDescent="0.2">
      <c r="B87" s="21"/>
      <c r="C87" s="21"/>
      <c r="D87" s="21"/>
      <c r="E87" s="21"/>
      <c r="F87" s="21"/>
      <c r="G87" s="21"/>
    </row>
    <row r="88" spans="2:7" x14ac:dyDescent="0.2">
      <c r="B88" s="3" t="s">
        <v>52</v>
      </c>
    </row>
    <row r="89" spans="2:7" x14ac:dyDescent="0.2">
      <c r="B89" s="3" t="s">
        <v>65</v>
      </c>
    </row>
    <row r="90" spans="2:7" x14ac:dyDescent="0.2">
      <c r="B90" s="21" t="s">
        <v>67</v>
      </c>
    </row>
    <row r="91" spans="2:7" x14ac:dyDescent="0.2">
      <c r="B91" s="1" t="s">
        <v>68</v>
      </c>
      <c r="C91" s="1">
        <v>25</v>
      </c>
      <c r="D91" s="1">
        <v>20</v>
      </c>
    </row>
    <row r="92" spans="2:7" x14ac:dyDescent="0.2">
      <c r="B92" s="1" t="s">
        <v>69</v>
      </c>
      <c r="C92" s="1">
        <v>0</v>
      </c>
      <c r="D92" s="1">
        <v>0</v>
      </c>
    </row>
    <row r="93" spans="2:7" x14ac:dyDescent="0.2">
      <c r="B93" s="1" t="s">
        <v>70</v>
      </c>
      <c r="C93" s="1">
        <v>5</v>
      </c>
      <c r="D93" s="1">
        <v>5</v>
      </c>
    </row>
    <row r="94" spans="2:7" ht="17" thickBot="1" x14ac:dyDescent="0.25">
      <c r="B94" s="38" t="s">
        <v>71</v>
      </c>
      <c r="C94" s="38">
        <v>30</v>
      </c>
      <c r="D94" s="38">
        <v>25</v>
      </c>
    </row>
    <row r="95" spans="2:7" x14ac:dyDescent="0.2">
      <c r="B95" s="21" t="s">
        <v>72</v>
      </c>
    </row>
    <row r="97" spans="2:5" x14ac:dyDescent="0.2">
      <c r="B97" s="21" t="s">
        <v>73</v>
      </c>
    </row>
    <row r="98" spans="2:5" x14ac:dyDescent="0.2">
      <c r="B98" s="1" t="s">
        <v>68</v>
      </c>
      <c r="C98" s="1">
        <v>0</v>
      </c>
    </row>
    <row r="99" spans="2:5" x14ac:dyDescent="0.2">
      <c r="B99" s="1" t="s">
        <v>69</v>
      </c>
      <c r="C99" s="1">
        <v>1200</v>
      </c>
    </row>
    <row r="100" spans="2:5" x14ac:dyDescent="0.2">
      <c r="B100" s="1" t="s">
        <v>70</v>
      </c>
      <c r="C100" s="1">
        <v>50</v>
      </c>
    </row>
    <row r="101" spans="2:5" ht="17" thickBot="1" x14ac:dyDescent="0.25">
      <c r="B101" s="38" t="s">
        <v>71</v>
      </c>
      <c r="C101" s="38">
        <v>1250</v>
      </c>
      <c r="D101" s="38"/>
    </row>
    <row r="102" spans="2:5" x14ac:dyDescent="0.2">
      <c r="B102" s="21" t="s">
        <v>75</v>
      </c>
    </row>
    <row r="104" spans="2:5" x14ac:dyDescent="0.2">
      <c r="B104" s="7" t="s">
        <v>74</v>
      </c>
      <c r="C104" s="7">
        <f>C94+C101</f>
        <v>1280</v>
      </c>
      <c r="D104" s="7">
        <v>25</v>
      </c>
    </row>
    <row r="105" spans="2:5" x14ac:dyDescent="0.2">
      <c r="B105" s="3"/>
      <c r="C105" s="3"/>
      <c r="D105" s="3"/>
    </row>
    <row r="106" spans="2:5" x14ac:dyDescent="0.2">
      <c r="B106" s="3" t="s">
        <v>53</v>
      </c>
    </row>
    <row r="107" spans="2:5" x14ac:dyDescent="0.2">
      <c r="B107" s="3" t="s">
        <v>28</v>
      </c>
    </row>
    <row r="108" spans="2:5" x14ac:dyDescent="0.2">
      <c r="B108" s="21" t="s">
        <v>76</v>
      </c>
      <c r="C108" s="21"/>
      <c r="D108" s="21"/>
      <c r="E108" s="21"/>
    </row>
    <row r="109" spans="2:5" x14ac:dyDescent="0.2">
      <c r="B109" s="21" t="s">
        <v>77</v>
      </c>
      <c r="C109" s="21"/>
      <c r="D109" s="21"/>
      <c r="E109" s="21"/>
    </row>
    <row r="111" spans="2:5" x14ac:dyDescent="0.2">
      <c r="B111" s="3"/>
    </row>
    <row r="112" spans="2:5" ht="18" x14ac:dyDescent="0.2">
      <c r="B112" s="49"/>
      <c r="C112" s="17"/>
      <c r="D112" s="17"/>
    </row>
    <row r="114" spans="2:5" x14ac:dyDescent="0.2">
      <c r="B114" s="20"/>
    </row>
    <row r="115" spans="2:5" x14ac:dyDescent="0.2">
      <c r="B115" s="20"/>
    </row>
    <row r="116" spans="2:5" x14ac:dyDescent="0.2">
      <c r="B116" s="20"/>
    </row>
    <row r="117" spans="2:5" x14ac:dyDescent="0.2">
      <c r="B117" s="20"/>
    </row>
    <row r="118" spans="2:5" x14ac:dyDescent="0.2">
      <c r="B118" s="20"/>
    </row>
    <row r="119" spans="2:5" x14ac:dyDescent="0.2">
      <c r="B119" s="20"/>
    </row>
    <row r="120" spans="2:5" x14ac:dyDescent="0.2">
      <c r="B120" s="20"/>
    </row>
    <row r="121" spans="2:5" x14ac:dyDescent="0.2">
      <c r="B121" s="50"/>
      <c r="C121" s="3"/>
      <c r="D121" s="3"/>
      <c r="E121" s="23"/>
    </row>
    <row r="128" spans="2:5" x14ac:dyDescent="0.2">
      <c r="B128" s="20"/>
    </row>
    <row r="129" spans="2:5" x14ac:dyDescent="0.2">
      <c r="B129" s="20"/>
    </row>
    <row r="130" spans="2:5" x14ac:dyDescent="0.2">
      <c r="B130" s="50"/>
      <c r="C130" s="3"/>
      <c r="D130" s="3"/>
      <c r="E130" s="23"/>
    </row>
    <row r="132" spans="2:5" x14ac:dyDescent="0.2">
      <c r="B132" s="3"/>
      <c r="C132" s="3"/>
      <c r="D132" s="3"/>
      <c r="E132" s="23"/>
    </row>
    <row r="133" spans="2:5" x14ac:dyDescent="0.2">
      <c r="B133" s="36"/>
      <c r="C133" s="36"/>
      <c r="D133" s="36"/>
    </row>
    <row r="135" spans="2:5" ht="18" x14ac:dyDescent="0.2">
      <c r="B135" s="49"/>
      <c r="C135" s="54"/>
      <c r="D135" s="54"/>
    </row>
    <row r="137" spans="2:5" x14ac:dyDescent="0.2">
      <c r="B137" s="2"/>
    </row>
    <row r="139" spans="2:5" x14ac:dyDescent="0.2">
      <c r="B139" s="2"/>
    </row>
    <row r="140" spans="2:5" x14ac:dyDescent="0.2">
      <c r="B140" s="2"/>
    </row>
    <row r="142" spans="2:5" x14ac:dyDescent="0.2">
      <c r="B142" s="2"/>
    </row>
    <row r="143" spans="2:5" x14ac:dyDescent="0.2">
      <c r="B143" s="2"/>
    </row>
    <row r="144" spans="2:5" x14ac:dyDescent="0.2">
      <c r="B144" s="2"/>
    </row>
    <row r="145" spans="2:4" x14ac:dyDescent="0.2">
      <c r="B145" s="3"/>
      <c r="C145" s="3"/>
      <c r="D145" s="3"/>
    </row>
    <row r="146" spans="2:4" x14ac:dyDescent="0.2">
      <c r="B146" s="3"/>
      <c r="C146" s="3"/>
      <c r="D146" s="3"/>
    </row>
    <row r="147" spans="2:4" x14ac:dyDescent="0.2">
      <c r="B147" s="3"/>
    </row>
    <row r="151" spans="2:4" x14ac:dyDescent="0.2">
      <c r="B151" s="35"/>
      <c r="D151" s="3"/>
    </row>
    <row r="152" spans="2:4" x14ac:dyDescent="0.2">
      <c r="B152" s="4"/>
      <c r="D152" s="3"/>
    </row>
    <row r="153" spans="2:4" x14ac:dyDescent="0.2">
      <c r="B153" s="35"/>
      <c r="D153" s="3"/>
    </row>
    <row r="154" spans="2:4" x14ac:dyDescent="0.2">
      <c r="B154" s="3"/>
    </row>
    <row r="160" spans="2:4" x14ac:dyDescent="0.2">
      <c r="B160" s="35"/>
      <c r="D160" s="3"/>
    </row>
    <row r="161" spans="1:4" x14ac:dyDescent="0.2">
      <c r="B161" s="3"/>
      <c r="C161" s="3"/>
      <c r="D161" s="3"/>
    </row>
    <row r="164" spans="1:4" x14ac:dyDescent="0.2">
      <c r="D164" s="16"/>
    </row>
    <row r="166" spans="1:4" x14ac:dyDescent="0.2">
      <c r="D166" s="16"/>
    </row>
    <row r="167" spans="1:4" x14ac:dyDescent="0.2">
      <c r="D167" s="51"/>
    </row>
    <row r="168" spans="1:4" x14ac:dyDescent="0.2">
      <c r="D168" s="16"/>
    </row>
    <row r="170" spans="1:4" x14ac:dyDescent="0.2">
      <c r="A170" s="3"/>
      <c r="D170" s="16"/>
    </row>
    <row r="172" spans="1:4" x14ac:dyDescent="0.2">
      <c r="A172" s="3"/>
    </row>
  </sheetData>
  <mergeCells count="1">
    <mergeCell ref="C135:D1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9"/>
  <sheetViews>
    <sheetView topLeftCell="A7" workbookViewId="0">
      <selection activeCell="C22" sqref="C22"/>
    </sheetView>
  </sheetViews>
  <sheetFormatPr baseColWidth="10" defaultColWidth="9.1640625" defaultRowHeight="16" x14ac:dyDescent="0.2"/>
  <cols>
    <col min="1" max="2" width="9.1640625" style="1"/>
    <col min="3" max="3" width="47.1640625" style="1" customWidth="1"/>
    <col min="4" max="8" width="10.1640625" style="1" customWidth="1"/>
    <col min="9" max="9" width="11.83203125" style="1" customWidth="1"/>
    <col min="10" max="16384" width="9.1640625" style="1"/>
  </cols>
  <sheetData>
    <row r="1" spans="3:11" x14ac:dyDescent="0.2">
      <c r="I1" s="8"/>
    </row>
    <row r="2" spans="3:11" x14ac:dyDescent="0.2">
      <c r="C2" s="9"/>
      <c r="D2" s="55" t="s">
        <v>58</v>
      </c>
      <c r="E2" s="56"/>
      <c r="F2" s="56"/>
      <c r="G2" s="56"/>
      <c r="H2" s="56"/>
      <c r="I2" s="24" t="s">
        <v>60</v>
      </c>
    </row>
    <row r="3" spans="3:11" x14ac:dyDescent="0.2">
      <c r="C3" s="10" t="s">
        <v>0</v>
      </c>
      <c r="D3" s="13" t="s">
        <v>1</v>
      </c>
      <c r="E3" s="14" t="s">
        <v>2</v>
      </c>
      <c r="F3" s="14" t="s">
        <v>3</v>
      </c>
      <c r="G3" s="14" t="s">
        <v>4</v>
      </c>
      <c r="H3" s="14" t="s">
        <v>61</v>
      </c>
      <c r="I3" s="25" t="s">
        <v>59</v>
      </c>
    </row>
    <row r="4" spans="3:11" x14ac:dyDescent="0.2">
      <c r="C4" s="11" t="s">
        <v>57</v>
      </c>
      <c r="D4" s="26">
        <v>-0.08</v>
      </c>
      <c r="E4" s="16">
        <v>0</v>
      </c>
      <c r="F4" s="16">
        <v>0.06</v>
      </c>
      <c r="G4" s="16">
        <v>0.02</v>
      </c>
      <c r="H4" s="27">
        <v>0.02</v>
      </c>
      <c r="I4" s="28">
        <v>0.02</v>
      </c>
    </row>
    <row r="5" spans="3:11" x14ac:dyDescent="0.2">
      <c r="C5" s="11" t="s">
        <v>83</v>
      </c>
      <c r="D5" s="16">
        <v>0.55000000000000004</v>
      </c>
      <c r="E5" s="16">
        <v>0.56000000000000005</v>
      </c>
      <c r="F5" s="16">
        <v>0.56999999999999995</v>
      </c>
      <c r="G5" s="16">
        <v>0.56999999999999995</v>
      </c>
      <c r="H5" s="27">
        <v>0.57999999999999996</v>
      </c>
      <c r="I5" s="28">
        <v>0.57999999999999996</v>
      </c>
    </row>
    <row r="6" spans="3:11" x14ac:dyDescent="0.2">
      <c r="C6" s="40" t="s">
        <v>84</v>
      </c>
      <c r="D6" s="29">
        <v>0.32</v>
      </c>
      <c r="E6" s="16">
        <v>0.34</v>
      </c>
      <c r="F6" s="16">
        <v>0.34</v>
      </c>
      <c r="G6" s="16">
        <v>0.34</v>
      </c>
      <c r="H6" s="16">
        <v>0.35</v>
      </c>
      <c r="I6" s="28">
        <v>0.35</v>
      </c>
    </row>
    <row r="7" spans="3:11" x14ac:dyDescent="0.2">
      <c r="C7" s="11" t="s">
        <v>85</v>
      </c>
      <c r="D7" s="29">
        <v>0.06</v>
      </c>
      <c r="E7" s="16">
        <v>7.0000000000000007E-2</v>
      </c>
      <c r="F7" s="16">
        <v>7.0000000000000007E-2</v>
      </c>
      <c r="G7" s="16">
        <v>0.08</v>
      </c>
      <c r="H7" s="16">
        <v>0.08</v>
      </c>
      <c r="I7" s="28">
        <v>0.08</v>
      </c>
    </row>
    <row r="8" spans="3:11" x14ac:dyDescent="0.2">
      <c r="C8" s="11" t="s">
        <v>56</v>
      </c>
      <c r="D8" s="16">
        <v>0.26</v>
      </c>
      <c r="E8" s="16">
        <v>0.25</v>
      </c>
      <c r="F8" s="16">
        <v>0.24</v>
      </c>
      <c r="G8" s="16">
        <v>0.23</v>
      </c>
      <c r="H8" s="27">
        <v>0.23</v>
      </c>
      <c r="I8" s="28">
        <v>0.23</v>
      </c>
    </row>
    <row r="9" spans="3:11" x14ac:dyDescent="0.2">
      <c r="C9" s="12" t="s">
        <v>86</v>
      </c>
      <c r="D9" s="41" t="s">
        <v>87</v>
      </c>
      <c r="E9" s="42">
        <v>0.92</v>
      </c>
      <c r="F9" s="45">
        <v>0.9</v>
      </c>
      <c r="G9" s="42">
        <v>0.88</v>
      </c>
      <c r="H9" s="43">
        <v>0.87</v>
      </c>
      <c r="I9" s="44">
        <v>0.87</v>
      </c>
    </row>
    <row r="10" spans="3:11" x14ac:dyDescent="0.2">
      <c r="C10" s="23" t="s">
        <v>88</v>
      </c>
      <c r="D10" s="16"/>
      <c r="E10" s="16"/>
      <c r="F10" s="16"/>
      <c r="G10" s="16"/>
      <c r="H10" s="16"/>
      <c r="I10" s="16"/>
    </row>
    <row r="11" spans="3:11" x14ac:dyDescent="0.2">
      <c r="D11" s="15">
        <v>1</v>
      </c>
      <c r="E11" s="15">
        <v>2</v>
      </c>
      <c r="F11" s="15">
        <v>3</v>
      </c>
      <c r="G11" s="15">
        <v>4</v>
      </c>
      <c r="H11" s="15">
        <v>5</v>
      </c>
      <c r="J11" s="1" t="s">
        <v>137</v>
      </c>
      <c r="K11" s="1">
        <v>7.0000000000000007E-2</v>
      </c>
    </row>
    <row r="12" spans="3:11" ht="18" x14ac:dyDescent="0.2">
      <c r="C12" s="49"/>
      <c r="D12" s="3" t="str">
        <f>D3</f>
        <v>2021E</v>
      </c>
      <c r="E12" s="3" t="str">
        <f t="shared" ref="E12:H12" si="0">E3</f>
        <v>2022E</v>
      </c>
      <c r="F12" s="3" t="str">
        <f t="shared" si="0"/>
        <v>2023E</v>
      </c>
      <c r="G12" s="3" t="str">
        <f t="shared" si="0"/>
        <v>2024E</v>
      </c>
      <c r="H12" s="3" t="str">
        <f t="shared" si="0"/>
        <v>2025E</v>
      </c>
    </row>
    <row r="13" spans="3:11" x14ac:dyDescent="0.2">
      <c r="C13" s="1" t="s">
        <v>5</v>
      </c>
      <c r="D13" s="32">
        <f>'Opgave 2'!C5*(1+'Opgave 3'!D4)</f>
        <v>17480</v>
      </c>
      <c r="E13" s="32">
        <f>D13*(1+E4)</f>
        <v>17480</v>
      </c>
      <c r="F13" s="32">
        <f t="shared" ref="F13:H13" si="1">E13*(1+F4)</f>
        <v>18528.8</v>
      </c>
      <c r="G13" s="32">
        <f t="shared" si="1"/>
        <v>18899.376</v>
      </c>
      <c r="H13" s="32">
        <f t="shared" si="1"/>
        <v>19277.363519999999</v>
      </c>
    </row>
    <row r="14" spans="3:11" x14ac:dyDescent="0.2">
      <c r="C14" s="35" t="s">
        <v>7</v>
      </c>
      <c r="D14" s="15">
        <f>D13*D5</f>
        <v>9614</v>
      </c>
      <c r="E14" s="15">
        <f t="shared" ref="E14:H14" si="2">E13*E5</f>
        <v>9788.8000000000011</v>
      </c>
      <c r="F14" s="15">
        <f t="shared" si="2"/>
        <v>10561.415999999999</v>
      </c>
      <c r="G14" s="15">
        <f t="shared" si="2"/>
        <v>10772.644319999999</v>
      </c>
      <c r="H14" s="15">
        <f t="shared" si="2"/>
        <v>11180.870841599999</v>
      </c>
    </row>
    <row r="15" spans="3:11" x14ac:dyDescent="0.2">
      <c r="C15" s="1" t="s">
        <v>47</v>
      </c>
      <c r="D15" s="30">
        <f>D6*D13</f>
        <v>5593.6</v>
      </c>
      <c r="E15" s="30">
        <f t="shared" ref="E15:H15" si="3">E6*E13</f>
        <v>5943.2000000000007</v>
      </c>
      <c r="F15" s="30">
        <f t="shared" si="3"/>
        <v>6299.7920000000004</v>
      </c>
      <c r="G15" s="30">
        <f t="shared" si="3"/>
        <v>6425.7878400000009</v>
      </c>
      <c r="H15" s="30">
        <f t="shared" si="3"/>
        <v>6747.0772319999996</v>
      </c>
      <c r="I15" s="30"/>
    </row>
    <row r="16" spans="3:11" x14ac:dyDescent="0.2">
      <c r="C16" s="1" t="s">
        <v>134</v>
      </c>
      <c r="D16" s="18">
        <f>D7*D13</f>
        <v>1048.8</v>
      </c>
      <c r="E16" s="18">
        <f t="shared" ref="E16:H16" si="4">E7*E13</f>
        <v>1223.6000000000001</v>
      </c>
      <c r="F16" s="18">
        <f t="shared" si="4"/>
        <v>1297.0160000000001</v>
      </c>
      <c r="G16" s="18">
        <f t="shared" si="4"/>
        <v>1511.9500800000001</v>
      </c>
      <c r="H16" s="18">
        <f t="shared" si="4"/>
        <v>1542.1890816</v>
      </c>
      <c r="I16" s="18"/>
    </row>
    <row r="17" spans="2:10" x14ac:dyDescent="0.2">
      <c r="C17" s="1" t="s">
        <v>135</v>
      </c>
      <c r="D17" s="18">
        <f>D14-SUM(D15:D16)</f>
        <v>2971.5999999999995</v>
      </c>
      <c r="E17" s="18">
        <f t="shared" ref="E17:H17" si="5">E14-SUM(E15:E16)</f>
        <v>2622</v>
      </c>
      <c r="F17" s="18">
        <f t="shared" si="5"/>
        <v>2964.6079999999984</v>
      </c>
      <c r="G17" s="18">
        <f t="shared" si="5"/>
        <v>2834.906399999998</v>
      </c>
      <c r="H17" s="18">
        <f t="shared" si="5"/>
        <v>2891.6045279999998</v>
      </c>
      <c r="I17" s="18"/>
    </row>
    <row r="18" spans="2:10" x14ac:dyDescent="0.2">
      <c r="C18" s="1" t="s">
        <v>136</v>
      </c>
      <c r="D18" s="18">
        <f>D8*D17</f>
        <v>772.61599999999987</v>
      </c>
      <c r="E18" s="18">
        <f t="shared" ref="E18:H18" si="6">E8*E17</f>
        <v>655.5</v>
      </c>
      <c r="F18" s="18">
        <f t="shared" si="6"/>
        <v>711.50591999999961</v>
      </c>
      <c r="G18" s="18">
        <f t="shared" si="6"/>
        <v>652.02847199999962</v>
      </c>
      <c r="H18" s="18">
        <f t="shared" si="6"/>
        <v>665.06904143999998</v>
      </c>
      <c r="I18" s="18"/>
      <c r="J18" s="18"/>
    </row>
    <row r="19" spans="2:10" x14ac:dyDescent="0.2">
      <c r="C19" s="3" t="s">
        <v>138</v>
      </c>
      <c r="D19" s="18">
        <f>D17-D18</f>
        <v>2198.9839999999995</v>
      </c>
      <c r="E19" s="18">
        <f t="shared" ref="E19:H19" si="7">E17-E18</f>
        <v>1966.5</v>
      </c>
      <c r="F19" s="18">
        <f t="shared" si="7"/>
        <v>2253.1020799999988</v>
      </c>
      <c r="G19" s="18">
        <f t="shared" si="7"/>
        <v>2182.8779279999985</v>
      </c>
      <c r="H19" s="18">
        <f t="shared" si="7"/>
        <v>2226.5354865599998</v>
      </c>
      <c r="I19" s="18"/>
    </row>
    <row r="20" spans="2:10" x14ac:dyDescent="0.2">
      <c r="D20" s="18"/>
      <c r="E20" s="18"/>
      <c r="F20" s="18"/>
      <c r="G20" s="18"/>
      <c r="H20" s="18"/>
      <c r="I20" s="18"/>
    </row>
    <row r="21" spans="2:10" x14ac:dyDescent="0.2">
      <c r="C21" s="3"/>
      <c r="D21" s="19"/>
      <c r="E21" s="19"/>
      <c r="F21" s="19"/>
      <c r="G21" s="19"/>
      <c r="H21" s="19"/>
      <c r="I21" s="19"/>
    </row>
    <row r="22" spans="2:10" x14ac:dyDescent="0.2">
      <c r="C22" s="1" t="s">
        <v>139</v>
      </c>
      <c r="D22" s="18">
        <f>'Opgave 2'!G16</f>
        <v>18455</v>
      </c>
      <c r="E22" s="18">
        <f>E13*E9</f>
        <v>16081.6</v>
      </c>
      <c r="F22" s="18">
        <f>F13*F9</f>
        <v>16675.919999999998</v>
      </c>
      <c r="G22" s="18">
        <f t="shared" ref="F22:H22" si="8">G13*G9</f>
        <v>16631.45088</v>
      </c>
      <c r="H22" s="18">
        <f t="shared" si="8"/>
        <v>16771.306262399998</v>
      </c>
    </row>
    <row r="23" spans="2:10" x14ac:dyDescent="0.2">
      <c r="C23" s="1" t="s">
        <v>147</v>
      </c>
      <c r="D23" s="1">
        <f>'Opgave 2'!G23</f>
        <v>7005</v>
      </c>
    </row>
    <row r="24" spans="2:10" x14ac:dyDescent="0.2">
      <c r="C24" s="1" t="s">
        <v>106</v>
      </c>
      <c r="D24" s="18">
        <f>'Opgave 2'!G25</f>
        <v>11450</v>
      </c>
      <c r="E24" s="19"/>
      <c r="F24" s="19"/>
      <c r="G24" s="19"/>
      <c r="H24" s="19"/>
      <c r="I24" s="19"/>
    </row>
    <row r="25" spans="2:10" x14ac:dyDescent="0.2">
      <c r="D25" s="18"/>
      <c r="E25" s="18"/>
      <c r="F25" s="18"/>
      <c r="G25" s="18"/>
      <c r="H25" s="18"/>
    </row>
    <row r="26" spans="2:10" x14ac:dyDescent="0.2">
      <c r="C26" s="1" t="s">
        <v>140</v>
      </c>
      <c r="D26" s="18">
        <f>D19-$K$11*D22</f>
        <v>907.13399999999933</v>
      </c>
      <c r="E26" s="18">
        <f t="shared" ref="E26:H26" si="9">E19-$K$11*E22</f>
        <v>840.78799999999978</v>
      </c>
      <c r="F26" s="18">
        <f t="shared" si="9"/>
        <v>1085.7876799999988</v>
      </c>
      <c r="G26" s="18">
        <f t="shared" si="9"/>
        <v>1018.6763663999984</v>
      </c>
      <c r="H26" s="18">
        <f t="shared" si="9"/>
        <v>1052.5440481919998</v>
      </c>
    </row>
    <row r="27" spans="2:10" x14ac:dyDescent="0.2">
      <c r="C27" s="1" t="s">
        <v>141</v>
      </c>
      <c r="D27" s="33">
        <f>(1+$K$11)^D11</f>
        <v>1.07</v>
      </c>
      <c r="E27" s="33">
        <f t="shared" ref="E27:H27" si="10">(1+$K$11)^E11</f>
        <v>1.1449</v>
      </c>
      <c r="F27" s="33">
        <f t="shared" si="10"/>
        <v>1.2250430000000001</v>
      </c>
      <c r="G27" s="33">
        <f t="shared" si="10"/>
        <v>1.31079601</v>
      </c>
      <c r="H27" s="33">
        <f t="shared" si="10"/>
        <v>1.4025517307000002</v>
      </c>
    </row>
    <row r="28" spans="2:10" x14ac:dyDescent="0.2">
      <c r="B28" s="46"/>
      <c r="C28" s="1" t="s">
        <v>142</v>
      </c>
      <c r="D28" s="18">
        <f>D26/D27</f>
        <v>847.78878504672832</v>
      </c>
      <c r="E28" s="18">
        <f t="shared" ref="E28:H28" si="11">E26/E27</f>
        <v>734.37680146737682</v>
      </c>
      <c r="F28" s="18">
        <f t="shared" si="11"/>
        <v>886.32617793824272</v>
      </c>
      <c r="G28" s="18">
        <f t="shared" si="11"/>
        <v>777.1433225525293</v>
      </c>
      <c r="H28" s="18">
        <f t="shared" si="11"/>
        <v>750.44935965868797</v>
      </c>
    </row>
    <row r="29" spans="2:10" x14ac:dyDescent="0.2">
      <c r="C29" s="1" t="s">
        <v>143</v>
      </c>
      <c r="D29" s="18">
        <f>SUM(D28:H28)</f>
        <v>3996.0844466635654</v>
      </c>
      <c r="E29" s="18"/>
      <c r="F29" s="18"/>
      <c r="G29" s="18"/>
      <c r="H29" s="18"/>
    </row>
    <row r="30" spans="2:10" x14ac:dyDescent="0.2">
      <c r="C30" s="1" t="s">
        <v>144</v>
      </c>
      <c r="D30" s="18"/>
      <c r="E30" s="18"/>
      <c r="F30" s="18"/>
      <c r="G30" s="18"/>
      <c r="H30" s="18">
        <f>H26*(1+0.02)/(K11-0.02)</f>
        <v>21471.898583116792</v>
      </c>
    </row>
    <row r="31" spans="2:10" x14ac:dyDescent="0.2">
      <c r="C31" s="1" t="s">
        <v>145</v>
      </c>
      <c r="D31" s="53">
        <f>H30/H27</f>
        <v>15309.166937037233</v>
      </c>
      <c r="E31" s="48"/>
      <c r="F31" s="48"/>
      <c r="G31" s="48"/>
      <c r="H31" s="48"/>
    </row>
    <row r="32" spans="2:10" x14ac:dyDescent="0.2">
      <c r="B32" s="20"/>
      <c r="C32" s="1" t="s">
        <v>146</v>
      </c>
      <c r="D32" s="18">
        <f>D22+D29+D31</f>
        <v>37760.251383700801</v>
      </c>
      <c r="E32" s="18"/>
      <c r="F32" s="18"/>
      <c r="G32" s="18"/>
      <c r="H32" s="18"/>
    </row>
    <row r="33" spans="2:9" x14ac:dyDescent="0.2">
      <c r="B33" s="20"/>
      <c r="C33" s="1" t="s">
        <v>147</v>
      </c>
      <c r="D33" s="18">
        <f>D23</f>
        <v>7005</v>
      </c>
      <c r="E33" s="18"/>
      <c r="F33" s="18"/>
      <c r="G33" s="18"/>
      <c r="H33" s="18"/>
    </row>
    <row r="34" spans="2:9" x14ac:dyDescent="0.2">
      <c r="B34" s="20"/>
      <c r="C34" s="1" t="s">
        <v>148</v>
      </c>
      <c r="D34" s="18">
        <f>D32-D33</f>
        <v>30755.251383700801</v>
      </c>
      <c r="E34" s="18"/>
      <c r="F34" s="18"/>
      <c r="G34" s="18"/>
      <c r="H34" s="18"/>
      <c r="I34" s="18"/>
    </row>
    <row r="35" spans="2:9" x14ac:dyDescent="0.2">
      <c r="C35" s="1" t="s">
        <v>149</v>
      </c>
      <c r="D35" s="18">
        <f>D34/36.5</f>
        <v>842.60962695070691</v>
      </c>
      <c r="E35" s="33"/>
      <c r="F35" s="33"/>
      <c r="G35" s="33"/>
      <c r="H35" s="33"/>
    </row>
    <row r="36" spans="2:9" x14ac:dyDescent="0.2">
      <c r="C36" s="3" t="s">
        <v>150</v>
      </c>
      <c r="D36" s="18"/>
      <c r="E36" s="18"/>
      <c r="F36" s="18"/>
      <c r="G36" s="18"/>
      <c r="H36" s="18"/>
    </row>
    <row r="37" spans="2:9" x14ac:dyDescent="0.2">
      <c r="D37" s="18"/>
    </row>
    <row r="38" spans="2:9" x14ac:dyDescent="0.2">
      <c r="C38" s="21"/>
      <c r="D38" s="18"/>
      <c r="H38" s="18"/>
    </row>
    <row r="39" spans="2:9" x14ac:dyDescent="0.2">
      <c r="D39" s="47"/>
    </row>
    <row r="40" spans="2:9" x14ac:dyDescent="0.2">
      <c r="C40" s="3"/>
      <c r="D40" s="19"/>
    </row>
    <row r="42" spans="2:9" x14ac:dyDescent="0.2">
      <c r="D42" s="18"/>
      <c r="E42" s="18"/>
      <c r="F42" s="18"/>
      <c r="G42" s="18"/>
      <c r="H42" s="18"/>
    </row>
    <row r="43" spans="2:9" x14ac:dyDescent="0.2">
      <c r="C43" s="3"/>
      <c r="D43" s="18"/>
      <c r="E43" s="18"/>
      <c r="F43" s="18"/>
      <c r="G43" s="18"/>
      <c r="H43" s="18"/>
    </row>
    <row r="44" spans="2:9" x14ac:dyDescent="0.2">
      <c r="D44" s="18"/>
      <c r="E44" s="18"/>
      <c r="F44" s="18"/>
      <c r="G44" s="18"/>
      <c r="H44" s="18"/>
    </row>
    <row r="45" spans="2:9" x14ac:dyDescent="0.2">
      <c r="D45" s="18"/>
      <c r="E45" s="18"/>
      <c r="F45" s="18"/>
      <c r="G45" s="18"/>
      <c r="H45" s="18"/>
    </row>
    <row r="46" spans="2:9" x14ac:dyDescent="0.2">
      <c r="D46" s="18"/>
      <c r="E46" s="18"/>
      <c r="F46" s="18"/>
      <c r="G46" s="18"/>
      <c r="H46" s="18"/>
    </row>
    <row r="47" spans="2:9" x14ac:dyDescent="0.2">
      <c r="D47" s="18"/>
      <c r="E47" s="18"/>
      <c r="F47" s="18"/>
      <c r="G47" s="18"/>
      <c r="H47" s="18"/>
    </row>
    <row r="48" spans="2:9" x14ac:dyDescent="0.2">
      <c r="D48" s="18"/>
      <c r="E48" s="18"/>
      <c r="F48" s="18"/>
      <c r="G48" s="18"/>
      <c r="H48" s="18"/>
    </row>
    <row r="49" spans="4:9" x14ac:dyDescent="0.2">
      <c r="D49" s="18"/>
      <c r="E49" s="18"/>
      <c r="F49" s="18"/>
      <c r="G49" s="18"/>
      <c r="H49" s="18"/>
    </row>
    <row r="50" spans="4:9" x14ac:dyDescent="0.2">
      <c r="D50" s="18"/>
      <c r="E50" s="18"/>
      <c r="F50" s="18"/>
      <c r="G50" s="18"/>
      <c r="H50" s="18"/>
    </row>
    <row r="51" spans="4:9" x14ac:dyDescent="0.2">
      <c r="D51" s="18"/>
      <c r="E51" s="18"/>
      <c r="F51" s="18"/>
      <c r="G51" s="18"/>
      <c r="H51" s="18"/>
    </row>
    <row r="52" spans="4:9" x14ac:dyDescent="0.2">
      <c r="D52" s="18"/>
      <c r="E52" s="18"/>
      <c r="F52" s="18"/>
      <c r="G52" s="18"/>
      <c r="H52" s="18"/>
    </row>
    <row r="53" spans="4:9" x14ac:dyDescent="0.2">
      <c r="D53" s="18"/>
      <c r="E53" s="18"/>
      <c r="F53" s="18"/>
      <c r="G53" s="18"/>
      <c r="H53" s="18"/>
    </row>
    <row r="54" spans="4:9" x14ac:dyDescent="0.2">
      <c r="D54" s="18"/>
      <c r="E54" s="18"/>
      <c r="F54" s="18"/>
      <c r="G54" s="18"/>
      <c r="H54" s="18"/>
    </row>
    <row r="55" spans="4:9" x14ac:dyDescent="0.2">
      <c r="D55" s="34"/>
      <c r="E55" s="34"/>
      <c r="F55" s="34"/>
      <c r="G55" s="34"/>
      <c r="H55" s="34"/>
    </row>
    <row r="56" spans="4:9" x14ac:dyDescent="0.2">
      <c r="D56" s="18"/>
      <c r="E56" s="18"/>
      <c r="F56" s="18"/>
      <c r="G56" s="18"/>
      <c r="H56" s="18"/>
    </row>
    <row r="57" spans="4:9" x14ac:dyDescent="0.2">
      <c r="D57" s="18"/>
      <c r="E57" s="18"/>
      <c r="F57" s="18"/>
      <c r="G57" s="18"/>
      <c r="H57" s="18"/>
    </row>
    <row r="58" spans="4:9" x14ac:dyDescent="0.2">
      <c r="D58" s="18"/>
      <c r="E58" s="18"/>
      <c r="F58" s="18"/>
      <c r="G58" s="18"/>
      <c r="H58" s="18"/>
      <c r="I58" s="18"/>
    </row>
    <row r="59" spans="4:9" x14ac:dyDescent="0.2">
      <c r="D59" s="18"/>
      <c r="E59" s="18"/>
      <c r="F59" s="18"/>
      <c r="G59" s="18"/>
      <c r="H59" s="18"/>
    </row>
    <row r="60" spans="4:9" x14ac:dyDescent="0.2">
      <c r="D60" s="18"/>
      <c r="E60" s="18"/>
      <c r="F60" s="18"/>
      <c r="G60" s="18"/>
      <c r="H60" s="18"/>
    </row>
    <row r="62" spans="4:9" x14ac:dyDescent="0.2">
      <c r="H62" s="18"/>
    </row>
    <row r="68" spans="4:8" x14ac:dyDescent="0.2">
      <c r="D68" s="18"/>
      <c r="E68" s="18"/>
      <c r="F68" s="18"/>
      <c r="G68" s="18"/>
      <c r="H68" s="18"/>
    </row>
    <row r="69" spans="4:8" x14ac:dyDescent="0.2">
      <c r="D69" s="18"/>
      <c r="E69" s="18"/>
      <c r="F69" s="18"/>
      <c r="G69" s="18"/>
      <c r="H69" s="18"/>
    </row>
  </sheetData>
  <mergeCells count="1">
    <mergeCell ref="D2: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3952-BB0A-4C4D-8B71-ED3F7750BE6E}">
  <dimension ref="B20:B28"/>
  <sheetViews>
    <sheetView tabSelected="1" topLeftCell="A11" workbookViewId="0">
      <selection activeCell="G33" sqref="G33"/>
    </sheetView>
  </sheetViews>
  <sheetFormatPr baseColWidth="10" defaultRowHeight="15" x14ac:dyDescent="0.2"/>
  <sheetData>
    <row r="20" spans="2:2" x14ac:dyDescent="0.2">
      <c r="B20" t="s">
        <v>151</v>
      </c>
    </row>
    <row r="21" spans="2:2" x14ac:dyDescent="0.2">
      <c r="B21" t="s">
        <v>152</v>
      </c>
    </row>
    <row r="22" spans="2:2" x14ac:dyDescent="0.2">
      <c r="B22" t="s">
        <v>153</v>
      </c>
    </row>
    <row r="23" spans="2:2" x14ac:dyDescent="0.2">
      <c r="B23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8" spans="2:2" x14ac:dyDescent="0.2">
      <c r="B28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Opgave 1</vt:lpstr>
      <vt:lpstr>Opgave 2</vt:lpstr>
      <vt:lpstr>Opgave 3</vt:lpstr>
      <vt:lpstr>Opgave 4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dcterms:created xsi:type="dcterms:W3CDTF">2019-12-05T13:32:50Z</dcterms:created>
  <dcterms:modified xsi:type="dcterms:W3CDTF">2024-06-17T10:52:33Z</dcterms:modified>
</cp:coreProperties>
</file>