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vander/Library/Mobile Documents/com~apple~CloudDocs/Documents/#University/8. Sem/Regnskab/"/>
    </mc:Choice>
  </mc:AlternateContent>
  <xr:revisionPtr revIDLastSave="0" documentId="13_ncr:1_{2BCF7645-8A7B-FC47-95CC-A34EC16E0BF0}" xr6:coauthVersionLast="47" xr6:coauthVersionMax="47" xr10:uidLastSave="{00000000-0000-0000-0000-000000000000}"/>
  <bookViews>
    <workbookView xWindow="-120" yWindow="500" windowWidth="26540" windowHeight="14220" activeTab="3" xr2:uid="{00000000-000D-0000-FFFF-FFFF00000000}"/>
  </bookViews>
  <sheets>
    <sheet name="Opgave 1" sheetId="3" r:id="rId1"/>
    <sheet name="Opgave 2" sheetId="1" r:id="rId2"/>
    <sheet name="Opgave 3" sheetId="4" r:id="rId3"/>
    <sheet name="Opgave 4" sheetId="2" r:id="rId4"/>
  </sheets>
  <definedNames>
    <definedName name="_xlnm._FilterDatabase" localSheetId="1" hidden="1">'Opgave 2'!$H$11:$L$17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2" l="1"/>
  <c r="D47" i="2"/>
  <c r="D46" i="2"/>
  <c r="D45" i="2"/>
  <c r="D44" i="2"/>
  <c r="H43" i="2"/>
  <c r="D42" i="2"/>
  <c r="E41" i="2"/>
  <c r="F41" i="2"/>
  <c r="G41" i="2"/>
  <c r="H41" i="2"/>
  <c r="D41" i="2"/>
  <c r="E40" i="2"/>
  <c r="F40" i="2"/>
  <c r="G40" i="2"/>
  <c r="H40" i="2"/>
  <c r="D40" i="2"/>
  <c r="E37" i="2"/>
  <c r="F37" i="2"/>
  <c r="G37" i="2"/>
  <c r="H37" i="2"/>
  <c r="D37" i="2"/>
  <c r="E39" i="2"/>
  <c r="F39" i="2"/>
  <c r="G39" i="2"/>
  <c r="H39" i="2"/>
  <c r="D39" i="2"/>
  <c r="E35" i="2"/>
  <c r="E36" i="2" s="1"/>
  <c r="F35" i="2"/>
  <c r="G35" i="2"/>
  <c r="H35" i="2"/>
  <c r="D35" i="2"/>
  <c r="F36" i="2"/>
  <c r="G36" i="2"/>
  <c r="H36" i="2"/>
  <c r="D36" i="2"/>
  <c r="E34" i="2"/>
  <c r="F34" i="2"/>
  <c r="G34" i="2"/>
  <c r="H34" i="2"/>
  <c r="D34" i="2"/>
  <c r="E32" i="2"/>
  <c r="F32" i="2"/>
  <c r="G32" i="2"/>
  <c r="H32" i="2"/>
  <c r="D32" i="2"/>
  <c r="E31" i="2"/>
  <c r="F31" i="2"/>
  <c r="G31" i="2"/>
  <c r="H31" i="2"/>
  <c r="D31" i="2"/>
  <c r="E30" i="2"/>
  <c r="F30" i="2"/>
  <c r="G30" i="2"/>
  <c r="H30" i="2"/>
  <c r="I30" i="2"/>
  <c r="D30" i="2"/>
  <c r="E27" i="2"/>
  <c r="F27" i="2"/>
  <c r="G27" i="2"/>
  <c r="H27" i="2"/>
  <c r="I27" i="2"/>
  <c r="D27" i="2"/>
  <c r="F26" i="2"/>
  <c r="G26" i="2"/>
  <c r="H26" i="2"/>
  <c r="I26" i="2"/>
  <c r="E26" i="2"/>
  <c r="D26" i="2"/>
  <c r="F25" i="2"/>
  <c r="G25" i="2"/>
  <c r="H25" i="2"/>
  <c r="I25" i="2"/>
  <c r="E25" i="2"/>
  <c r="D25" i="2"/>
  <c r="E22" i="2"/>
  <c r="F22" i="2"/>
  <c r="G22" i="2"/>
  <c r="H22" i="2"/>
  <c r="I22" i="2"/>
  <c r="D22" i="2"/>
  <c r="I15" i="2"/>
  <c r="I16" i="2" s="1"/>
  <c r="I19" i="2"/>
  <c r="I21" i="2"/>
  <c r="F21" i="2"/>
  <c r="G21" i="2"/>
  <c r="H21" i="2"/>
  <c r="E21" i="2"/>
  <c r="D21" i="2"/>
  <c r="E20" i="2"/>
  <c r="F20" i="2"/>
  <c r="G20" i="2"/>
  <c r="H20" i="2"/>
  <c r="D20" i="2"/>
  <c r="E19" i="2"/>
  <c r="F19" i="2"/>
  <c r="G19" i="2"/>
  <c r="H19" i="2"/>
  <c r="D19" i="2"/>
  <c r="E18" i="2"/>
  <c r="F18" i="2"/>
  <c r="G18" i="2"/>
  <c r="H18" i="2"/>
  <c r="D18" i="2"/>
  <c r="E17" i="2"/>
  <c r="F17" i="2"/>
  <c r="G17" i="2"/>
  <c r="H17" i="2"/>
  <c r="D17" i="2"/>
  <c r="E16" i="2"/>
  <c r="F16" i="2"/>
  <c r="G16" i="2"/>
  <c r="H16" i="2"/>
  <c r="D16" i="2"/>
  <c r="F15" i="2"/>
  <c r="G15" i="2"/>
  <c r="H15" i="2" s="1"/>
  <c r="E15" i="2"/>
  <c r="D15" i="2"/>
  <c r="K5" i="2"/>
  <c r="C21" i="4"/>
  <c r="C20" i="4"/>
  <c r="C19" i="4"/>
  <c r="C18" i="4"/>
  <c r="C15" i="4"/>
  <c r="C14" i="4"/>
  <c r="C12" i="4"/>
  <c r="D9" i="4"/>
  <c r="D10" i="4" s="1"/>
  <c r="C13" i="4" s="1"/>
  <c r="D8" i="4"/>
  <c r="D7" i="4"/>
  <c r="D6" i="4"/>
  <c r="C4" i="4"/>
  <c r="J74" i="1"/>
  <c r="K74" i="1"/>
  <c r="J75" i="1"/>
  <c r="K75" i="1"/>
  <c r="J76" i="1"/>
  <c r="K76" i="1"/>
  <c r="I76" i="1"/>
  <c r="I75" i="1"/>
  <c r="I74" i="1"/>
  <c r="J69" i="1"/>
  <c r="J70" i="1" s="1"/>
  <c r="K69" i="1"/>
  <c r="I69" i="1"/>
  <c r="I70" i="1" s="1"/>
  <c r="K70" i="1"/>
  <c r="J67" i="1"/>
  <c r="K67" i="1"/>
  <c r="I67" i="1"/>
  <c r="J66" i="1"/>
  <c r="K66" i="1"/>
  <c r="I66" i="1"/>
  <c r="H66" i="1"/>
  <c r="J65" i="1"/>
  <c r="K65" i="1"/>
  <c r="I65" i="1"/>
  <c r="J64" i="1"/>
  <c r="K64" i="1"/>
  <c r="I64" i="1"/>
  <c r="J63" i="1"/>
  <c r="K63" i="1"/>
  <c r="I63" i="1"/>
  <c r="J62" i="1"/>
  <c r="K62" i="1"/>
  <c r="I62" i="1"/>
  <c r="J61" i="1"/>
  <c r="K61" i="1"/>
  <c r="H61" i="1"/>
  <c r="I61" i="1"/>
  <c r="J58" i="1"/>
  <c r="K58" i="1"/>
  <c r="I58" i="1"/>
  <c r="J44" i="1"/>
  <c r="K44" i="1"/>
  <c r="I44" i="1"/>
  <c r="K52" i="1"/>
  <c r="I52" i="1"/>
  <c r="H56" i="1"/>
  <c r="J56" i="1"/>
  <c r="K56" i="1"/>
  <c r="I56" i="1"/>
  <c r="J55" i="1"/>
  <c r="K55" i="1"/>
  <c r="I55" i="1"/>
  <c r="I51" i="1"/>
  <c r="J51" i="1"/>
  <c r="J52" i="1" s="1"/>
  <c r="K51" i="1"/>
  <c r="H51" i="1"/>
  <c r="I50" i="1"/>
  <c r="J50" i="1"/>
  <c r="K50" i="1"/>
  <c r="H50" i="1"/>
  <c r="J43" i="1"/>
  <c r="K43" i="1"/>
  <c r="I43" i="1"/>
  <c r="I17" i="2" l="1"/>
  <c r="I18" i="2" s="1"/>
  <c r="I20" i="2" s="1"/>
  <c r="I53" i="1"/>
  <c r="I45" i="1" s="1"/>
  <c r="I46" i="1"/>
  <c r="K53" i="1"/>
  <c r="K45" i="1" s="1"/>
  <c r="K46" i="1" s="1"/>
  <c r="J53" i="1"/>
  <c r="J45" i="1" s="1"/>
  <c r="J46" i="1" s="1"/>
  <c r="I54" i="1" l="1"/>
  <c r="I57" i="1" s="1"/>
  <c r="J54" i="1"/>
  <c r="K54" i="1"/>
  <c r="J57" i="1" l="1"/>
  <c r="K57" i="1"/>
  <c r="I39" i="1" l="1"/>
  <c r="J39" i="1"/>
  <c r="K39" i="1"/>
  <c r="I40" i="1"/>
  <c r="J40" i="1"/>
  <c r="K40" i="1"/>
  <c r="J38" i="1"/>
  <c r="J41" i="1" s="1"/>
  <c r="J47" i="1" s="1"/>
  <c r="K38" i="1"/>
  <c r="I38" i="1"/>
  <c r="H39" i="1"/>
  <c r="H40" i="1"/>
  <c r="H38" i="1"/>
  <c r="J36" i="1"/>
  <c r="I36" i="1"/>
  <c r="I41" i="1" s="1"/>
  <c r="I47" i="1" s="1"/>
  <c r="J35" i="1"/>
  <c r="K35" i="1"/>
  <c r="K36" i="1" s="1"/>
  <c r="K41" i="1" s="1"/>
  <c r="K47" i="1" s="1"/>
  <c r="I35" i="1"/>
  <c r="J34" i="1"/>
  <c r="K34" i="1"/>
  <c r="I34" i="1"/>
  <c r="J32" i="1"/>
  <c r="K32" i="1"/>
  <c r="I32" i="1"/>
  <c r="J26" i="1"/>
  <c r="K26" i="1"/>
  <c r="J25" i="1"/>
  <c r="L25" i="1"/>
  <c r="H26" i="1"/>
  <c r="H25" i="1"/>
  <c r="J24" i="1"/>
  <c r="J27" i="1" s="1"/>
  <c r="K24" i="1"/>
  <c r="L24" i="1"/>
  <c r="I24" i="1"/>
  <c r="J22" i="1"/>
  <c r="K22" i="1"/>
  <c r="L22" i="1"/>
  <c r="J23" i="1"/>
  <c r="K23" i="1"/>
  <c r="L23" i="1"/>
  <c r="I23" i="1"/>
  <c r="I22" i="1"/>
  <c r="J20" i="1"/>
  <c r="K20" i="1"/>
  <c r="L20" i="1"/>
  <c r="J21" i="1"/>
  <c r="K21" i="1"/>
  <c r="L21" i="1"/>
  <c r="I21" i="1"/>
  <c r="I27" i="1" s="1"/>
  <c r="I20" i="1"/>
  <c r="I17" i="1"/>
  <c r="J7" i="1"/>
  <c r="K7" i="1"/>
  <c r="K25" i="1" s="1"/>
  <c r="L7" i="1"/>
  <c r="I7" i="1"/>
  <c r="I25" i="1" s="1"/>
  <c r="J16" i="1"/>
  <c r="K16" i="1"/>
  <c r="L16" i="1"/>
  <c r="J17" i="1"/>
  <c r="K17" i="1"/>
  <c r="L17" i="1"/>
  <c r="I16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I15" i="1"/>
  <c r="I14" i="1"/>
  <c r="I13" i="1"/>
  <c r="I12" i="1"/>
  <c r="I11" i="1"/>
  <c r="J8" i="1"/>
  <c r="K8" i="1"/>
  <c r="L8" i="1"/>
  <c r="L26" i="1" s="1"/>
  <c r="I8" i="1"/>
  <c r="I26" i="1" s="1"/>
  <c r="J3" i="1"/>
  <c r="K3" i="1"/>
  <c r="L3" i="1"/>
  <c r="I3" i="1"/>
  <c r="G14" i="3"/>
  <c r="L27" i="1" l="1"/>
  <c r="K27" i="1"/>
  <c r="E28" i="1"/>
  <c r="F28" i="1"/>
  <c r="D28" i="1"/>
  <c r="D102" i="1"/>
  <c r="E102" i="1"/>
  <c r="C102" i="1"/>
  <c r="D146" i="1"/>
  <c r="E146" i="1"/>
  <c r="F146" i="1"/>
  <c r="C146" i="1"/>
  <c r="D124" i="1" l="1"/>
  <c r="E124" i="1"/>
  <c r="F124" i="1"/>
  <c r="C124" i="1"/>
  <c r="D82" i="1"/>
  <c r="E82" i="1"/>
  <c r="F82" i="1"/>
  <c r="D73" i="1"/>
  <c r="E73" i="1"/>
  <c r="F73" i="1"/>
  <c r="D67" i="1"/>
  <c r="E67" i="1"/>
  <c r="F67" i="1"/>
  <c r="C67" i="1"/>
  <c r="D59" i="1"/>
  <c r="E59" i="1"/>
  <c r="F59" i="1"/>
  <c r="D50" i="1"/>
  <c r="E50" i="1"/>
  <c r="F50" i="1"/>
  <c r="D44" i="1"/>
  <c r="E44" i="1"/>
  <c r="F44" i="1"/>
  <c r="D39" i="1"/>
  <c r="E39" i="1"/>
  <c r="F39" i="1"/>
  <c r="D84" i="1" l="1"/>
  <c r="E84" i="1"/>
  <c r="F84" i="1"/>
  <c r="F86" i="1" s="1"/>
  <c r="E86" i="1"/>
  <c r="D86" i="1"/>
  <c r="D96" i="1"/>
  <c r="E96" i="1"/>
  <c r="C96" i="1"/>
  <c r="C50" i="1"/>
  <c r="C82" i="1" l="1"/>
  <c r="C73" i="1"/>
  <c r="C59" i="1"/>
  <c r="C44" i="1"/>
  <c r="C39" i="1"/>
  <c r="D6" i="1"/>
  <c r="E6" i="1"/>
  <c r="F6" i="1"/>
  <c r="F11" i="1" l="1"/>
  <c r="F13" i="1" s="1"/>
  <c r="F17" i="1" s="1"/>
  <c r="E11" i="1"/>
  <c r="E13" i="1" s="1"/>
  <c r="E17" i="1" s="1"/>
  <c r="D11" i="1"/>
  <c r="D13" i="1" s="1"/>
  <c r="D17" i="1" s="1"/>
  <c r="E52" i="1"/>
  <c r="E61" i="1" s="1"/>
  <c r="K5" i="1" s="1"/>
  <c r="K10" i="1" s="1"/>
  <c r="K18" i="1" s="1"/>
  <c r="K29" i="1" s="1"/>
  <c r="K30" i="1" s="1"/>
  <c r="F52" i="1"/>
  <c r="F61" i="1" s="1"/>
  <c r="L5" i="1" s="1"/>
  <c r="L10" i="1" s="1"/>
  <c r="L18" i="1" s="1"/>
  <c r="L29" i="1" s="1"/>
  <c r="L30" i="1" s="1"/>
  <c r="C52" i="1"/>
  <c r="C61" i="1" s="1"/>
  <c r="I5" i="1" s="1"/>
  <c r="I10" i="1" s="1"/>
  <c r="I18" i="1" s="1"/>
  <c r="I29" i="1" s="1"/>
  <c r="I30" i="1" s="1"/>
  <c r="C84" i="1"/>
  <c r="C86" i="1" s="1"/>
  <c r="D52" i="1"/>
  <c r="D61" i="1" s="1"/>
  <c r="J5" i="1" s="1"/>
  <c r="J10" i="1" s="1"/>
  <c r="J18" i="1" s="1"/>
  <c r="J29" i="1" s="1"/>
  <c r="J30" i="1" s="1"/>
  <c r="D20" i="1" l="1"/>
  <c r="D24" i="1" s="1"/>
  <c r="D30" i="1" s="1"/>
  <c r="E20" i="1"/>
  <c r="E24" i="1" s="1"/>
  <c r="E30" i="1" s="1"/>
  <c r="F20" i="1"/>
  <c r="F24" i="1" s="1"/>
  <c r="F30" i="1" s="1"/>
</calcChain>
</file>

<file path=xl/sharedStrings.xml><?xml version="1.0" encoding="utf-8"?>
<sst xmlns="http://schemas.openxmlformats.org/spreadsheetml/2006/main" count="245" uniqueCount="216">
  <si>
    <t>Nettoomsætning</t>
  </si>
  <si>
    <t>Produktionsomkostninger</t>
  </si>
  <si>
    <t>Bruttoresultat</t>
  </si>
  <si>
    <t>Forsknings- og udviklingsomkostninger</t>
  </si>
  <si>
    <t>Administrationsomkostninger</t>
  </si>
  <si>
    <t>Finansielle indtægter</t>
  </si>
  <si>
    <t>Finansielle omkostninger</t>
  </si>
  <si>
    <t>Resultat før skat</t>
  </si>
  <si>
    <t>Skat af årets resultat</t>
  </si>
  <si>
    <t>Årets resultat</t>
  </si>
  <si>
    <t>Aktiver</t>
  </si>
  <si>
    <t>Goodwill</t>
  </si>
  <si>
    <t>Patenter og licenser</t>
  </si>
  <si>
    <t>Forudbetalinger og aktiver under udførelse</t>
  </si>
  <si>
    <t>Andre immaterielle aktiver</t>
  </si>
  <si>
    <t>Immaterielle aktiver</t>
  </si>
  <si>
    <t>Grunde og bygninger</t>
  </si>
  <si>
    <t>Produktionsanlæg og maskiner</t>
  </si>
  <si>
    <t>Andre anlæg, driftsmateriel og inventar</t>
  </si>
  <si>
    <t>Materielle aktiver</t>
  </si>
  <si>
    <t>Leasede aktiver</t>
  </si>
  <si>
    <t>Andre værdipapirer og kapitalandele</t>
  </si>
  <si>
    <t>Andre tilgodehavender</t>
  </si>
  <si>
    <t>Udskudte skatteaktiver</t>
  </si>
  <si>
    <t>Andre langfristede aktiver</t>
  </si>
  <si>
    <t>Langfristede aktiver</t>
  </si>
  <si>
    <t>Varebeholdninger</t>
  </si>
  <si>
    <t>Tilgodehavender fra salg</t>
  </si>
  <si>
    <t>Selskabsskat</t>
  </si>
  <si>
    <t>Periodeafgrænsningsposter</t>
  </si>
  <si>
    <t>Likvide beholdninger</t>
  </si>
  <si>
    <t xml:space="preserve">Kortfristede aktiver </t>
  </si>
  <si>
    <t>Passiver</t>
  </si>
  <si>
    <t>Aktiekapital</t>
  </si>
  <si>
    <t>Andre reserver</t>
  </si>
  <si>
    <t>Egenkapital</t>
  </si>
  <si>
    <t>Låntagning</t>
  </si>
  <si>
    <t>Leasingforpligtelse</t>
  </si>
  <si>
    <t>Udskudte skatteforpligtelser</t>
  </si>
  <si>
    <t>Hensatte forpligtelser</t>
  </si>
  <si>
    <t>Langfristede forpligtelser</t>
  </si>
  <si>
    <t>Leverandørgæld</t>
  </si>
  <si>
    <t>Kortfristede forpligtelser</t>
  </si>
  <si>
    <t>Forpligtelser</t>
  </si>
  <si>
    <t>Note</t>
  </si>
  <si>
    <t>(1)</t>
  </si>
  <si>
    <t>(2)</t>
  </si>
  <si>
    <t>Effektiv skattesats</t>
  </si>
  <si>
    <t>(3)</t>
  </si>
  <si>
    <t>(4)</t>
  </si>
  <si>
    <t>(5)</t>
  </si>
  <si>
    <t>Salgsvækstrate</t>
  </si>
  <si>
    <t>2023E</t>
  </si>
  <si>
    <t>2024E</t>
  </si>
  <si>
    <t>2025E</t>
  </si>
  <si>
    <t>2026E</t>
  </si>
  <si>
    <t>2027E</t>
  </si>
  <si>
    <t>2028E</t>
  </si>
  <si>
    <t>Budgetperiode</t>
  </si>
  <si>
    <t>Terminalår</t>
  </si>
  <si>
    <t>Value drivers</t>
  </si>
  <si>
    <t>Posten vedrører udlån til kunder og måles til amortiseret kostpris (effektiv rentes metode) og er rentebærende.</t>
  </si>
  <si>
    <t>Dagsværdiregulering af obligationer disponible for salg, efter skat</t>
  </si>
  <si>
    <t>Dagsværdiregulering af kapitalandele disponible for salg, efter skat</t>
  </si>
  <si>
    <t>Anden totalindkomst</t>
  </si>
  <si>
    <t>Totalindkomst</t>
  </si>
  <si>
    <t>Resultat af primær drift før usædvanlige poster</t>
  </si>
  <si>
    <t>Usædvanlige poster</t>
  </si>
  <si>
    <t>Resultat af primær drift</t>
  </si>
  <si>
    <r>
      <t xml:space="preserve">Resultatopgørelser </t>
    </r>
    <r>
      <rPr>
        <i/>
        <sz val="10"/>
        <color theme="9"/>
        <rFont val="Times New Roman"/>
        <family val="1"/>
      </rPr>
      <t>(1.000 DKK)</t>
    </r>
  </si>
  <si>
    <r>
      <t xml:space="preserve">Balancer </t>
    </r>
    <r>
      <rPr>
        <i/>
        <sz val="10"/>
        <color theme="9"/>
        <rFont val="Times New Roman"/>
        <family val="1"/>
      </rPr>
      <t>(1.000 DKK)</t>
    </r>
  </si>
  <si>
    <r>
      <t>Udvalgte noter</t>
    </r>
    <r>
      <rPr>
        <b/>
        <i/>
        <sz val="16"/>
        <color theme="9"/>
        <rFont val="Times New Roman"/>
        <family val="1"/>
      </rPr>
      <t xml:space="preserve"> </t>
    </r>
    <r>
      <rPr>
        <i/>
        <sz val="10"/>
        <color theme="9"/>
        <rFont val="Times New Roman"/>
        <family val="1"/>
      </rPr>
      <t>(1.000 DKK)</t>
    </r>
  </si>
  <si>
    <t>Anden gæld</t>
  </si>
  <si>
    <t>Forudbetalinger fra kunder</t>
  </si>
  <si>
    <t>1. Usædvanlige poster</t>
  </si>
  <si>
    <t>Nedskrivning koncerngoodwill</t>
  </si>
  <si>
    <t>Gevinst og tab ved afhændelse af anlægsaktiver</t>
  </si>
  <si>
    <t>I alt</t>
  </si>
  <si>
    <t>2. Finansielle indtægter</t>
  </si>
  <si>
    <t>Renteindtægter på likvider og bankindestående</t>
  </si>
  <si>
    <t>Renteindtægter på langfristede tilgodehaveder (lån til kunder)</t>
  </si>
  <si>
    <t xml:space="preserve">Dele af de likvide midler er placeret i lande med valutarestriktioner, </t>
  </si>
  <si>
    <t xml:space="preserve">og skal anvendes til at købe lokale råvarer. </t>
  </si>
  <si>
    <t>Likvide midler med valutarestriktioner udgør:</t>
  </si>
  <si>
    <t>Noter til resultatopgørelsen</t>
  </si>
  <si>
    <t>Noter til balancen</t>
  </si>
  <si>
    <t>(6)</t>
  </si>
  <si>
    <t>Obligationsbeholdning</t>
  </si>
  <si>
    <t>Dagsværdi per 1.1</t>
  </si>
  <si>
    <t>Årets tilgang</t>
  </si>
  <si>
    <t>Årets afgang</t>
  </si>
  <si>
    <t>Årets værdiregulering</t>
  </si>
  <si>
    <t>Dagsværdi per 31.12</t>
  </si>
  <si>
    <t>Obligationsbeholdningen består primært af danske statsobligationer</t>
  </si>
  <si>
    <t>Værdipapirer og andre kapitalandele i alt</t>
  </si>
  <si>
    <t>(7)</t>
  </si>
  <si>
    <t>4. Andre tilgodehavender</t>
  </si>
  <si>
    <t>5. Likvide beholdninger</t>
  </si>
  <si>
    <t>6. Aktiekapital</t>
  </si>
  <si>
    <t>7. Anden gæld</t>
  </si>
  <si>
    <t>3. Andre værdipapirer og kapitalandele</t>
  </si>
  <si>
    <t>Aktiekapitalen på 2.064 t.kr består af 2.064.000 aktier af nominelt 1 kr. per aktie.</t>
  </si>
  <si>
    <t>svarende til 3,8 % af aktiekapitalen.</t>
  </si>
  <si>
    <t>På balancedagen 31.12.2022 bestod beholdningen af egne aktier af 78.432 aktier</t>
  </si>
  <si>
    <t>Skyldig løn, moms, afgifter mm</t>
  </si>
  <si>
    <t>Skyldige renter</t>
  </si>
  <si>
    <t>Andre kapitalandele</t>
  </si>
  <si>
    <r>
      <t>PM</t>
    </r>
    <r>
      <rPr>
        <vertAlign val="subscript"/>
        <sz val="12"/>
        <color theme="1"/>
        <rFont val="Times New Roman"/>
        <family val="1"/>
      </rPr>
      <t>salg</t>
    </r>
    <r>
      <rPr>
        <sz val="12"/>
        <color theme="1"/>
        <rFont val="Times New Roman"/>
        <family val="1"/>
      </rPr>
      <t xml:space="preserve"> (før skat)</t>
    </r>
  </si>
  <si>
    <t>1/ATO</t>
  </si>
  <si>
    <t>i.r</t>
  </si>
  <si>
    <t>Andet driftsoverskud i procent af salg, efter skat</t>
  </si>
  <si>
    <t>NFO/NOA</t>
  </si>
  <si>
    <t>i.r.</t>
  </si>
  <si>
    <t>Efter-skat lånerente</t>
  </si>
  <si>
    <t>Beholdningen består udelukkende af er 11 procents ejerandel i A/S Wireless.</t>
  </si>
  <si>
    <r>
      <t xml:space="preserve">Totalindkomstopgørelser </t>
    </r>
    <r>
      <rPr>
        <i/>
        <sz val="10"/>
        <color theme="9"/>
        <rFont val="Times New Roman"/>
        <family val="1"/>
      </rPr>
      <t>(1.000 DKK)</t>
    </r>
  </si>
  <si>
    <t>Distributionsomkostninger</t>
  </si>
  <si>
    <t>Uenig</t>
  </si>
  <si>
    <t>Leasede aktiver bør være under drifsaktiver</t>
  </si>
  <si>
    <t xml:space="preserve">Formlen er </t>
  </si>
  <si>
    <t>ROCE = RNOA + FLEV(RNOA - NBC)</t>
  </si>
  <si>
    <t>Det giver meget god mening</t>
  </si>
  <si>
    <t>Det frie cashflow må være</t>
  </si>
  <si>
    <t>100-20-(440-400)</t>
  </si>
  <si>
    <t>Enig</t>
  </si>
  <si>
    <t>Besiddelse af netto finansielle aktiver medfører en negativ finansiel leverage</t>
  </si>
  <si>
    <t>der resulterer i RNOA &gt; ROCE</t>
  </si>
  <si>
    <t>ReOI = (RNOA - wacc) x NOA. Ikke altid det forudsætter, at RNOA &gt; wacc</t>
  </si>
  <si>
    <t>Ueing</t>
  </si>
  <si>
    <t xml:space="preserve">Reformuleret balance </t>
  </si>
  <si>
    <t>Aktiver i alt</t>
  </si>
  <si>
    <t xml:space="preserve">Likvidbeholdning </t>
  </si>
  <si>
    <t xml:space="preserve">Driftsaktiver </t>
  </si>
  <si>
    <t xml:space="preserve">Leverandørgæld </t>
  </si>
  <si>
    <t xml:space="preserve">Hensatte forpligtigelser </t>
  </si>
  <si>
    <t xml:space="preserve">Udskudte skatteforpligtigelser </t>
  </si>
  <si>
    <t>Selskabskat</t>
  </si>
  <si>
    <t>Nettodriftsaktiver (NOA)</t>
  </si>
  <si>
    <t>Forudbetalinger</t>
  </si>
  <si>
    <t>Leasingforpligtelse (Lang)</t>
  </si>
  <si>
    <t>Låntagning (Lang)</t>
  </si>
  <si>
    <t>Låntagning (Kort)</t>
  </si>
  <si>
    <t xml:space="preserve">Leasingforpligtelse (Kort) </t>
  </si>
  <si>
    <t>Nettofinansielle Obligationer (NFO)</t>
  </si>
  <si>
    <t>Egenkapital (CSE)</t>
  </si>
  <si>
    <t>Kontrol</t>
  </si>
  <si>
    <t>Reformuleret Totalindkomst</t>
  </si>
  <si>
    <t xml:space="preserve">Driftsoverskud af salg før skat </t>
  </si>
  <si>
    <t>Rapporteret skatteomkostning</t>
  </si>
  <si>
    <t>Skattefordel på gæld @22%</t>
  </si>
  <si>
    <t>Skat allokeret til andet driftoverskud</t>
  </si>
  <si>
    <t>Driftsoverskud af salg efter skat</t>
  </si>
  <si>
    <t xml:space="preserve">Andet driftoverskud </t>
  </si>
  <si>
    <t>Skattefordel @22%</t>
  </si>
  <si>
    <t xml:space="preserve">Nedskrivning på koncerngoodwill </t>
  </si>
  <si>
    <t>Samlet Driftsoverskud</t>
  </si>
  <si>
    <t>Skat på driftsoverskud</t>
  </si>
  <si>
    <t>Andet driftoverskud efter skat</t>
  </si>
  <si>
    <t>Nettofinansielle Omkostninger</t>
  </si>
  <si>
    <t>Nettofinansielle Omkostninger (NFE)</t>
  </si>
  <si>
    <t xml:space="preserve">Totalindkomst </t>
  </si>
  <si>
    <t>RNOA=OI/GNS NOA</t>
  </si>
  <si>
    <t>PM=OI/Salg</t>
  </si>
  <si>
    <t>ATO = Salg/GNS NOA</t>
  </si>
  <si>
    <t xml:space="preserve">Likvider med valutarestriktioner er bundet i driten, hvorfor kun den overskydende likviditet er at betragte som et finansielt aktiv </t>
  </si>
  <si>
    <t>Obligationsbeholdningen er et finansielt aktiv</t>
  </si>
  <si>
    <t>Den "strategiske investering" er et aktiv</t>
  </si>
  <si>
    <t xml:space="preserve">Andre tilgodehavende(udlån til kunder) stammer fra et driftsaktivitet og er et driftsaktiv </t>
  </si>
  <si>
    <t>wacc</t>
  </si>
  <si>
    <t xml:space="preserve">growth </t>
  </si>
  <si>
    <t>diff</t>
  </si>
  <si>
    <t>Samlet driftsoverskud</t>
  </si>
  <si>
    <t>Minus Dagsværdiregulering af andre kapital</t>
  </si>
  <si>
    <t>Plus nedskrivning af koncerngoodwill</t>
  </si>
  <si>
    <t xml:space="preserve">Minus gevinst ved salg af anslægsaktiv, efter skat </t>
  </si>
  <si>
    <t>Core Drifstoverskud(OI)</t>
  </si>
  <si>
    <t>NOA2021</t>
  </si>
  <si>
    <t>NOA2022</t>
  </si>
  <si>
    <t>CSE</t>
  </si>
  <si>
    <t>Core RNOA2022= Core OI / NOA</t>
  </si>
  <si>
    <t>V^E=CSE+[(Core RNOA - wacc) x NOA]/(wacc-g)</t>
  </si>
  <si>
    <t>Antal aktier</t>
  </si>
  <si>
    <t>Antal aktier i tusinde</t>
  </si>
  <si>
    <t>V^E</t>
  </si>
  <si>
    <t>RR</t>
  </si>
  <si>
    <t>Diff</t>
  </si>
  <si>
    <t>Driftoverskud fra salg (før skat)</t>
  </si>
  <si>
    <t>Skat</t>
  </si>
  <si>
    <t>Driftoverskud fra salg efter skat</t>
  </si>
  <si>
    <t>Andet driftoverskud (efter skat)</t>
  </si>
  <si>
    <t>Samlet driftoverskud (OI)</t>
  </si>
  <si>
    <t>Netto finansielle omkostninger (NFE)</t>
  </si>
  <si>
    <t>Nettooverskud</t>
  </si>
  <si>
    <t>Balancer, primo</t>
  </si>
  <si>
    <t>NOA</t>
  </si>
  <si>
    <t>NFO</t>
  </si>
  <si>
    <t>Pengestrømsopgørelse</t>
  </si>
  <si>
    <t>OI</t>
  </si>
  <si>
    <t>∆NOA</t>
  </si>
  <si>
    <t>FCF</t>
  </si>
  <si>
    <t>F = NFE - ∆NFO</t>
  </si>
  <si>
    <t>F + d</t>
  </si>
  <si>
    <t>Værdiansættelse DCF-modellen</t>
  </si>
  <si>
    <t>Df(1,07)'</t>
  </si>
  <si>
    <t>PV FCF</t>
  </si>
  <si>
    <t>Sum PV FCF 2023-2027</t>
  </si>
  <si>
    <t>TV</t>
  </si>
  <si>
    <t>PV TV</t>
  </si>
  <si>
    <t>Egenkapitalværdi</t>
  </si>
  <si>
    <t>Antal udestående aktier (2.064.000-78.432)/1000=1.986</t>
  </si>
  <si>
    <t>Værdi per aktie</t>
  </si>
  <si>
    <t>FCF=OI - ∆NOA</t>
  </si>
  <si>
    <t>d = Nettooverskud - Delta CSE</t>
  </si>
  <si>
    <t>&lt;- Dette bruges til check</t>
  </si>
  <si>
    <t>Enterprise Value = FCF + TV</t>
  </si>
  <si>
    <t>Jeg vil anbefale hold, når aktieprisen bliver handlet til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</si>
</sst>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_ ;_ * \-#,##0_ ;_ * &quot;-&quot;??_ ;_ @_ "/>
    <numFmt numFmtId="165" formatCode="0.0%"/>
    <numFmt numFmtId="166" formatCode="_-* #,##0_-;\-* #,##0_-;_-* &quot;-&quot;??_-;_-@_-"/>
    <numFmt numFmtId="167" formatCode="0.000"/>
    <numFmt numFmtId="168" formatCode="0.000%"/>
    <numFmt numFmtId="169" formatCode="0.0"/>
    <numFmt numFmtId="170" formatCode="_-* #,##0.0_-;\-* #,##0.0_-;_-* &quot;-&quot;??_-;_-@_-"/>
    <numFmt numFmtId="171" formatCode="_ * #,##0.0_ ;_ * \-#,##0.0_ ;_ * &quot;-&quot;??_ ;_ @_ "/>
    <numFmt numFmtId="172" formatCode="_ * #,##0.00_ ;_ * \-#,##0.00_ ;_ 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4" tint="0.59999389629810485"/>
      <name val="Times New Roman"/>
      <family val="1"/>
    </font>
    <font>
      <sz val="12"/>
      <color theme="4" tint="0.39997558519241921"/>
      <name val="Times New Roman"/>
      <family val="1"/>
    </font>
    <font>
      <i/>
      <sz val="10"/>
      <color theme="9"/>
      <name val="Times New Roman"/>
      <family val="1"/>
    </font>
    <font>
      <b/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b/>
      <sz val="16"/>
      <color theme="9"/>
      <name val="Times New Roman"/>
      <family val="1"/>
    </font>
    <font>
      <b/>
      <sz val="16"/>
      <color rgb="FFFF0000"/>
      <name val="Times New Roman"/>
      <family val="1"/>
    </font>
    <font>
      <i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6"/>
      <color theme="9"/>
      <name val="Times New Roman"/>
      <family val="1"/>
    </font>
    <font>
      <b/>
      <sz val="1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3" tint="0.39997558519241921"/>
      <name val="Times New Roman"/>
      <family val="1"/>
    </font>
    <font>
      <b/>
      <i/>
      <sz val="12"/>
      <color theme="4" tint="0.39997558519241921"/>
      <name val="Times New Roman"/>
      <family val="1"/>
    </font>
    <font>
      <b/>
      <sz val="14"/>
      <color rgb="FFFF0000"/>
      <name val="Times New Roman"/>
      <family val="1"/>
    </font>
    <font>
      <b/>
      <i/>
      <sz val="12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3" fillId="0" borderId="2" xfId="1" applyNumberFormat="1" applyFont="1" applyBorder="1"/>
    <xf numFmtId="164" fontId="2" fillId="0" borderId="0" xfId="1" applyNumberFormat="1" applyFont="1"/>
    <xf numFmtId="0" fontId="3" fillId="0" borderId="2" xfId="0" applyFont="1" applyBorder="1"/>
    <xf numFmtId="164" fontId="2" fillId="0" borderId="0" xfId="0" applyNumberFormat="1" applyFont="1"/>
    <xf numFmtId="164" fontId="2" fillId="0" borderId="3" xfId="1" applyNumberFormat="1" applyFont="1" applyBorder="1"/>
    <xf numFmtId="164" fontId="2" fillId="0" borderId="3" xfId="0" applyNumberFormat="1" applyFont="1" applyBorder="1"/>
    <xf numFmtId="0" fontId="2" fillId="0" borderId="3" xfId="0" applyFont="1" applyBorder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164" fontId="3" fillId="0" borderId="0" xfId="0" applyNumberFormat="1" applyFont="1"/>
    <xf numFmtId="0" fontId="9" fillId="0" borderId="0" xfId="0" applyFont="1"/>
    <xf numFmtId="165" fontId="9" fillId="0" borderId="0" xfId="2" applyNumberFormat="1" applyFont="1"/>
    <xf numFmtId="164" fontId="9" fillId="0" borderId="0" xfId="1" applyNumberFormat="1" applyFont="1"/>
    <xf numFmtId="0" fontId="3" fillId="2" borderId="0" xfId="0" applyFont="1" applyFill="1"/>
    <xf numFmtId="0" fontId="7" fillId="0" borderId="0" xfId="0" applyFont="1"/>
    <xf numFmtId="0" fontId="10" fillId="0" borderId="2" xfId="0" applyFont="1" applyBorder="1" applyAlignment="1">
      <alignment horizontal="left"/>
    </xf>
    <xf numFmtId="0" fontId="10" fillId="0" borderId="0" xfId="0" applyFont="1"/>
    <xf numFmtId="165" fontId="3" fillId="0" borderId="0" xfId="2" applyNumberFormat="1" applyFont="1"/>
    <xf numFmtId="165" fontId="3" fillId="0" borderId="2" xfId="2" applyNumberFormat="1" applyFont="1" applyBorder="1"/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7" fillId="0" borderId="5" xfId="0" applyFont="1" applyBorder="1" applyAlignment="1">
      <alignment horizontal="right"/>
    </xf>
    <xf numFmtId="165" fontId="3" fillId="0" borderId="6" xfId="2" applyNumberFormat="1" applyFont="1" applyBorder="1"/>
    <xf numFmtId="0" fontId="2" fillId="0" borderId="7" xfId="0" applyFont="1" applyBorder="1" applyAlignment="1">
      <alignment horizontal="right"/>
    </xf>
    <xf numFmtId="0" fontId="11" fillId="0" borderId="0" xfId="0" applyFont="1"/>
    <xf numFmtId="166" fontId="3" fillId="0" borderId="0" xfId="1" applyNumberFormat="1" applyFont="1" applyFill="1" applyBorder="1"/>
    <xf numFmtId="166" fontId="2" fillId="0" borderId="0" xfId="1" applyNumberFormat="1" applyFont="1" applyFill="1" applyBorder="1"/>
    <xf numFmtId="166" fontId="9" fillId="0" borderId="0" xfId="1" applyNumberFormat="1" applyFont="1" applyFill="1" applyBorder="1"/>
    <xf numFmtId="165" fontId="9" fillId="0" borderId="0" xfId="2" applyNumberFormat="1" applyFont="1" applyFill="1" applyBorder="1"/>
    <xf numFmtId="9" fontId="3" fillId="0" borderId="0" xfId="2" applyFont="1" applyBorder="1"/>
    <xf numFmtId="164" fontId="3" fillId="0" borderId="0" xfId="1" applyNumberFormat="1" applyFont="1" applyBorder="1"/>
    <xf numFmtId="164" fontId="9" fillId="0" borderId="0" xfId="0" applyNumberFormat="1" applyFont="1"/>
    <xf numFmtId="165" fontId="3" fillId="0" borderId="0" xfId="2" applyNumberFormat="1" applyFont="1" applyBorder="1"/>
    <xf numFmtId="165" fontId="2" fillId="0" borderId="0" xfId="2" applyNumberFormat="1" applyFont="1" applyBorder="1"/>
    <xf numFmtId="0" fontId="14" fillId="0" borderId="0" xfId="0" applyFont="1"/>
    <xf numFmtId="0" fontId="15" fillId="0" borderId="0" xfId="0" applyFont="1"/>
    <xf numFmtId="0" fontId="4" fillId="0" borderId="0" xfId="0" applyFont="1" applyAlignment="1">
      <alignment horizontal="center"/>
    </xf>
    <xf numFmtId="165" fontId="9" fillId="0" borderId="0" xfId="2" applyNumberFormat="1" applyFont="1" applyBorder="1"/>
    <xf numFmtId="0" fontId="10" fillId="0" borderId="0" xfId="0" applyFont="1" applyAlignment="1">
      <alignment horizontal="left"/>
    </xf>
    <xf numFmtId="0" fontId="3" fillId="2" borderId="2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14" fillId="0" borderId="2" xfId="0" applyFont="1" applyBorder="1"/>
    <xf numFmtId="0" fontId="9" fillId="0" borderId="2" xfId="0" applyFont="1" applyBorder="1"/>
    <xf numFmtId="0" fontId="15" fillId="0" borderId="4" xfId="0" applyFont="1" applyBorder="1"/>
    <xf numFmtId="0" fontId="13" fillId="0" borderId="4" xfId="0" applyFont="1" applyBorder="1"/>
    <xf numFmtId="0" fontId="15" fillId="0" borderId="2" xfId="0" applyFont="1" applyBorder="1"/>
    <xf numFmtId="0" fontId="13" fillId="0" borderId="2" xfId="0" applyFont="1" applyBorder="1"/>
    <xf numFmtId="0" fontId="17" fillId="0" borderId="0" xfId="0" applyFont="1" applyAlignment="1">
      <alignment horizontal="center"/>
    </xf>
    <xf numFmtId="0" fontId="2" fillId="0" borderId="1" xfId="0" applyFont="1" applyBorder="1"/>
    <xf numFmtId="0" fontId="18" fillId="0" borderId="0" xfId="0" applyFont="1"/>
    <xf numFmtId="0" fontId="19" fillId="0" borderId="0" xfId="0" applyFont="1"/>
    <xf numFmtId="0" fontId="3" fillId="0" borderId="1" xfId="0" applyFont="1" applyBorder="1"/>
    <xf numFmtId="164" fontId="2" fillId="0" borderId="1" xfId="0" applyNumberFormat="1" applyFont="1" applyBorder="1"/>
    <xf numFmtId="164" fontId="11" fillId="0" borderId="0" xfId="0" applyNumberFormat="1" applyFont="1"/>
    <xf numFmtId="0" fontId="20" fillId="0" borderId="1" xfId="0" applyFont="1" applyBorder="1"/>
    <xf numFmtId="166" fontId="3" fillId="0" borderId="0" xfId="1" applyNumberFormat="1" applyFont="1" applyBorder="1"/>
    <xf numFmtId="166" fontId="3" fillId="0" borderId="0" xfId="1" applyNumberFormat="1" applyFont="1"/>
    <xf numFmtId="164" fontId="14" fillId="0" borderId="0" xfId="1" applyNumberFormat="1" applyFont="1" applyFill="1"/>
    <xf numFmtId="164" fontId="14" fillId="0" borderId="2" xfId="1" applyNumberFormat="1" applyFont="1" applyFill="1" applyBorder="1"/>
    <xf numFmtId="0" fontId="15" fillId="0" borderId="2" xfId="2" applyNumberFormat="1" applyFont="1" applyBorder="1"/>
    <xf numFmtId="166" fontId="15" fillId="0" borderId="4" xfId="1" applyNumberFormat="1" applyFont="1" applyBorder="1"/>
    <xf numFmtId="0" fontId="3" fillId="0" borderId="0" xfId="2" applyNumberFormat="1" applyFont="1"/>
    <xf numFmtId="0" fontId="3" fillId="0" borderId="6" xfId="2" applyNumberFormat="1" applyFont="1" applyBorder="1"/>
    <xf numFmtId="10" fontId="3" fillId="0" borderId="0" xfId="2" applyNumberFormat="1" applyFont="1"/>
    <xf numFmtId="10" fontId="3" fillId="0" borderId="9" xfId="2" applyNumberFormat="1" applyFont="1" applyBorder="1"/>
    <xf numFmtId="165" fontId="3" fillId="0" borderId="0" xfId="2" applyNumberFormat="1" applyFont="1" applyAlignment="1">
      <alignment horizontal="right"/>
    </xf>
    <xf numFmtId="2" fontId="3" fillId="0" borderId="0" xfId="2" applyNumberFormat="1" applyFont="1"/>
    <xf numFmtId="165" fontId="3" fillId="0" borderId="10" xfId="2" applyNumberFormat="1" applyFont="1" applyBorder="1"/>
    <xf numFmtId="164" fontId="3" fillId="0" borderId="0" xfId="2" applyNumberFormat="1" applyFont="1" applyBorder="1"/>
    <xf numFmtId="10" fontId="3" fillId="0" borderId="0" xfId="2" applyNumberFormat="1" applyFont="1" applyBorder="1"/>
    <xf numFmtId="0" fontId="24" fillId="0" borderId="0" xfId="0" applyFont="1"/>
    <xf numFmtId="0" fontId="21" fillId="0" borderId="0" xfId="0" applyFont="1"/>
    <xf numFmtId="164" fontId="14" fillId="0" borderId="0" xfId="0" applyNumberFormat="1" applyFont="1"/>
    <xf numFmtId="0" fontId="3" fillId="0" borderId="0" xfId="0" quotePrefix="1" applyFont="1"/>
    <xf numFmtId="0" fontId="2" fillId="0" borderId="0" xfId="0" quotePrefix="1" applyFont="1"/>
    <xf numFmtId="164" fontId="2" fillId="0" borderId="0" xfId="0" quotePrefix="1" applyNumberFormat="1" applyFont="1"/>
    <xf numFmtId="1" fontId="3" fillId="0" borderId="0" xfId="0" quotePrefix="1" applyNumberFormat="1" applyFont="1"/>
    <xf numFmtId="164" fontId="3" fillId="0" borderId="0" xfId="0" quotePrefix="1" applyNumberFormat="1" applyFont="1"/>
    <xf numFmtId="1" fontId="2" fillId="0" borderId="0" xfId="0" quotePrefix="1" applyNumberFormat="1" applyFont="1"/>
    <xf numFmtId="166" fontId="2" fillId="0" borderId="0" xfId="1" quotePrefix="1" applyNumberFormat="1" applyFont="1" applyBorder="1"/>
    <xf numFmtId="0" fontId="13" fillId="0" borderId="0" xfId="0" quotePrefix="1" applyFont="1"/>
    <xf numFmtId="166" fontId="13" fillId="0" borderId="0" xfId="0" quotePrefix="1" applyNumberFormat="1" applyFont="1"/>
    <xf numFmtId="0" fontId="12" fillId="0" borderId="0" xfId="0" applyFont="1"/>
    <xf numFmtId="164" fontId="12" fillId="0" borderId="0" xfId="0" applyNumberFormat="1" applyFont="1"/>
    <xf numFmtId="0" fontId="22" fillId="0" borderId="0" xfId="0" applyFont="1"/>
    <xf numFmtId="2" fontId="3" fillId="0" borderId="0" xfId="0" applyNumberFormat="1" applyFont="1"/>
    <xf numFmtId="0" fontId="13" fillId="0" borderId="0" xfId="0" applyFont="1"/>
    <xf numFmtId="167" fontId="3" fillId="0" borderId="0" xfId="0" applyNumberFormat="1" applyFont="1"/>
    <xf numFmtId="168" fontId="13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2" fontId="3" fillId="0" borderId="0" xfId="2" applyNumberFormat="1" applyFont="1" applyBorder="1"/>
    <xf numFmtId="171" fontId="2" fillId="0" borderId="0" xfId="0" applyNumberFormat="1" applyFont="1"/>
    <xf numFmtId="172" fontId="3" fillId="3" borderId="0" xfId="0" applyNumberFormat="1" applyFont="1" applyFill="1"/>
    <xf numFmtId="164" fontId="2" fillId="0" borderId="0" xfId="1" applyNumberFormat="1" applyFont="1" applyBorder="1"/>
    <xf numFmtId="0" fontId="7" fillId="0" borderId="0" xfId="0" applyFont="1" applyAlignment="1">
      <alignment horizontal="right"/>
    </xf>
    <xf numFmtId="166" fontId="3" fillId="0" borderId="0" xfId="0" applyNumberFormat="1" applyFont="1"/>
    <xf numFmtId="166" fontId="2" fillId="0" borderId="0" xfId="0" applyNumberFormat="1" applyFont="1"/>
    <xf numFmtId="165" fontId="3" fillId="0" borderId="0" xfId="2" applyNumberFormat="1" applyFont="1" applyFill="1" applyBorder="1"/>
    <xf numFmtId="43" fontId="3" fillId="0" borderId="0" xfId="0" applyNumberFormat="1" applyFont="1"/>
    <xf numFmtId="1" fontId="3" fillId="0" borderId="0" xfId="0" applyNumberFormat="1" applyFont="1"/>
    <xf numFmtId="170" fontId="3" fillId="0" borderId="0" xfId="0" applyNumberFormat="1" applyFont="1"/>
    <xf numFmtId="169" fontId="2" fillId="0" borderId="0" xfId="0" applyNumberFormat="1" applyFont="1"/>
    <xf numFmtId="0" fontId="25" fillId="0" borderId="0" xfId="0" applyFont="1"/>
    <xf numFmtId="0" fontId="8" fillId="0" borderId="0" xfId="0" quotePrefix="1" applyFont="1"/>
    <xf numFmtId="0" fontId="8" fillId="0" borderId="0" xfId="0" applyFont="1"/>
    <xf numFmtId="164" fontId="8" fillId="0" borderId="0" xfId="0" applyNumberFormat="1" applyFont="1"/>
    <xf numFmtId="0" fontId="26" fillId="0" borderId="0" xfId="0" quotePrefix="1" applyFont="1"/>
    <xf numFmtId="165" fontId="14" fillId="0" borderId="0" xfId="2" applyNumberFormat="1" applyFont="1"/>
    <xf numFmtId="165" fontId="15" fillId="0" borderId="0" xfId="2" applyNumberFormat="1" applyFont="1"/>
    <xf numFmtId="164" fontId="18" fillId="0" borderId="0" xfId="0" applyNumberFormat="1" applyFont="1"/>
    <xf numFmtId="0" fontId="3" fillId="0" borderId="11" xfId="0" applyFont="1" applyBorder="1"/>
    <xf numFmtId="9" fontId="3" fillId="0" borderId="0" xfId="2" applyFont="1"/>
    <xf numFmtId="0" fontId="27" fillId="0" borderId="0" xfId="0" applyFont="1"/>
    <xf numFmtId="165" fontId="0" fillId="0" borderId="0" xfId="2" applyNumberFormat="1" applyFont="1"/>
    <xf numFmtId="169" fontId="0" fillId="0" borderId="0" xfId="0" applyNumberFormat="1"/>
    <xf numFmtId="165" fontId="3" fillId="0" borderId="0" xfId="0" applyNumberFormat="1" applyFont="1"/>
    <xf numFmtId="0" fontId="28" fillId="0" borderId="0" xfId="0" applyFont="1"/>
    <xf numFmtId="1" fontId="9" fillId="0" borderId="0" xfId="2" applyNumberFormat="1" applyFont="1" applyFill="1" applyBorder="1"/>
    <xf numFmtId="1" fontId="14" fillId="0" borderId="0" xfId="2" applyNumberFormat="1" applyFont="1" applyFill="1" applyBorder="1"/>
    <xf numFmtId="166" fontId="7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177800</xdr:rowOff>
    </xdr:from>
    <xdr:to>
      <xdr:col>6</xdr:col>
      <xdr:colOff>25400</xdr:colOff>
      <xdr:row>20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C4C7E1-7E72-32AC-6D81-11C9FB47C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177800"/>
          <a:ext cx="4851400" cy="3771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88900</xdr:colOff>
      <xdr:row>2</xdr:row>
      <xdr:rowOff>12700</xdr:rowOff>
    </xdr:from>
    <xdr:to>
      <xdr:col>20</xdr:col>
      <xdr:colOff>224971</xdr:colOff>
      <xdr:row>34</xdr:row>
      <xdr:rowOff>194128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4A936A-507C-7143-AC03-25B8CA103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30600" y="469900"/>
          <a:ext cx="5025571" cy="6810828"/>
        </a:xfrm>
        <a:prstGeom prst="rect">
          <a:avLst/>
        </a:prstGeom>
      </xdr:spPr>
    </xdr:pic>
    <xdr:clientData/>
  </xdr:twoCellAnchor>
  <xdr:twoCellAnchor editAs="oneCell">
    <xdr:from>
      <xdr:col>11</xdr:col>
      <xdr:colOff>673100</xdr:colOff>
      <xdr:row>66</xdr:row>
      <xdr:rowOff>190500</xdr:rowOff>
    </xdr:from>
    <xdr:to>
      <xdr:col>19</xdr:col>
      <xdr:colOff>177800</xdr:colOff>
      <xdr:row>76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CB45E8-6B4E-F144-80EB-7111274C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0700" y="13855700"/>
          <a:ext cx="5092700" cy="1892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1</xdr:row>
      <xdr:rowOff>88900</xdr:rowOff>
    </xdr:from>
    <xdr:to>
      <xdr:col>12</xdr:col>
      <xdr:colOff>12700</xdr:colOff>
      <xdr:row>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EEB99-5FAA-710F-35AF-D903341DE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7800" y="279400"/>
          <a:ext cx="4889500" cy="1511300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18</xdr:row>
      <xdr:rowOff>101600</xdr:rowOff>
    </xdr:from>
    <xdr:to>
      <xdr:col>14</xdr:col>
      <xdr:colOff>419100</xdr:colOff>
      <xdr:row>23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48515-CD1F-4678-CC68-9971CF22E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3800" y="3530600"/>
          <a:ext cx="7200900" cy="101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0</xdr:row>
      <xdr:rowOff>0</xdr:rowOff>
    </xdr:from>
    <xdr:to>
      <xdr:col>19</xdr:col>
      <xdr:colOff>419100</xdr:colOff>
      <xdr:row>27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3303F-FBE8-BBFC-2FA5-EA0C458EF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6400" y="0"/>
          <a:ext cx="5956300" cy="563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C74B-CA7A-1045-8224-0E8E2935EA07}">
  <dimension ref="G2:G21"/>
  <sheetViews>
    <sheetView workbookViewId="0">
      <selection activeCell="I14" sqref="I14"/>
    </sheetView>
  </sheetViews>
  <sheetFormatPr baseColWidth="10" defaultRowHeight="15" x14ac:dyDescent="0.2"/>
  <sheetData>
    <row r="2" spans="7:7" x14ac:dyDescent="0.2">
      <c r="G2" s="112" t="s">
        <v>117</v>
      </c>
    </row>
    <row r="3" spans="7:7" x14ac:dyDescent="0.2">
      <c r="G3" s="112" t="s">
        <v>118</v>
      </c>
    </row>
    <row r="4" spans="7:7" x14ac:dyDescent="0.2">
      <c r="G4" s="112"/>
    </row>
    <row r="5" spans="7:7" x14ac:dyDescent="0.2">
      <c r="G5" s="112"/>
    </row>
    <row r="6" spans="7:7" x14ac:dyDescent="0.2">
      <c r="G6" s="112"/>
    </row>
    <row r="7" spans="7:7" x14ac:dyDescent="0.2">
      <c r="G7" s="112" t="s">
        <v>119</v>
      </c>
    </row>
    <row r="8" spans="7:7" x14ac:dyDescent="0.2">
      <c r="G8" s="112" t="s">
        <v>120</v>
      </c>
    </row>
    <row r="9" spans="7:7" x14ac:dyDescent="0.2">
      <c r="G9" s="112" t="s">
        <v>121</v>
      </c>
    </row>
    <row r="10" spans="7:7" x14ac:dyDescent="0.2">
      <c r="G10" s="112"/>
    </row>
    <row r="11" spans="7:7" x14ac:dyDescent="0.2">
      <c r="G11" s="112" t="s">
        <v>128</v>
      </c>
    </row>
    <row r="12" spans="7:7" x14ac:dyDescent="0.2">
      <c r="G12" s="112" t="s">
        <v>122</v>
      </c>
    </row>
    <row r="13" spans="7:7" x14ac:dyDescent="0.2">
      <c r="G13" s="112" t="s">
        <v>123</v>
      </c>
    </row>
    <row r="14" spans="7:7" x14ac:dyDescent="0.2">
      <c r="G14" s="112">
        <f xml:space="preserve"> 40</f>
        <v>40</v>
      </c>
    </row>
    <row r="15" spans="7:7" x14ac:dyDescent="0.2">
      <c r="G15" s="112"/>
    </row>
    <row r="16" spans="7:7" x14ac:dyDescent="0.2">
      <c r="G16" s="112" t="s">
        <v>117</v>
      </c>
    </row>
    <row r="17" spans="7:7" x14ac:dyDescent="0.2">
      <c r="G17" s="112" t="s">
        <v>127</v>
      </c>
    </row>
    <row r="18" spans="7:7" x14ac:dyDescent="0.2">
      <c r="G18" s="112"/>
    </row>
    <row r="19" spans="7:7" x14ac:dyDescent="0.2">
      <c r="G19" s="112" t="s">
        <v>124</v>
      </c>
    </row>
    <row r="20" spans="7:7" x14ac:dyDescent="0.2">
      <c r="G20" s="112" t="s">
        <v>125</v>
      </c>
    </row>
    <row r="21" spans="7:7" x14ac:dyDescent="0.2">
      <c r="G21" s="112" t="s">
        <v>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55"/>
  <sheetViews>
    <sheetView topLeftCell="B3" zoomScaleNormal="100" workbookViewId="0">
      <selection activeCell="B138" sqref="B138:B139"/>
    </sheetView>
  </sheetViews>
  <sheetFormatPr baseColWidth="10" defaultColWidth="9.1640625" defaultRowHeight="16" x14ac:dyDescent="0.2"/>
  <cols>
    <col min="1" max="1" width="9.1640625" style="2"/>
    <col min="2" max="2" width="67" style="2" customWidth="1"/>
    <col min="3" max="3" width="11.5" style="2" customWidth="1"/>
    <col min="4" max="5" width="11.6640625" style="2" bestFit="1" customWidth="1"/>
    <col min="6" max="6" width="10.5" style="2" bestFit="1" customWidth="1"/>
    <col min="7" max="7" width="9.5" style="2" bestFit="1" customWidth="1"/>
    <col min="8" max="8" width="35" style="2" customWidth="1"/>
    <col min="9" max="11" width="10.6640625" style="2" bestFit="1" customWidth="1"/>
    <col min="12" max="16384" width="9.1640625" style="2"/>
  </cols>
  <sheetData>
    <row r="2" spans="2:12" ht="20" x14ac:dyDescent="0.2">
      <c r="B2" s="23" t="s">
        <v>69</v>
      </c>
      <c r="C2" s="23"/>
      <c r="D2" s="44"/>
      <c r="E2" s="44"/>
      <c r="F2" s="12"/>
      <c r="G2" s="56" t="s">
        <v>44</v>
      </c>
      <c r="H2" s="44"/>
      <c r="I2" s="15"/>
    </row>
    <row r="3" spans="2:12" x14ac:dyDescent="0.2">
      <c r="C3" s="21"/>
      <c r="D3" s="63">
        <v>2020</v>
      </c>
      <c r="E3" s="63">
        <v>2021</v>
      </c>
      <c r="F3" s="63">
        <v>2022</v>
      </c>
      <c r="H3" s="2" t="s">
        <v>129</v>
      </c>
      <c r="I3" s="2">
        <f>C33</f>
        <v>2019</v>
      </c>
      <c r="J3" s="2">
        <f t="shared" ref="J3:L3" si="0">D33</f>
        <v>2020</v>
      </c>
      <c r="K3" s="2">
        <f t="shared" si="0"/>
        <v>2021</v>
      </c>
      <c r="L3" s="2">
        <f t="shared" si="0"/>
        <v>2022</v>
      </c>
    </row>
    <row r="4" spans="2:12" x14ac:dyDescent="0.2">
      <c r="B4" s="2" t="s">
        <v>0</v>
      </c>
      <c r="C4" s="21"/>
      <c r="D4" s="3">
        <v>20035</v>
      </c>
      <c r="E4" s="3">
        <v>19915</v>
      </c>
      <c r="F4" s="3">
        <v>24616</v>
      </c>
    </row>
    <row r="5" spans="2:12" x14ac:dyDescent="0.2">
      <c r="B5" s="6" t="s">
        <v>1</v>
      </c>
      <c r="C5" s="47"/>
      <c r="D5" s="4">
        <v>-4816</v>
      </c>
      <c r="E5" s="4">
        <v>-5687</v>
      </c>
      <c r="F5" s="4">
        <v>-6163</v>
      </c>
      <c r="H5" s="2" t="s">
        <v>130</v>
      </c>
      <c r="I5" s="113">
        <f>C61</f>
        <v>23009</v>
      </c>
      <c r="J5" s="113">
        <f t="shared" ref="J5:L5" si="1">D61</f>
        <v>25597</v>
      </c>
      <c r="K5" s="113">
        <f t="shared" si="1"/>
        <v>25509</v>
      </c>
      <c r="L5" s="113">
        <f t="shared" si="1"/>
        <v>29412</v>
      </c>
    </row>
    <row r="6" spans="2:12" x14ac:dyDescent="0.2">
      <c r="B6" s="1" t="s">
        <v>2</v>
      </c>
      <c r="C6" s="48"/>
      <c r="D6" s="5">
        <f>SUM(D4:D5)</f>
        <v>15219</v>
      </c>
      <c r="E6" s="5">
        <f>E4+E5</f>
        <v>14228</v>
      </c>
      <c r="F6" s="5">
        <f>F4+F5</f>
        <v>18453</v>
      </c>
      <c r="I6" s="114"/>
      <c r="J6" s="114"/>
      <c r="K6" s="114"/>
      <c r="L6" s="114"/>
    </row>
    <row r="7" spans="2:12" x14ac:dyDescent="0.2">
      <c r="C7" s="21"/>
      <c r="H7" s="2" t="s">
        <v>131</v>
      </c>
      <c r="I7" s="115">
        <f>C58-C134</f>
        <v>804</v>
      </c>
      <c r="J7" s="115">
        <f t="shared" ref="J7:L7" si="2">D58-D134</f>
        <v>1011</v>
      </c>
      <c r="K7" s="115">
        <f t="shared" si="2"/>
        <v>1215</v>
      </c>
      <c r="L7" s="115">
        <f t="shared" si="2"/>
        <v>1497</v>
      </c>
    </row>
    <row r="8" spans="2:12" x14ac:dyDescent="0.2">
      <c r="B8" s="2" t="s">
        <v>3</v>
      </c>
      <c r="C8" s="21"/>
      <c r="D8" s="3">
        <v>-1490</v>
      </c>
      <c r="E8" s="3">
        <v>-1677</v>
      </c>
      <c r="F8" s="3">
        <v>-1796</v>
      </c>
      <c r="H8" s="2" t="s">
        <v>87</v>
      </c>
      <c r="I8" s="113">
        <f>C113</f>
        <v>458</v>
      </c>
      <c r="J8" s="113">
        <f t="shared" ref="J8:L8" si="3">D113</f>
        <v>378</v>
      </c>
      <c r="K8" s="113">
        <f t="shared" si="3"/>
        <v>412</v>
      </c>
      <c r="L8" s="113">
        <f t="shared" si="3"/>
        <v>420</v>
      </c>
    </row>
    <row r="9" spans="2:12" x14ac:dyDescent="0.2">
      <c r="B9" s="2" t="s">
        <v>116</v>
      </c>
      <c r="C9" s="21"/>
      <c r="D9" s="3">
        <v>-9870</v>
      </c>
      <c r="E9" s="3">
        <v>-9399</v>
      </c>
      <c r="F9" s="3">
        <v>-10960</v>
      </c>
      <c r="I9" s="16"/>
    </row>
    <row r="10" spans="2:12" x14ac:dyDescent="0.2">
      <c r="B10" s="6" t="s">
        <v>4</v>
      </c>
      <c r="C10" s="47"/>
      <c r="D10" s="4">
        <v>-1132</v>
      </c>
      <c r="E10" s="4">
        <v>-1117</v>
      </c>
      <c r="F10" s="4">
        <v>-1246</v>
      </c>
      <c r="H10" s="1" t="s">
        <v>132</v>
      </c>
      <c r="I10" s="116">
        <f>I5-SUM(I7:I8)</f>
        <v>21747</v>
      </c>
      <c r="J10" s="116">
        <f t="shared" ref="J10:L10" si="4">J5-SUM(J7:J8)</f>
        <v>24208</v>
      </c>
      <c r="K10" s="116">
        <f t="shared" si="4"/>
        <v>23882</v>
      </c>
      <c r="L10" s="116">
        <f t="shared" si="4"/>
        <v>27495</v>
      </c>
    </row>
    <row r="11" spans="2:12" x14ac:dyDescent="0.2">
      <c r="B11" s="1" t="s">
        <v>66</v>
      </c>
      <c r="C11" s="48"/>
      <c r="D11" s="103">
        <f>SUM(D6:D10)</f>
        <v>2727</v>
      </c>
      <c r="E11" s="103">
        <f>SUM(E6:E10)</f>
        <v>2035</v>
      </c>
      <c r="F11" s="103">
        <f>SUM(F6:F10)</f>
        <v>4451</v>
      </c>
      <c r="H11" s="2" t="s">
        <v>133</v>
      </c>
      <c r="I11" s="17">
        <f>C77</f>
        <v>664</v>
      </c>
      <c r="J11" s="17">
        <f>D77</f>
        <v>867</v>
      </c>
      <c r="K11" s="17">
        <f>E77</f>
        <v>1067</v>
      </c>
      <c r="L11" s="17">
        <f>F77</f>
        <v>1074</v>
      </c>
    </row>
    <row r="12" spans="2:12" x14ac:dyDescent="0.2">
      <c r="B12" s="6" t="s">
        <v>67</v>
      </c>
      <c r="C12" s="47"/>
      <c r="D12" s="6">
        <v>-50</v>
      </c>
      <c r="E12" s="6"/>
      <c r="F12" s="6">
        <v>-218</v>
      </c>
      <c r="G12" s="16" t="s">
        <v>45</v>
      </c>
      <c r="H12" s="2" t="s">
        <v>134</v>
      </c>
      <c r="I12" s="17">
        <f>C79</f>
        <v>29</v>
      </c>
      <c r="J12" s="17">
        <f>D79</f>
        <v>51</v>
      </c>
      <c r="K12" s="17">
        <f>E79</f>
        <v>23</v>
      </c>
      <c r="L12" s="17">
        <f>F79</f>
        <v>108</v>
      </c>
    </row>
    <row r="13" spans="2:12" x14ac:dyDescent="0.2">
      <c r="B13" s="1" t="s">
        <v>68</v>
      </c>
      <c r="C13" s="21"/>
      <c r="D13" s="7">
        <f>D11+D12</f>
        <v>2677</v>
      </c>
      <c r="E13" s="7">
        <f t="shared" ref="E13:F13" si="5">E11+E12</f>
        <v>2035</v>
      </c>
      <c r="F13" s="7">
        <f t="shared" si="5"/>
        <v>4233</v>
      </c>
      <c r="H13" s="2" t="s">
        <v>135</v>
      </c>
      <c r="I13" s="17">
        <f>C71</f>
        <v>309</v>
      </c>
      <c r="J13" s="17">
        <f>D71</f>
        <v>417</v>
      </c>
      <c r="K13" s="17">
        <f>E71</f>
        <v>451</v>
      </c>
      <c r="L13" s="17">
        <f>F71</f>
        <v>625</v>
      </c>
    </row>
    <row r="14" spans="2:12" x14ac:dyDescent="0.2">
      <c r="C14" s="21"/>
      <c r="H14" s="2" t="s">
        <v>136</v>
      </c>
      <c r="I14" s="17">
        <f>C78</f>
        <v>76</v>
      </c>
      <c r="J14" s="17">
        <f>D78</f>
        <v>88</v>
      </c>
      <c r="K14" s="17">
        <f>E78</f>
        <v>174</v>
      </c>
      <c r="L14" s="17">
        <f>F78</f>
        <v>355</v>
      </c>
    </row>
    <row r="15" spans="2:12" x14ac:dyDescent="0.2">
      <c r="B15" s="2" t="s">
        <v>5</v>
      </c>
      <c r="C15" s="21"/>
      <c r="D15" s="2">
        <v>55</v>
      </c>
      <c r="E15" s="2">
        <v>51</v>
      </c>
      <c r="F15" s="2">
        <v>57</v>
      </c>
      <c r="G15" s="16" t="s">
        <v>46</v>
      </c>
      <c r="H15" s="2" t="s">
        <v>72</v>
      </c>
      <c r="I15" s="17">
        <f>C144</f>
        <v>1826</v>
      </c>
      <c r="J15" s="17">
        <f>D144</f>
        <v>1996</v>
      </c>
      <c r="K15" s="17">
        <f>E144</f>
        <v>2316</v>
      </c>
      <c r="L15" s="17">
        <f>F144</f>
        <v>3057</v>
      </c>
    </row>
    <row r="16" spans="2:12" x14ac:dyDescent="0.2">
      <c r="B16" s="6" t="s">
        <v>6</v>
      </c>
      <c r="C16" s="47"/>
      <c r="D16" s="6">
        <v>-374</v>
      </c>
      <c r="E16" s="6">
        <v>-309</v>
      </c>
      <c r="F16" s="6">
        <v>-326</v>
      </c>
      <c r="H16" s="2" t="s">
        <v>134</v>
      </c>
      <c r="I16" s="17">
        <f>C72</f>
        <v>307</v>
      </c>
      <c r="J16" s="17">
        <f>D72</f>
        <v>376</v>
      </c>
      <c r="K16" s="17">
        <f>E72</f>
        <v>406</v>
      </c>
      <c r="L16" s="17">
        <f>F72</f>
        <v>356</v>
      </c>
    </row>
    <row r="17" spans="2:16" x14ac:dyDescent="0.2">
      <c r="B17" s="1" t="s">
        <v>7</v>
      </c>
      <c r="C17" s="48"/>
      <c r="D17" s="7">
        <f>SUM(D13:D16)</f>
        <v>2358</v>
      </c>
      <c r="E17" s="7">
        <f t="shared" ref="E17:F17" si="6">SUM(E13:E16)</f>
        <v>1777</v>
      </c>
      <c r="F17" s="7">
        <f t="shared" si="6"/>
        <v>3964</v>
      </c>
      <c r="H17" s="2" t="s">
        <v>138</v>
      </c>
      <c r="I17" s="17">
        <f>C81</f>
        <v>687</v>
      </c>
      <c r="J17" s="17">
        <f>D81</f>
        <v>784</v>
      </c>
      <c r="K17" s="17">
        <f>E81</f>
        <v>713</v>
      </c>
      <c r="L17" s="17">
        <f>F81</f>
        <v>666</v>
      </c>
    </row>
    <row r="18" spans="2:16" x14ac:dyDescent="0.2">
      <c r="C18" s="21"/>
      <c r="H18" s="1" t="s">
        <v>137</v>
      </c>
      <c r="I18" s="7">
        <f>I10-SUM(I11:I17)</f>
        <v>17849</v>
      </c>
      <c r="J18" s="7">
        <f t="shared" ref="J18:L18" si="7">J10-SUM(J11:J17)</f>
        <v>19629</v>
      </c>
      <c r="K18" s="7">
        <f t="shared" si="7"/>
        <v>18732</v>
      </c>
      <c r="L18" s="7">
        <f t="shared" si="7"/>
        <v>21254</v>
      </c>
      <c r="P18" s="11"/>
    </row>
    <row r="19" spans="2:16" x14ac:dyDescent="0.2">
      <c r="B19" s="6" t="s">
        <v>8</v>
      </c>
      <c r="C19" s="47"/>
      <c r="D19" s="6">
        <v>-378</v>
      </c>
      <c r="E19" s="6">
        <v>-434</v>
      </c>
      <c r="F19" s="6">
        <v>-951</v>
      </c>
    </row>
    <row r="20" spans="2:16" ht="17" thickBot="1" x14ac:dyDescent="0.25">
      <c r="B20" s="10" t="s">
        <v>9</v>
      </c>
      <c r="C20" s="49"/>
      <c r="D20" s="9">
        <f>D17+D19</f>
        <v>1980</v>
      </c>
      <c r="E20" s="9">
        <f>E17+E19</f>
        <v>1343</v>
      </c>
      <c r="F20" s="9">
        <f>SUM(F17:F19)</f>
        <v>3013</v>
      </c>
      <c r="H20" s="2" t="s">
        <v>140</v>
      </c>
      <c r="I20" s="17">
        <f>C69</f>
        <v>2878</v>
      </c>
      <c r="J20" s="17">
        <f t="shared" ref="J20:L20" si="8">D69</f>
        <v>3341</v>
      </c>
      <c r="K20" s="17">
        <f t="shared" si="8"/>
        <v>4654</v>
      </c>
      <c r="L20" s="17">
        <f t="shared" si="8"/>
        <v>3717</v>
      </c>
    </row>
    <row r="21" spans="2:16" x14ac:dyDescent="0.2">
      <c r="B21" s="18"/>
      <c r="C21" s="18"/>
      <c r="D21" s="19"/>
      <c r="E21" s="19"/>
      <c r="F21" s="19"/>
      <c r="H21" s="2" t="s">
        <v>139</v>
      </c>
      <c r="I21" s="17">
        <f>C70</f>
        <v>994</v>
      </c>
      <c r="J21" s="17">
        <f t="shared" ref="J21:L21" si="9">D70</f>
        <v>992</v>
      </c>
      <c r="K21" s="17">
        <f t="shared" si="9"/>
        <v>980</v>
      </c>
      <c r="L21" s="17">
        <f t="shared" si="9"/>
        <v>1343</v>
      </c>
    </row>
    <row r="22" spans="2:16" ht="20" x14ac:dyDescent="0.2">
      <c r="B22" s="23" t="s">
        <v>115</v>
      </c>
      <c r="C22" s="46"/>
      <c r="D22" s="19"/>
      <c r="E22" s="19"/>
      <c r="F22" s="19"/>
      <c r="H22" s="2" t="s">
        <v>141</v>
      </c>
      <c r="I22" s="17">
        <f>C75</f>
        <v>7932</v>
      </c>
      <c r="J22" s="17">
        <f t="shared" ref="J22:L22" si="10">D75</f>
        <v>8799</v>
      </c>
      <c r="K22" s="17">
        <f t="shared" si="10"/>
        <v>6141</v>
      </c>
      <c r="L22" s="17">
        <f t="shared" si="10"/>
        <v>9738</v>
      </c>
    </row>
    <row r="23" spans="2:16" x14ac:dyDescent="0.2">
      <c r="B23" s="18"/>
      <c r="C23" s="18"/>
      <c r="D23" s="19"/>
      <c r="E23" s="19"/>
      <c r="F23" s="19"/>
      <c r="H23" s="2" t="s">
        <v>142</v>
      </c>
      <c r="I23" s="17">
        <f>C76</f>
        <v>176</v>
      </c>
      <c r="J23" s="17">
        <f t="shared" ref="J23:L23" si="11">D76</f>
        <v>157</v>
      </c>
      <c r="K23" s="17">
        <f t="shared" si="11"/>
        <v>207</v>
      </c>
      <c r="L23" s="17">
        <f t="shared" si="11"/>
        <v>280</v>
      </c>
    </row>
    <row r="24" spans="2:16" x14ac:dyDescent="0.2">
      <c r="B24" s="43" t="s">
        <v>9</v>
      </c>
      <c r="C24" s="43"/>
      <c r="D24" s="5">
        <f>D20</f>
        <v>1980</v>
      </c>
      <c r="E24" s="5">
        <f>E20</f>
        <v>1343</v>
      </c>
      <c r="F24" s="5">
        <f>F20</f>
        <v>3013</v>
      </c>
      <c r="H24" s="2" t="s">
        <v>72</v>
      </c>
      <c r="I24" s="2">
        <f>C145</f>
        <v>72</v>
      </c>
      <c r="J24" s="2">
        <f t="shared" ref="J24:L24" si="12">D145</f>
        <v>84</v>
      </c>
      <c r="K24" s="2">
        <f t="shared" si="12"/>
        <v>98</v>
      </c>
      <c r="L24" s="2">
        <f t="shared" si="12"/>
        <v>112</v>
      </c>
    </row>
    <row r="25" spans="2:16" x14ac:dyDescent="0.2">
      <c r="C25" s="18"/>
      <c r="D25" s="19"/>
      <c r="E25" s="19"/>
      <c r="F25" s="19"/>
      <c r="G25" s="19"/>
      <c r="H25" s="117" t="str">
        <f>H7</f>
        <v xml:space="preserve">Likvidbeholdning </v>
      </c>
      <c r="I25" s="17">
        <f>-I7</f>
        <v>-804</v>
      </c>
      <c r="J25" s="17">
        <f t="shared" ref="J25:L26" si="13">-J7</f>
        <v>-1011</v>
      </c>
      <c r="K25" s="17">
        <f t="shared" si="13"/>
        <v>-1215</v>
      </c>
      <c r="L25" s="17">
        <f t="shared" si="13"/>
        <v>-1497</v>
      </c>
    </row>
    <row r="26" spans="2:16" x14ac:dyDescent="0.2">
      <c r="B26" s="42" t="s">
        <v>62</v>
      </c>
      <c r="C26" s="18"/>
      <c r="D26" s="66">
        <v>8</v>
      </c>
      <c r="E26" s="66">
        <v>27</v>
      </c>
      <c r="F26" s="66">
        <v>6</v>
      </c>
      <c r="G26" s="19"/>
      <c r="H26" s="117" t="str">
        <f>H8</f>
        <v>Obligationsbeholdning</v>
      </c>
      <c r="I26" s="17">
        <f>-I8</f>
        <v>-458</v>
      </c>
      <c r="J26" s="17">
        <f t="shared" si="13"/>
        <v>-378</v>
      </c>
      <c r="K26" s="17">
        <f t="shared" si="13"/>
        <v>-412</v>
      </c>
      <c r="L26" s="17">
        <f t="shared" si="13"/>
        <v>-420</v>
      </c>
    </row>
    <row r="27" spans="2:16" x14ac:dyDescent="0.2">
      <c r="B27" s="50" t="s">
        <v>63</v>
      </c>
      <c r="C27" s="51"/>
      <c r="D27" s="67">
        <v>215</v>
      </c>
      <c r="E27" s="67">
        <v>2</v>
      </c>
      <c r="F27" s="67">
        <v>4</v>
      </c>
      <c r="G27" s="19"/>
      <c r="H27" s="118" t="s">
        <v>143</v>
      </c>
      <c r="I27" s="7">
        <f>SUM(I20:I26)</f>
        <v>10790</v>
      </c>
      <c r="J27" s="7">
        <f t="shared" ref="J27:L27" si="14">SUM(J20:J26)</f>
        <v>11984</v>
      </c>
      <c r="K27" s="7">
        <f t="shared" si="14"/>
        <v>10453</v>
      </c>
      <c r="L27" s="7">
        <f t="shared" si="14"/>
        <v>13273</v>
      </c>
    </row>
    <row r="28" spans="2:16" x14ac:dyDescent="0.2">
      <c r="B28" s="54" t="s">
        <v>64</v>
      </c>
      <c r="C28" s="55"/>
      <c r="D28" s="68">
        <f>D26+D27</f>
        <v>223</v>
      </c>
      <c r="E28" s="68">
        <f t="shared" ref="E28:F28" si="15">E26+E27</f>
        <v>29</v>
      </c>
      <c r="F28" s="68">
        <f t="shared" si="15"/>
        <v>10</v>
      </c>
      <c r="G28" s="19"/>
      <c r="H28" s="19"/>
    </row>
    <row r="29" spans="2:16" x14ac:dyDescent="0.2">
      <c r="B29" s="42"/>
      <c r="C29" s="18"/>
      <c r="D29" s="19"/>
      <c r="E29" s="19"/>
      <c r="F29" s="19"/>
      <c r="G29" s="19"/>
      <c r="H29" s="118" t="s">
        <v>144</v>
      </c>
      <c r="I29" s="7">
        <f>I18-I27</f>
        <v>7059</v>
      </c>
      <c r="J29" s="7">
        <f t="shared" ref="J29:L29" si="16">J18-J27</f>
        <v>7645</v>
      </c>
      <c r="K29" s="7">
        <f t="shared" si="16"/>
        <v>8279</v>
      </c>
      <c r="L29" s="7">
        <f t="shared" si="16"/>
        <v>7981</v>
      </c>
    </row>
    <row r="30" spans="2:16" ht="17" thickBot="1" x14ac:dyDescent="0.25">
      <c r="B30" s="52" t="s">
        <v>65</v>
      </c>
      <c r="C30" s="53"/>
      <c r="D30" s="69">
        <f>D24+D28</f>
        <v>2203</v>
      </c>
      <c r="E30" s="69">
        <f t="shared" ref="E30:F30" si="17">E24+E28</f>
        <v>1372</v>
      </c>
      <c r="F30" s="69">
        <f t="shared" si="17"/>
        <v>3023</v>
      </c>
      <c r="G30" s="19"/>
      <c r="H30" s="19" t="s">
        <v>145</v>
      </c>
      <c r="I30" s="119">
        <f>I29-C67</f>
        <v>0</v>
      </c>
      <c r="J30" s="119">
        <f t="shared" ref="J30:L30" si="18">J29-D67</f>
        <v>0</v>
      </c>
      <c r="K30" s="119">
        <f t="shared" si="18"/>
        <v>0</v>
      </c>
      <c r="L30" s="119">
        <f t="shared" si="18"/>
        <v>0</v>
      </c>
    </row>
    <row r="31" spans="2:16" x14ac:dyDescent="0.2">
      <c r="B31" s="18"/>
      <c r="C31" s="18"/>
      <c r="D31" s="19"/>
      <c r="E31" s="19"/>
      <c r="F31" s="19"/>
      <c r="G31" s="19"/>
      <c r="H31" s="19"/>
    </row>
    <row r="32" spans="2:16" x14ac:dyDescent="0.2">
      <c r="B32" s="18"/>
      <c r="C32" s="18"/>
      <c r="D32" s="45"/>
      <c r="E32" s="45"/>
      <c r="F32" s="45"/>
      <c r="G32" s="19"/>
      <c r="H32" s="117" t="s">
        <v>146</v>
      </c>
      <c r="I32" s="2">
        <f>D3</f>
        <v>2020</v>
      </c>
      <c r="J32" s="2">
        <f t="shared" ref="J32:K32" si="19">E3</f>
        <v>2021</v>
      </c>
      <c r="K32" s="2">
        <f t="shared" si="19"/>
        <v>2022</v>
      </c>
    </row>
    <row r="33" spans="2:14" ht="20" x14ac:dyDescent="0.2">
      <c r="B33" s="23" t="s">
        <v>70</v>
      </c>
      <c r="C33" s="63">
        <v>2019</v>
      </c>
      <c r="D33" s="63">
        <v>2020</v>
      </c>
      <c r="E33" s="63">
        <v>2021</v>
      </c>
      <c r="F33" s="63">
        <v>2022</v>
      </c>
    </row>
    <row r="34" spans="2:14" x14ac:dyDescent="0.2">
      <c r="B34" s="1" t="s">
        <v>10</v>
      </c>
      <c r="H34" s="2" t="s">
        <v>0</v>
      </c>
      <c r="I34" s="17">
        <f>D4</f>
        <v>20035</v>
      </c>
      <c r="J34" s="17">
        <f t="shared" ref="J34:K34" si="20">E4</f>
        <v>19915</v>
      </c>
      <c r="K34" s="17">
        <f t="shared" si="20"/>
        <v>24616</v>
      </c>
    </row>
    <row r="35" spans="2:14" x14ac:dyDescent="0.2">
      <c r="B35" s="2" t="s">
        <v>11</v>
      </c>
      <c r="C35" s="3">
        <v>2776</v>
      </c>
      <c r="D35" s="3">
        <v>2538</v>
      </c>
      <c r="E35" s="3">
        <v>2850</v>
      </c>
      <c r="F35" s="3">
        <v>4442</v>
      </c>
      <c r="H35" s="2" t="s">
        <v>1</v>
      </c>
      <c r="I35" s="17">
        <f>D5</f>
        <v>-4816</v>
      </c>
      <c r="J35" s="17">
        <f t="shared" ref="J35:K35" si="21">E5</f>
        <v>-5687</v>
      </c>
      <c r="K35" s="17">
        <f t="shared" si="21"/>
        <v>-6163</v>
      </c>
    </row>
    <row r="36" spans="2:14" x14ac:dyDescent="0.2">
      <c r="B36" s="2" t="s">
        <v>12</v>
      </c>
      <c r="C36" s="3">
        <v>47</v>
      </c>
      <c r="D36" s="3">
        <v>28</v>
      </c>
      <c r="E36" s="3">
        <v>16</v>
      </c>
      <c r="F36" s="3">
        <v>28</v>
      </c>
      <c r="H36" s="1" t="s">
        <v>2</v>
      </c>
      <c r="I36" s="7">
        <f>SUM(I34:I35)</f>
        <v>15219</v>
      </c>
      <c r="J36" s="7">
        <f t="shared" ref="J36:K36" si="22">SUM(J34:J35)</f>
        <v>14228</v>
      </c>
      <c r="K36" s="7">
        <f t="shared" si="22"/>
        <v>18453</v>
      </c>
    </row>
    <row r="37" spans="2:14" x14ac:dyDescent="0.2">
      <c r="B37" s="2" t="s">
        <v>13</v>
      </c>
      <c r="C37" s="3">
        <v>584</v>
      </c>
      <c r="D37" s="3">
        <v>676</v>
      </c>
      <c r="E37" s="3">
        <v>650</v>
      </c>
      <c r="F37" s="3">
        <v>733</v>
      </c>
      <c r="N37" s="18" t="s">
        <v>164</v>
      </c>
    </row>
    <row r="38" spans="2:14" x14ac:dyDescent="0.2">
      <c r="B38" s="2" t="s">
        <v>14</v>
      </c>
      <c r="C38" s="2">
        <v>241</v>
      </c>
      <c r="D38" s="2">
        <v>294</v>
      </c>
      <c r="E38" s="2">
        <v>376</v>
      </c>
      <c r="F38" s="2">
        <v>364</v>
      </c>
      <c r="H38" s="2" t="str">
        <f>B8</f>
        <v>Forsknings- og udviklingsomkostninger</v>
      </c>
      <c r="I38" s="17">
        <f>D8</f>
        <v>-1490</v>
      </c>
      <c r="J38" s="17">
        <f t="shared" ref="J38:K38" si="23">E8</f>
        <v>-1677</v>
      </c>
      <c r="K38" s="17">
        <f t="shared" si="23"/>
        <v>-1796</v>
      </c>
      <c r="N38" s="18" t="s">
        <v>165</v>
      </c>
    </row>
    <row r="39" spans="2:14" ht="17" thickBot="1" x14ac:dyDescent="0.25">
      <c r="B39" s="13" t="s">
        <v>15</v>
      </c>
      <c r="C39" s="14">
        <f>SUM(C35:C38)</f>
        <v>3648</v>
      </c>
      <c r="D39" s="14">
        <f t="shared" ref="D39:F39" si="24">SUM(D35:D38)</f>
        <v>3536</v>
      </c>
      <c r="E39" s="14">
        <f t="shared" si="24"/>
        <v>3892</v>
      </c>
      <c r="F39" s="14">
        <f t="shared" si="24"/>
        <v>5567</v>
      </c>
      <c r="H39" s="2" t="str">
        <f t="shared" ref="H39:H40" si="25">B9</f>
        <v>Distributionsomkostninger</v>
      </c>
      <c r="I39" s="17">
        <f t="shared" ref="I39:I40" si="26">D9</f>
        <v>-9870</v>
      </c>
      <c r="J39" s="17">
        <f t="shared" ref="J39:J40" si="27">E9</f>
        <v>-9399</v>
      </c>
      <c r="K39" s="17">
        <f t="shared" ref="K39:K40" si="28">F9</f>
        <v>-10960</v>
      </c>
      <c r="N39" s="18" t="s">
        <v>166</v>
      </c>
    </row>
    <row r="40" spans="2:14" x14ac:dyDescent="0.2">
      <c r="C40" s="3"/>
      <c r="H40" s="2" t="str">
        <f t="shared" si="25"/>
        <v>Administrationsomkostninger</v>
      </c>
      <c r="I40" s="17">
        <f t="shared" si="26"/>
        <v>-1132</v>
      </c>
      <c r="J40" s="17">
        <f t="shared" si="27"/>
        <v>-1117</v>
      </c>
      <c r="K40" s="17">
        <f t="shared" si="28"/>
        <v>-1246</v>
      </c>
      <c r="N40" s="18" t="s">
        <v>167</v>
      </c>
    </row>
    <row r="41" spans="2:14" x14ac:dyDescent="0.2">
      <c r="B41" s="2" t="s">
        <v>16</v>
      </c>
      <c r="C41" s="3">
        <v>6142</v>
      </c>
      <c r="D41" s="3">
        <v>7180</v>
      </c>
      <c r="E41" s="3">
        <v>7303</v>
      </c>
      <c r="F41" s="3">
        <v>7333</v>
      </c>
      <c r="H41" s="1" t="s">
        <v>147</v>
      </c>
      <c r="I41" s="7">
        <f>SUM(I36:I40)</f>
        <v>2727</v>
      </c>
      <c r="J41" s="7">
        <f t="shared" ref="J41:K41" si="29">SUM(J36:J40)</f>
        <v>2035</v>
      </c>
      <c r="K41" s="7">
        <f t="shared" si="29"/>
        <v>4451</v>
      </c>
    </row>
    <row r="42" spans="2:14" x14ac:dyDescent="0.2">
      <c r="B42" s="2" t="s">
        <v>17</v>
      </c>
      <c r="C42" s="3">
        <v>294</v>
      </c>
      <c r="D42" s="2">
        <v>319</v>
      </c>
      <c r="E42" s="2">
        <v>289</v>
      </c>
      <c r="F42" s="2">
        <v>282</v>
      </c>
    </row>
    <row r="43" spans="2:14" x14ac:dyDescent="0.2">
      <c r="B43" s="2" t="s">
        <v>18</v>
      </c>
      <c r="C43" s="3">
        <v>434</v>
      </c>
      <c r="D43" s="2">
        <v>495</v>
      </c>
      <c r="E43" s="2">
        <v>466</v>
      </c>
      <c r="F43" s="2">
        <v>609</v>
      </c>
      <c r="H43" s="2" t="s">
        <v>148</v>
      </c>
      <c r="I43" s="2">
        <f>D19</f>
        <v>-378</v>
      </c>
      <c r="J43" s="2">
        <f t="shared" ref="J43:K43" si="30">E19</f>
        <v>-434</v>
      </c>
      <c r="K43" s="2">
        <f t="shared" si="30"/>
        <v>-951</v>
      </c>
    </row>
    <row r="44" spans="2:14" ht="17" thickBot="1" x14ac:dyDescent="0.25">
      <c r="B44" s="13" t="s">
        <v>19</v>
      </c>
      <c r="C44" s="14">
        <f>SUM(C41:C43)</f>
        <v>6870</v>
      </c>
      <c r="D44" s="14">
        <f t="shared" ref="D44:F44" si="31">SUM(D41:D43)</f>
        <v>7994</v>
      </c>
      <c r="E44" s="14">
        <f t="shared" si="31"/>
        <v>8058</v>
      </c>
      <c r="F44" s="14">
        <f t="shared" si="31"/>
        <v>8224</v>
      </c>
      <c r="H44" s="2" t="s">
        <v>149</v>
      </c>
      <c r="I44" s="2">
        <f>22%*(D16+C100)</f>
        <v>-77.88</v>
      </c>
      <c r="J44" s="2">
        <f t="shared" ref="J44:K44" si="32">22%*(E16+D100)</f>
        <v>-63.36</v>
      </c>
      <c r="K44" s="2">
        <f t="shared" si="32"/>
        <v>-66.88</v>
      </c>
    </row>
    <row r="45" spans="2:14" x14ac:dyDescent="0.2">
      <c r="C45" s="3"/>
      <c r="H45" s="120" t="s">
        <v>150</v>
      </c>
      <c r="I45" s="109">
        <f>-I53</f>
        <v>-3.3</v>
      </c>
      <c r="J45" s="109">
        <f>-J53</f>
        <v>6.6</v>
      </c>
      <c r="K45" s="109">
        <f>-K53</f>
        <v>12.1</v>
      </c>
    </row>
    <row r="46" spans="2:14" x14ac:dyDescent="0.2">
      <c r="B46" s="2" t="s">
        <v>20</v>
      </c>
      <c r="C46" s="3">
        <v>1170</v>
      </c>
      <c r="D46" s="3">
        <v>1246</v>
      </c>
      <c r="E46" s="3">
        <v>1127</v>
      </c>
      <c r="F46" s="3">
        <v>1435</v>
      </c>
      <c r="H46" s="2" t="s">
        <v>156</v>
      </c>
      <c r="I46" s="2">
        <f>SUM(I43:I45)</f>
        <v>-459.18</v>
      </c>
      <c r="J46" s="2">
        <f t="shared" ref="J46:K46" si="33">SUM(J43:J45)</f>
        <v>-490.76</v>
      </c>
      <c r="K46" s="2">
        <f t="shared" si="33"/>
        <v>-1005.78</v>
      </c>
    </row>
    <row r="47" spans="2:14" x14ac:dyDescent="0.2">
      <c r="B47" s="2" t="s">
        <v>21</v>
      </c>
      <c r="C47" s="3">
        <v>1903</v>
      </c>
      <c r="D47" s="3">
        <v>2099</v>
      </c>
      <c r="E47" s="3">
        <v>2136</v>
      </c>
      <c r="F47" s="3">
        <v>2149</v>
      </c>
      <c r="G47" s="16" t="s">
        <v>48</v>
      </c>
      <c r="H47" s="1" t="s">
        <v>151</v>
      </c>
      <c r="I47" s="7">
        <f>SUM(I41:I45)</f>
        <v>2267.8199999999997</v>
      </c>
      <c r="J47" s="7">
        <f t="shared" ref="J47:K47" si="34">SUM(J41:J45)</f>
        <v>1544.24</v>
      </c>
      <c r="K47" s="7">
        <f t="shared" si="34"/>
        <v>3445.22</v>
      </c>
    </row>
    <row r="48" spans="2:14" x14ac:dyDescent="0.2">
      <c r="B48" s="2" t="s">
        <v>22</v>
      </c>
      <c r="C48" s="3">
        <v>750</v>
      </c>
      <c r="D48" s="2">
        <v>795</v>
      </c>
      <c r="E48" s="2">
        <v>669</v>
      </c>
      <c r="F48" s="2">
        <v>757</v>
      </c>
      <c r="G48" s="16" t="s">
        <v>49</v>
      </c>
    </row>
    <row r="49" spans="2:11" x14ac:dyDescent="0.2">
      <c r="B49" s="2" t="s">
        <v>23</v>
      </c>
      <c r="C49" s="3">
        <v>682</v>
      </c>
      <c r="D49" s="2">
        <v>732</v>
      </c>
      <c r="E49" s="2">
        <v>735</v>
      </c>
      <c r="F49" s="2">
        <v>793</v>
      </c>
      <c r="H49" s="1" t="s">
        <v>152</v>
      </c>
    </row>
    <row r="50" spans="2:11" ht="17" thickBot="1" x14ac:dyDescent="0.25">
      <c r="B50" s="13" t="s">
        <v>24</v>
      </c>
      <c r="C50" s="14">
        <f t="shared" ref="C50:F50" si="35">SUM(C46:C49)</f>
        <v>4505</v>
      </c>
      <c r="D50" s="14">
        <f t="shared" si="35"/>
        <v>4872</v>
      </c>
      <c r="E50" s="14">
        <f t="shared" si="35"/>
        <v>4667</v>
      </c>
      <c r="F50" s="14">
        <f t="shared" si="35"/>
        <v>5134</v>
      </c>
      <c r="H50" s="2" t="str">
        <f>B95</f>
        <v>Gevinst og tab ved afhændelse af anlægsaktiver</v>
      </c>
      <c r="I50" s="2">
        <f>C95</f>
        <v>-50</v>
      </c>
      <c r="J50" s="2">
        <f>D95</f>
        <v>0</v>
      </c>
      <c r="K50" s="2">
        <f>E95</f>
        <v>20</v>
      </c>
    </row>
    <row r="51" spans="2:11" x14ac:dyDescent="0.2">
      <c r="C51" s="20"/>
      <c r="D51" s="20"/>
      <c r="E51" s="20"/>
      <c r="F51" s="20"/>
      <c r="H51" s="2" t="str">
        <f>B101</f>
        <v>Renteindtægter på langfristede tilgodehaveder (lån til kunder)</v>
      </c>
      <c r="I51" s="2">
        <f>C101</f>
        <v>35</v>
      </c>
      <c r="J51" s="2">
        <f>D101</f>
        <v>30</v>
      </c>
      <c r="K51" s="2">
        <f>E101</f>
        <v>35</v>
      </c>
    </row>
    <row r="52" spans="2:11" ht="17" thickBot="1" x14ac:dyDescent="0.25">
      <c r="B52" s="10" t="s">
        <v>25</v>
      </c>
      <c r="C52" s="8">
        <f>C39+C44+C50</f>
        <v>15023</v>
      </c>
      <c r="D52" s="9">
        <f>D39+D44+D50</f>
        <v>16402</v>
      </c>
      <c r="E52" s="9">
        <f>E39+E44+E50</f>
        <v>16617</v>
      </c>
      <c r="F52" s="9">
        <f>F39+F44+F50</f>
        <v>18925</v>
      </c>
      <c r="I52" s="2">
        <f>SUM(I50:I51)</f>
        <v>-15</v>
      </c>
      <c r="J52" s="2">
        <f t="shared" ref="J52:K52" si="36">SUM(J50:J51)</f>
        <v>30</v>
      </c>
      <c r="K52" s="2">
        <f t="shared" si="36"/>
        <v>55</v>
      </c>
    </row>
    <row r="53" spans="2:11" x14ac:dyDescent="0.2">
      <c r="C53" s="3"/>
      <c r="H53" s="2" t="s">
        <v>153</v>
      </c>
      <c r="I53" s="109">
        <f>I52*22%*(-1)</f>
        <v>3.3</v>
      </c>
      <c r="J53" s="109">
        <f t="shared" ref="J53:K53" si="37">J52*22%*(-1)</f>
        <v>-6.6</v>
      </c>
      <c r="K53" s="109">
        <f t="shared" si="37"/>
        <v>-12.1</v>
      </c>
    </row>
    <row r="54" spans="2:11" x14ac:dyDescent="0.2">
      <c r="B54" s="2" t="s">
        <v>26</v>
      </c>
      <c r="C54" s="3">
        <v>2183</v>
      </c>
      <c r="D54" s="3">
        <v>2463</v>
      </c>
      <c r="E54" s="3">
        <v>2617</v>
      </c>
      <c r="F54" s="3">
        <v>3147</v>
      </c>
      <c r="I54" s="109">
        <f>SUM(I52:I53)</f>
        <v>-11.7</v>
      </c>
      <c r="J54" s="109">
        <f t="shared" ref="J54:K54" si="38">SUM(J52:J53)</f>
        <v>23.4</v>
      </c>
      <c r="K54" s="109">
        <f t="shared" si="38"/>
        <v>42.9</v>
      </c>
    </row>
    <row r="55" spans="2:11" x14ac:dyDescent="0.2">
      <c r="B55" s="2" t="s">
        <v>27</v>
      </c>
      <c r="C55" s="3">
        <v>4072</v>
      </c>
      <c r="D55" s="3">
        <v>4646</v>
      </c>
      <c r="E55" s="3">
        <v>3966</v>
      </c>
      <c r="F55" s="3">
        <v>4545</v>
      </c>
      <c r="H55" s="2" t="s">
        <v>154</v>
      </c>
      <c r="I55" s="2">
        <f>C94</f>
        <v>0</v>
      </c>
      <c r="J55" s="2">
        <f>D94</f>
        <v>0</v>
      </c>
      <c r="K55" s="2">
        <f>E94</f>
        <v>-238</v>
      </c>
    </row>
    <row r="56" spans="2:11" x14ac:dyDescent="0.2">
      <c r="B56" s="2" t="s">
        <v>22</v>
      </c>
      <c r="C56" s="3">
        <v>521</v>
      </c>
      <c r="D56" s="3">
        <v>710</v>
      </c>
      <c r="E56" s="3">
        <v>694</v>
      </c>
      <c r="F56" s="3">
        <v>827</v>
      </c>
      <c r="H56" s="2" t="str">
        <f>B27</f>
        <v>Dagsværdiregulering af kapitalandele disponible for salg, efter skat</v>
      </c>
      <c r="I56" s="17">
        <f>D27</f>
        <v>215</v>
      </c>
      <c r="J56" s="17">
        <f>E27</f>
        <v>2</v>
      </c>
      <c r="K56" s="17">
        <f>F27</f>
        <v>4</v>
      </c>
    </row>
    <row r="57" spans="2:11" x14ac:dyDescent="0.2">
      <c r="B57" s="2" t="s">
        <v>29</v>
      </c>
      <c r="C57" s="3">
        <v>372</v>
      </c>
      <c r="D57" s="3">
        <v>323</v>
      </c>
      <c r="E57" s="3">
        <v>349</v>
      </c>
      <c r="F57" s="3">
        <v>409</v>
      </c>
      <c r="H57" s="2" t="s">
        <v>157</v>
      </c>
      <c r="I57" s="109">
        <f>SUM(I54:I56)</f>
        <v>203.3</v>
      </c>
      <c r="J57" s="109">
        <f t="shared" ref="J57:K57" si="39">SUM(J54:J56)</f>
        <v>25.4</v>
      </c>
      <c r="K57" s="109">
        <f t="shared" si="39"/>
        <v>-191.1</v>
      </c>
    </row>
    <row r="58" spans="2:11" x14ac:dyDescent="0.2">
      <c r="B58" s="2" t="s">
        <v>30</v>
      </c>
      <c r="C58" s="3">
        <v>838</v>
      </c>
      <c r="D58" s="3">
        <v>1053</v>
      </c>
      <c r="E58" s="3">
        <v>1266</v>
      </c>
      <c r="F58" s="3">
        <v>1559</v>
      </c>
      <c r="G58" s="16" t="s">
        <v>50</v>
      </c>
      <c r="H58" s="1" t="s">
        <v>155</v>
      </c>
      <c r="I58" s="7">
        <f>I57+I47</f>
        <v>2471.12</v>
      </c>
      <c r="J58" s="7">
        <f t="shared" ref="J58:K58" si="40">J57+J47</f>
        <v>1569.64</v>
      </c>
      <c r="K58" s="7">
        <f t="shared" si="40"/>
        <v>3254.12</v>
      </c>
    </row>
    <row r="59" spans="2:11" ht="17" thickBot="1" x14ac:dyDescent="0.25">
      <c r="B59" s="13" t="s">
        <v>31</v>
      </c>
      <c r="C59" s="14">
        <f t="shared" ref="C59:F59" si="41">SUM(C54:C58)</f>
        <v>7986</v>
      </c>
      <c r="D59" s="14">
        <f t="shared" si="41"/>
        <v>9195</v>
      </c>
      <c r="E59" s="14">
        <f t="shared" si="41"/>
        <v>8892</v>
      </c>
      <c r="F59" s="14">
        <f t="shared" si="41"/>
        <v>10487</v>
      </c>
    </row>
    <row r="60" spans="2:11" x14ac:dyDescent="0.2">
      <c r="C60" s="5"/>
      <c r="H60" s="2" t="s">
        <v>158</v>
      </c>
    </row>
    <row r="61" spans="2:11" ht="17" thickBot="1" x14ac:dyDescent="0.25">
      <c r="B61" s="10" t="s">
        <v>10</v>
      </c>
      <c r="C61" s="8">
        <f t="shared" ref="C61:F61" si="42">C52+C59</f>
        <v>23009</v>
      </c>
      <c r="D61" s="8">
        <f t="shared" si="42"/>
        <v>25597</v>
      </c>
      <c r="E61" s="8">
        <f t="shared" si="42"/>
        <v>25509</v>
      </c>
      <c r="F61" s="8">
        <f t="shared" si="42"/>
        <v>29412</v>
      </c>
      <c r="H61" s="2" t="str">
        <f>B100</f>
        <v>Renteindtægter på likvider og bankindestående</v>
      </c>
      <c r="I61" s="2">
        <f>C100</f>
        <v>20</v>
      </c>
      <c r="J61" s="2">
        <f t="shared" ref="J61:K61" si="43">D100</f>
        <v>21</v>
      </c>
      <c r="K61" s="2">
        <f t="shared" si="43"/>
        <v>22</v>
      </c>
    </row>
    <row r="62" spans="2:11" x14ac:dyDescent="0.2">
      <c r="H62" s="2" t="s">
        <v>6</v>
      </c>
      <c r="I62" s="2">
        <f>D16</f>
        <v>-374</v>
      </c>
      <c r="J62" s="2">
        <f t="shared" ref="J62:K62" si="44">E16</f>
        <v>-309</v>
      </c>
      <c r="K62" s="2">
        <f t="shared" si="44"/>
        <v>-326</v>
      </c>
    </row>
    <row r="63" spans="2:11" x14ac:dyDescent="0.2">
      <c r="B63" s="6"/>
      <c r="C63" s="63">
        <v>2019</v>
      </c>
      <c r="D63" s="63">
        <v>2020</v>
      </c>
      <c r="E63" s="63">
        <v>2021</v>
      </c>
      <c r="F63" s="63">
        <v>2022</v>
      </c>
      <c r="I63" s="2">
        <f>SUM(I61:I62)</f>
        <v>-354</v>
      </c>
      <c r="J63" s="2">
        <f t="shared" ref="J63:K63" si="45">SUM(J61:J62)</f>
        <v>-288</v>
      </c>
      <c r="K63" s="2">
        <f t="shared" si="45"/>
        <v>-304</v>
      </c>
    </row>
    <row r="64" spans="2:11" x14ac:dyDescent="0.2">
      <c r="B64" s="1" t="s">
        <v>32</v>
      </c>
      <c r="H64" s="2" t="s">
        <v>153</v>
      </c>
      <c r="I64" s="2">
        <f>-I63*22%</f>
        <v>77.88</v>
      </c>
      <c r="J64" s="2">
        <f t="shared" ref="J64:K64" si="46">-J63*22%</f>
        <v>63.36</v>
      </c>
      <c r="K64" s="2">
        <f t="shared" si="46"/>
        <v>66.88</v>
      </c>
    </row>
    <row r="65" spans="2:11" x14ac:dyDescent="0.2">
      <c r="B65" s="2" t="s">
        <v>33</v>
      </c>
      <c r="C65" s="3">
        <v>2067</v>
      </c>
      <c r="D65" s="3">
        <v>2065</v>
      </c>
      <c r="E65" s="3">
        <v>2064</v>
      </c>
      <c r="F65" s="3">
        <v>2064</v>
      </c>
      <c r="G65" s="16" t="s">
        <v>86</v>
      </c>
      <c r="I65" s="2">
        <f>SUM(I63:I64)</f>
        <v>-276.12</v>
      </c>
      <c r="J65" s="2">
        <f t="shared" ref="J65:K65" si="47">SUM(J63:J64)</f>
        <v>-224.64</v>
      </c>
      <c r="K65" s="2">
        <f t="shared" si="47"/>
        <v>-237.12</v>
      </c>
    </row>
    <row r="66" spans="2:11" x14ac:dyDescent="0.2">
      <c r="B66" s="6" t="s">
        <v>34</v>
      </c>
      <c r="C66" s="4">
        <v>4992</v>
      </c>
      <c r="D66" s="4">
        <v>5580</v>
      </c>
      <c r="E66" s="4">
        <v>6215</v>
      </c>
      <c r="F66" s="4">
        <v>5917</v>
      </c>
      <c r="H66" s="2" t="str">
        <f>B26</f>
        <v>Dagsværdiregulering af obligationer disponible for salg, efter skat</v>
      </c>
      <c r="I66" s="17">
        <f>D26</f>
        <v>8</v>
      </c>
      <c r="J66" s="17">
        <f t="shared" ref="J66:K66" si="48">E26</f>
        <v>27</v>
      </c>
      <c r="K66" s="17">
        <f t="shared" si="48"/>
        <v>6</v>
      </c>
    </row>
    <row r="67" spans="2:11" ht="17" thickBot="1" x14ac:dyDescent="0.25">
      <c r="B67" s="13" t="s">
        <v>35</v>
      </c>
      <c r="C67" s="14">
        <f>C65+C66</f>
        <v>7059</v>
      </c>
      <c r="D67" s="14">
        <f t="shared" ref="D67:F67" si="49">D65+D66</f>
        <v>7645</v>
      </c>
      <c r="E67" s="14">
        <f t="shared" si="49"/>
        <v>8279</v>
      </c>
      <c r="F67" s="14">
        <f t="shared" si="49"/>
        <v>7981</v>
      </c>
      <c r="H67" s="1" t="s">
        <v>159</v>
      </c>
      <c r="I67" s="1">
        <f>SUM(I65:I66)</f>
        <v>-268.12</v>
      </c>
      <c r="J67" s="1">
        <f t="shared" ref="J67:K67" si="50">SUM(J65:J66)</f>
        <v>-197.64</v>
      </c>
      <c r="K67" s="1">
        <f t="shared" si="50"/>
        <v>-231.12</v>
      </c>
    </row>
    <row r="68" spans="2:11" x14ac:dyDescent="0.2">
      <c r="C68" s="3"/>
    </row>
    <row r="69" spans="2:11" x14ac:dyDescent="0.2">
      <c r="B69" s="2" t="s">
        <v>36</v>
      </c>
      <c r="C69" s="3">
        <v>2878</v>
      </c>
      <c r="D69" s="3">
        <v>3341</v>
      </c>
      <c r="E69" s="3">
        <v>4654</v>
      </c>
      <c r="F69" s="3">
        <v>3717</v>
      </c>
      <c r="H69" s="1" t="s">
        <v>160</v>
      </c>
      <c r="I69" s="7">
        <f>I67+I58</f>
        <v>2203</v>
      </c>
      <c r="J69" s="7">
        <f t="shared" ref="J69:K69" si="51">J67+J58</f>
        <v>1372</v>
      </c>
      <c r="K69" s="7">
        <f t="shared" si="51"/>
        <v>3023</v>
      </c>
    </row>
    <row r="70" spans="2:11" x14ac:dyDescent="0.2">
      <c r="B70" s="2" t="s">
        <v>37</v>
      </c>
      <c r="C70" s="3">
        <v>994</v>
      </c>
      <c r="D70" s="3">
        <v>992</v>
      </c>
      <c r="E70" s="3">
        <v>980</v>
      </c>
      <c r="F70" s="3">
        <v>1343</v>
      </c>
      <c r="H70" s="2" t="s">
        <v>145</v>
      </c>
      <c r="I70" s="105">
        <f>I69-D30</f>
        <v>0</v>
      </c>
      <c r="J70" s="105">
        <f t="shared" ref="J70:K70" si="52">J69-E30</f>
        <v>0</v>
      </c>
      <c r="K70" s="105">
        <f t="shared" si="52"/>
        <v>0</v>
      </c>
    </row>
    <row r="71" spans="2:11" x14ac:dyDescent="0.2">
      <c r="B71" s="2" t="s">
        <v>38</v>
      </c>
      <c r="C71" s="3">
        <v>309</v>
      </c>
      <c r="D71" s="2">
        <v>417</v>
      </c>
      <c r="E71" s="2">
        <v>451</v>
      </c>
      <c r="F71" s="2">
        <v>625</v>
      </c>
    </row>
    <row r="72" spans="2:11" x14ac:dyDescent="0.2">
      <c r="B72" s="2" t="s">
        <v>39</v>
      </c>
      <c r="C72" s="3">
        <v>307</v>
      </c>
      <c r="D72" s="2">
        <v>376</v>
      </c>
      <c r="E72" s="2">
        <v>406</v>
      </c>
      <c r="F72" s="2">
        <v>356</v>
      </c>
      <c r="I72" s="16"/>
    </row>
    <row r="73" spans="2:11" ht="17" thickBot="1" x14ac:dyDescent="0.25">
      <c r="B73" s="13" t="s">
        <v>40</v>
      </c>
      <c r="C73" s="14">
        <f>SUM(C69:C72)</f>
        <v>4488</v>
      </c>
      <c r="D73" s="14">
        <f t="shared" ref="D73:F73" si="53">SUM(D69:D72)</f>
        <v>5126</v>
      </c>
      <c r="E73" s="14">
        <f t="shared" si="53"/>
        <v>6491</v>
      </c>
      <c r="F73" s="14">
        <f t="shared" si="53"/>
        <v>6041</v>
      </c>
    </row>
    <row r="74" spans="2:11" x14ac:dyDescent="0.2">
      <c r="C74" s="3"/>
      <c r="H74" s="2" t="s">
        <v>161</v>
      </c>
      <c r="I74" s="25">
        <f>I58/AVERAGE(I18:J18)</f>
        <v>0.13187043065264956</v>
      </c>
      <c r="J74" s="25">
        <f t="shared" ref="J74:K74" si="54">J58/AVERAGE(J18:K18)</f>
        <v>8.1835197205495175E-2</v>
      </c>
      <c r="K74" s="25">
        <f t="shared" si="54"/>
        <v>0.16276296703846346</v>
      </c>
    </row>
    <row r="75" spans="2:11" x14ac:dyDescent="0.2">
      <c r="B75" s="2" t="s">
        <v>36</v>
      </c>
      <c r="C75" s="3">
        <v>7932</v>
      </c>
      <c r="D75" s="3">
        <v>8799</v>
      </c>
      <c r="E75" s="3">
        <v>6141</v>
      </c>
      <c r="F75" s="3">
        <v>9738</v>
      </c>
      <c r="H75" s="2" t="s">
        <v>162</v>
      </c>
      <c r="I75" s="25">
        <f>I58/I34</f>
        <v>0.12334015472922386</v>
      </c>
      <c r="J75" s="25">
        <f t="shared" ref="J75:K75" si="55">J58/J34</f>
        <v>7.8816972131559138E-2</v>
      </c>
      <c r="K75" s="25">
        <f t="shared" si="55"/>
        <v>0.13219532011699708</v>
      </c>
    </row>
    <row r="76" spans="2:11" x14ac:dyDescent="0.2">
      <c r="B76" s="2" t="s">
        <v>37</v>
      </c>
      <c r="C76" s="2">
        <v>176</v>
      </c>
      <c r="D76" s="2">
        <v>157</v>
      </c>
      <c r="E76" s="2">
        <v>207</v>
      </c>
      <c r="F76" s="2">
        <v>280</v>
      </c>
      <c r="H76" s="2" t="s">
        <v>163</v>
      </c>
      <c r="I76" s="75">
        <f>I34/AVERAGE(I18:J18)</f>
        <v>1.0691605742035328</v>
      </c>
      <c r="J76" s="75">
        <f t="shared" ref="J76:K76" si="56">J34/AVERAGE(J18:K18)</f>
        <v>1.0382941007794375</v>
      </c>
      <c r="K76" s="75">
        <f t="shared" si="56"/>
        <v>1.2312309308257889</v>
      </c>
    </row>
    <row r="77" spans="2:11" x14ac:dyDescent="0.2">
      <c r="B77" s="2" t="s">
        <v>41</v>
      </c>
      <c r="C77" s="3">
        <v>664</v>
      </c>
      <c r="D77" s="2">
        <v>867</v>
      </c>
      <c r="E77" s="3">
        <v>1067</v>
      </c>
      <c r="F77" s="3">
        <v>1074</v>
      </c>
    </row>
    <row r="78" spans="2:11" x14ac:dyDescent="0.2">
      <c r="B78" s="2" t="s">
        <v>28</v>
      </c>
      <c r="C78" s="3">
        <v>76</v>
      </c>
      <c r="D78" s="2">
        <v>88</v>
      </c>
      <c r="E78" s="2">
        <v>174</v>
      </c>
      <c r="F78" s="2">
        <v>355</v>
      </c>
    </row>
    <row r="79" spans="2:11" x14ac:dyDescent="0.2">
      <c r="B79" s="2" t="s">
        <v>39</v>
      </c>
      <c r="C79" s="3">
        <v>29</v>
      </c>
      <c r="D79" s="2">
        <v>51</v>
      </c>
      <c r="E79" s="2">
        <v>23</v>
      </c>
      <c r="F79" s="2">
        <v>108</v>
      </c>
    </row>
    <row r="80" spans="2:11" x14ac:dyDescent="0.2">
      <c r="B80" s="2" t="s">
        <v>72</v>
      </c>
      <c r="C80" s="3">
        <v>1898</v>
      </c>
      <c r="D80" s="3">
        <v>2080</v>
      </c>
      <c r="E80" s="3">
        <v>2414</v>
      </c>
      <c r="F80" s="3">
        <v>3169</v>
      </c>
      <c r="G80" s="16" t="s">
        <v>95</v>
      </c>
      <c r="I80" s="16"/>
    </row>
    <row r="81" spans="2:8" x14ac:dyDescent="0.2">
      <c r="B81" s="2" t="s">
        <v>73</v>
      </c>
      <c r="C81" s="3">
        <v>687</v>
      </c>
      <c r="D81" s="2">
        <v>784</v>
      </c>
      <c r="E81" s="2">
        <v>713</v>
      </c>
      <c r="F81" s="2">
        <v>666</v>
      </c>
    </row>
    <row r="82" spans="2:8" ht="17" thickBot="1" x14ac:dyDescent="0.25">
      <c r="B82" s="13" t="s">
        <v>42</v>
      </c>
      <c r="C82" s="14">
        <f t="shared" ref="C82:F82" si="57">SUM(C75:C81)</f>
        <v>11462</v>
      </c>
      <c r="D82" s="14">
        <f t="shared" si="57"/>
        <v>12826</v>
      </c>
      <c r="E82" s="14">
        <f t="shared" si="57"/>
        <v>10739</v>
      </c>
      <c r="F82" s="14">
        <f t="shared" si="57"/>
        <v>15390</v>
      </c>
    </row>
    <row r="83" spans="2:8" x14ac:dyDescent="0.2">
      <c r="C83" s="3"/>
    </row>
    <row r="84" spans="2:8" ht="17" thickBot="1" x14ac:dyDescent="0.25">
      <c r="B84" s="10" t="s">
        <v>43</v>
      </c>
      <c r="C84" s="8">
        <f t="shared" ref="C84:F84" si="58">C73+C82</f>
        <v>15950</v>
      </c>
      <c r="D84" s="8">
        <f t="shared" si="58"/>
        <v>17952</v>
      </c>
      <c r="E84" s="8">
        <f t="shared" si="58"/>
        <v>17230</v>
      </c>
      <c r="F84" s="8">
        <f t="shared" si="58"/>
        <v>21431</v>
      </c>
    </row>
    <row r="85" spans="2:8" x14ac:dyDescent="0.2">
      <c r="C85" s="3"/>
    </row>
    <row r="86" spans="2:8" ht="17" thickBot="1" x14ac:dyDescent="0.25">
      <c r="B86" s="10" t="s">
        <v>32</v>
      </c>
      <c r="C86" s="8">
        <f>C67+C84</f>
        <v>23009</v>
      </c>
      <c r="D86" s="8">
        <f t="shared" ref="D86:F86" si="59">D67+D84</f>
        <v>25597</v>
      </c>
      <c r="E86" s="8">
        <f t="shared" si="59"/>
        <v>25509</v>
      </c>
      <c r="F86" s="8">
        <f t="shared" si="59"/>
        <v>29412</v>
      </c>
    </row>
    <row r="88" spans="2:8" x14ac:dyDescent="0.2">
      <c r="B88" s="18"/>
      <c r="C88" s="39"/>
      <c r="D88" s="39"/>
      <c r="E88" s="39"/>
      <c r="F88" s="39"/>
      <c r="G88" s="17"/>
      <c r="H88" s="17"/>
    </row>
    <row r="90" spans="2:8" ht="20" x14ac:dyDescent="0.2">
      <c r="B90" s="24" t="s">
        <v>71</v>
      </c>
      <c r="C90" s="24"/>
    </row>
    <row r="91" spans="2:8" x14ac:dyDescent="0.2">
      <c r="B91" s="59" t="s">
        <v>84</v>
      </c>
      <c r="C91" s="63">
        <v>2020</v>
      </c>
      <c r="D91" s="63">
        <v>2021</v>
      </c>
      <c r="E91" s="63">
        <v>2022</v>
      </c>
    </row>
    <row r="93" spans="2:8" x14ac:dyDescent="0.2">
      <c r="B93" s="1" t="s">
        <v>74</v>
      </c>
    </row>
    <row r="94" spans="2:8" x14ac:dyDescent="0.2">
      <c r="B94" s="2" t="s">
        <v>75</v>
      </c>
      <c r="D94" s="22"/>
      <c r="E94" s="2">
        <v>-238</v>
      </c>
    </row>
    <row r="95" spans="2:8" x14ac:dyDescent="0.2">
      <c r="B95" s="2" t="s">
        <v>76</v>
      </c>
      <c r="C95" s="2">
        <v>-50</v>
      </c>
      <c r="D95" s="22"/>
      <c r="E95" s="2">
        <v>20</v>
      </c>
    </row>
    <row r="96" spans="2:8" x14ac:dyDescent="0.2">
      <c r="B96" s="57" t="s">
        <v>77</v>
      </c>
      <c r="C96" s="57">
        <f>C94+C95</f>
        <v>-50</v>
      </c>
      <c r="D96" s="57">
        <f t="shared" ref="D96:E96" si="60">D94+D95</f>
        <v>0</v>
      </c>
      <c r="E96" s="57">
        <f t="shared" si="60"/>
        <v>-218</v>
      </c>
    </row>
    <row r="97" spans="2:6" x14ac:dyDescent="0.2">
      <c r="B97" s="1"/>
      <c r="C97" s="1"/>
      <c r="D97" s="1"/>
      <c r="E97" s="1"/>
    </row>
    <row r="98" spans="2:6" x14ac:dyDescent="0.2">
      <c r="B98" s="1"/>
      <c r="C98" s="22"/>
      <c r="D98" s="22"/>
      <c r="E98" s="22"/>
    </row>
    <row r="99" spans="2:6" x14ac:dyDescent="0.2">
      <c r="B99" s="1" t="s">
        <v>78</v>
      </c>
      <c r="C99" s="22"/>
      <c r="D99" s="22"/>
      <c r="E99" s="22"/>
    </row>
    <row r="100" spans="2:6" x14ac:dyDescent="0.2">
      <c r="B100" s="2" t="s">
        <v>79</v>
      </c>
      <c r="C100" s="2">
        <v>20</v>
      </c>
      <c r="D100" s="2">
        <v>21</v>
      </c>
      <c r="E100" s="2">
        <v>22</v>
      </c>
    </row>
    <row r="101" spans="2:6" x14ac:dyDescent="0.2">
      <c r="B101" s="2" t="s">
        <v>80</v>
      </c>
      <c r="C101" s="2">
        <v>35</v>
      </c>
      <c r="D101" s="2">
        <v>30</v>
      </c>
      <c r="E101" s="2">
        <v>35</v>
      </c>
    </row>
    <row r="102" spans="2:6" x14ac:dyDescent="0.2">
      <c r="B102" s="57" t="s">
        <v>77</v>
      </c>
      <c r="C102" s="57">
        <f>D15</f>
        <v>55</v>
      </c>
      <c r="D102" s="57">
        <f t="shared" ref="D102:E102" si="61">E15</f>
        <v>51</v>
      </c>
      <c r="E102" s="57">
        <f t="shared" si="61"/>
        <v>57</v>
      </c>
    </row>
    <row r="103" spans="2:6" x14ac:dyDescent="0.2">
      <c r="B103" s="1"/>
      <c r="C103" s="1"/>
      <c r="D103" s="1"/>
      <c r="E103" s="1"/>
    </row>
    <row r="104" spans="2:6" x14ac:dyDescent="0.2">
      <c r="B104" s="1"/>
      <c r="C104" s="1"/>
      <c r="D104" s="1"/>
      <c r="E104" s="1"/>
    </row>
    <row r="105" spans="2:6" x14ac:dyDescent="0.2">
      <c r="B105" s="59" t="s">
        <v>85</v>
      </c>
      <c r="C105" s="63">
        <v>2019</v>
      </c>
      <c r="D105" s="63">
        <v>2020</v>
      </c>
      <c r="E105" s="63">
        <v>2021</v>
      </c>
      <c r="F105" s="63">
        <v>2022</v>
      </c>
    </row>
    <row r="106" spans="2:6" x14ac:dyDescent="0.2">
      <c r="B106" s="1"/>
      <c r="C106" s="1"/>
      <c r="D106" s="1"/>
      <c r="E106" s="1"/>
    </row>
    <row r="107" spans="2:6" x14ac:dyDescent="0.2">
      <c r="B107" s="1" t="s">
        <v>100</v>
      </c>
      <c r="C107" s="1"/>
      <c r="D107" s="1"/>
      <c r="E107" s="1"/>
    </row>
    <row r="108" spans="2:6" x14ac:dyDescent="0.2">
      <c r="B108" s="58" t="s">
        <v>87</v>
      </c>
      <c r="C108" s="1"/>
      <c r="D108" s="1"/>
      <c r="E108" s="1"/>
    </row>
    <row r="109" spans="2:6" x14ac:dyDescent="0.2">
      <c r="B109" s="2" t="s">
        <v>88</v>
      </c>
      <c r="C109" s="2">
        <v>430</v>
      </c>
      <c r="D109" s="2">
        <v>458</v>
      </c>
      <c r="E109" s="2">
        <v>378</v>
      </c>
      <c r="F109" s="2">
        <v>412</v>
      </c>
    </row>
    <row r="110" spans="2:6" x14ac:dyDescent="0.2">
      <c r="B110" s="2" t="s">
        <v>89</v>
      </c>
    </row>
    <row r="111" spans="2:6" x14ac:dyDescent="0.2">
      <c r="B111" s="2" t="s">
        <v>90</v>
      </c>
      <c r="D111" s="2">
        <v>-90</v>
      </c>
    </row>
    <row r="112" spans="2:6" x14ac:dyDescent="0.2">
      <c r="B112" s="2" t="s">
        <v>91</v>
      </c>
      <c r="C112" s="2">
        <v>28</v>
      </c>
      <c r="D112" s="2">
        <v>10</v>
      </c>
      <c r="E112" s="2">
        <v>34</v>
      </c>
      <c r="F112" s="2">
        <v>8</v>
      </c>
    </row>
    <row r="113" spans="2:6" x14ac:dyDescent="0.2">
      <c r="B113" s="60" t="s">
        <v>92</v>
      </c>
      <c r="C113" s="57">
        <v>458</v>
      </c>
      <c r="D113" s="57">
        <v>378</v>
      </c>
      <c r="E113" s="57">
        <v>412</v>
      </c>
      <c r="F113" s="57">
        <v>420</v>
      </c>
    </row>
    <row r="114" spans="2:6" x14ac:dyDescent="0.2">
      <c r="B114" s="58" t="s">
        <v>93</v>
      </c>
      <c r="C114" s="1"/>
      <c r="D114" s="1"/>
      <c r="E114" s="1"/>
    </row>
    <row r="115" spans="2:6" x14ac:dyDescent="0.2">
      <c r="B115" s="1"/>
      <c r="C115" s="1"/>
      <c r="D115" s="1"/>
      <c r="E115" s="1"/>
    </row>
    <row r="116" spans="2:6" x14ac:dyDescent="0.2">
      <c r="B116" s="58" t="s">
        <v>106</v>
      </c>
      <c r="C116" s="1"/>
      <c r="D116" s="1"/>
      <c r="E116" s="1"/>
    </row>
    <row r="117" spans="2:6" x14ac:dyDescent="0.2">
      <c r="B117" s="2" t="s">
        <v>88</v>
      </c>
      <c r="C117" s="64">
        <v>1435</v>
      </c>
      <c r="D117" s="64">
        <v>1445</v>
      </c>
      <c r="E117" s="64">
        <v>1721</v>
      </c>
      <c r="F117" s="65">
        <v>1724</v>
      </c>
    </row>
    <row r="118" spans="2:6" x14ac:dyDescent="0.2">
      <c r="B118" s="2" t="s">
        <v>89</v>
      </c>
      <c r="C118" s="1"/>
      <c r="D118" s="1"/>
      <c r="E118" s="1"/>
    </row>
    <row r="119" spans="2:6" x14ac:dyDescent="0.2">
      <c r="B119" s="2" t="s">
        <v>90</v>
      </c>
      <c r="C119" s="1"/>
      <c r="D119" s="1"/>
      <c r="E119" s="1"/>
    </row>
    <row r="120" spans="2:6" x14ac:dyDescent="0.2">
      <c r="B120" s="2" t="s">
        <v>91</v>
      </c>
      <c r="C120" s="2">
        <v>10</v>
      </c>
      <c r="D120" s="2">
        <v>276</v>
      </c>
      <c r="E120" s="2">
        <v>3</v>
      </c>
      <c r="F120" s="2">
        <v>5</v>
      </c>
    </row>
    <row r="121" spans="2:6" x14ac:dyDescent="0.2">
      <c r="B121" s="60" t="s">
        <v>92</v>
      </c>
      <c r="C121" s="61">
        <v>1445</v>
      </c>
      <c r="D121" s="61">
        <v>1721</v>
      </c>
      <c r="E121" s="61">
        <v>1724</v>
      </c>
      <c r="F121" s="61">
        <v>1729</v>
      </c>
    </row>
    <row r="122" spans="2:6" x14ac:dyDescent="0.2">
      <c r="B122" s="79" t="s">
        <v>114</v>
      </c>
      <c r="C122" s="1"/>
      <c r="D122" s="1"/>
      <c r="E122" s="1"/>
    </row>
    <row r="123" spans="2:6" x14ac:dyDescent="0.2">
      <c r="C123" s="1"/>
      <c r="D123" s="1"/>
      <c r="E123" s="1"/>
    </row>
    <row r="124" spans="2:6" x14ac:dyDescent="0.2">
      <c r="B124" s="57" t="s">
        <v>94</v>
      </c>
      <c r="C124" s="61">
        <f>C47</f>
        <v>1903</v>
      </c>
      <c r="D124" s="61">
        <f t="shared" ref="D124:F124" si="62">D47</f>
        <v>2099</v>
      </c>
      <c r="E124" s="61">
        <f t="shared" si="62"/>
        <v>2136</v>
      </c>
      <c r="F124" s="61">
        <f t="shared" si="62"/>
        <v>2149</v>
      </c>
    </row>
    <row r="125" spans="2:6" x14ac:dyDescent="0.2">
      <c r="B125" s="1"/>
      <c r="C125" s="1"/>
      <c r="D125" s="1"/>
      <c r="E125" s="1"/>
    </row>
    <row r="126" spans="2:6" x14ac:dyDescent="0.2">
      <c r="B126" s="1"/>
      <c r="C126" s="1"/>
      <c r="D126" s="1"/>
      <c r="E126" s="1"/>
    </row>
    <row r="127" spans="2:6" x14ac:dyDescent="0.2">
      <c r="B127" s="1" t="s">
        <v>96</v>
      </c>
      <c r="C127" s="1"/>
    </row>
    <row r="128" spans="2:6" x14ac:dyDescent="0.2">
      <c r="B128" s="2" t="s">
        <v>61</v>
      </c>
    </row>
    <row r="131" spans="2:6" x14ac:dyDescent="0.2">
      <c r="B131" s="1" t="s">
        <v>97</v>
      </c>
    </row>
    <row r="132" spans="2:6" x14ac:dyDescent="0.2">
      <c r="B132" s="2" t="s">
        <v>81</v>
      </c>
    </row>
    <row r="133" spans="2:6" x14ac:dyDescent="0.2">
      <c r="B133" s="2" t="s">
        <v>82</v>
      </c>
    </row>
    <row r="134" spans="2:6" x14ac:dyDescent="0.2">
      <c r="B134" s="2" t="s">
        <v>83</v>
      </c>
      <c r="C134" s="1">
        <v>34</v>
      </c>
      <c r="D134" s="1">
        <v>42</v>
      </c>
      <c r="E134" s="1">
        <v>51</v>
      </c>
      <c r="F134" s="1">
        <v>62</v>
      </c>
    </row>
    <row r="135" spans="2:6" x14ac:dyDescent="0.2">
      <c r="C135" s="17"/>
      <c r="D135" s="17"/>
      <c r="E135" s="17"/>
      <c r="F135" s="17"/>
    </row>
    <row r="137" spans="2:6" x14ac:dyDescent="0.2">
      <c r="B137" s="1" t="s">
        <v>98</v>
      </c>
      <c r="C137" s="1"/>
    </row>
    <row r="138" spans="2:6" x14ac:dyDescent="0.2">
      <c r="B138" s="42" t="s">
        <v>101</v>
      </c>
      <c r="C138" s="18"/>
      <c r="D138" s="18"/>
    </row>
    <row r="139" spans="2:6" x14ac:dyDescent="0.2">
      <c r="B139" s="42" t="s">
        <v>103</v>
      </c>
      <c r="C139" s="18"/>
      <c r="D139" s="18"/>
    </row>
    <row r="140" spans="2:6" x14ac:dyDescent="0.2">
      <c r="B140" s="42" t="s">
        <v>102</v>
      </c>
      <c r="C140" s="18"/>
      <c r="D140" s="18"/>
    </row>
    <row r="143" spans="2:6" x14ac:dyDescent="0.2">
      <c r="B143" s="1" t="s">
        <v>99</v>
      </c>
      <c r="C143" s="1"/>
    </row>
    <row r="144" spans="2:6" x14ac:dyDescent="0.2">
      <c r="B144" s="2" t="s">
        <v>104</v>
      </c>
      <c r="C144" s="3">
        <v>1826</v>
      </c>
      <c r="D144" s="3">
        <v>1996</v>
      </c>
      <c r="E144" s="3">
        <v>2316</v>
      </c>
      <c r="F144" s="3">
        <v>3057</v>
      </c>
    </row>
    <row r="145" spans="2:9" x14ac:dyDescent="0.2">
      <c r="B145" s="2" t="s">
        <v>105</v>
      </c>
      <c r="C145" s="2">
        <v>72</v>
      </c>
      <c r="D145" s="2">
        <v>84</v>
      </c>
      <c r="E145" s="2">
        <v>98</v>
      </c>
      <c r="F145" s="2">
        <v>112</v>
      </c>
    </row>
    <row r="146" spans="2:9" x14ac:dyDescent="0.2">
      <c r="B146" s="57" t="s">
        <v>77</v>
      </c>
      <c r="C146" s="61">
        <f>C144+C145</f>
        <v>1898</v>
      </c>
      <c r="D146" s="61">
        <f t="shared" ref="D146:F146" si="63">D144+D145</f>
        <v>2080</v>
      </c>
      <c r="E146" s="61">
        <f t="shared" si="63"/>
        <v>2414</v>
      </c>
      <c r="F146" s="61">
        <f t="shared" si="63"/>
        <v>3169</v>
      </c>
    </row>
    <row r="147" spans="2:9" ht="20" x14ac:dyDescent="0.2">
      <c r="B147" s="32"/>
      <c r="C147" s="62"/>
      <c r="D147" s="62"/>
      <c r="E147" s="62"/>
      <c r="F147" s="62"/>
      <c r="G147" s="22"/>
      <c r="H147" s="22"/>
    </row>
    <row r="148" spans="2:9" x14ac:dyDescent="0.2">
      <c r="D148" s="38"/>
      <c r="E148" s="38"/>
      <c r="F148" s="38"/>
      <c r="G148" s="38"/>
      <c r="H148" s="38"/>
    </row>
    <row r="149" spans="2:9" ht="18" x14ac:dyDescent="0.2">
      <c r="B149" s="80"/>
      <c r="C149" s="22"/>
      <c r="D149" s="22"/>
      <c r="E149" s="22"/>
      <c r="G149" s="17"/>
      <c r="H149" s="17"/>
    </row>
    <row r="150" spans="2:9" x14ac:dyDescent="0.2">
      <c r="B150" s="1"/>
      <c r="C150" s="7"/>
      <c r="D150" s="7"/>
      <c r="E150" s="7"/>
      <c r="G150" s="7"/>
      <c r="H150" s="7"/>
    </row>
    <row r="151" spans="2:9" x14ac:dyDescent="0.2">
      <c r="C151" s="17"/>
      <c r="D151" s="17"/>
      <c r="E151" s="17"/>
    </row>
    <row r="152" spans="2:9" x14ac:dyDescent="0.2">
      <c r="C152" s="17"/>
      <c r="D152" s="17"/>
      <c r="E152" s="17"/>
      <c r="G152" s="17"/>
      <c r="H152" s="17"/>
    </row>
    <row r="153" spans="2:9" x14ac:dyDescent="0.2">
      <c r="B153" s="7"/>
      <c r="C153" s="7"/>
      <c r="D153" s="7"/>
      <c r="E153" s="7"/>
      <c r="G153" s="17"/>
      <c r="H153" s="17"/>
    </row>
    <row r="154" spans="2:9" x14ac:dyDescent="0.2">
      <c r="C154" s="17"/>
      <c r="D154" s="17"/>
      <c r="E154" s="17"/>
      <c r="G154" s="17"/>
      <c r="H154" s="17"/>
    </row>
    <row r="155" spans="2:9" x14ac:dyDescent="0.2">
      <c r="B155" s="17"/>
      <c r="C155" s="17"/>
      <c r="D155" s="17"/>
      <c r="E155" s="17"/>
      <c r="G155" s="7"/>
      <c r="H155" s="7"/>
    </row>
    <row r="156" spans="2:9" x14ac:dyDescent="0.2">
      <c r="C156" s="17"/>
      <c r="D156" s="17"/>
      <c r="E156" s="17"/>
    </row>
    <row r="157" spans="2:9" x14ac:dyDescent="0.2">
      <c r="B157" s="1"/>
      <c r="C157" s="7"/>
      <c r="D157" s="7"/>
      <c r="E157" s="7"/>
      <c r="G157" s="7"/>
      <c r="H157" s="7"/>
      <c r="I157" s="7"/>
    </row>
    <row r="158" spans="2:9" x14ac:dyDescent="0.2">
      <c r="C158" s="17"/>
      <c r="D158" s="17"/>
      <c r="E158" s="17"/>
      <c r="G158" s="17"/>
      <c r="H158" s="17"/>
    </row>
    <row r="159" spans="2:9" x14ac:dyDescent="0.2">
      <c r="C159" s="17"/>
      <c r="D159" s="17"/>
      <c r="E159" s="17"/>
      <c r="G159" s="7"/>
      <c r="H159" s="7"/>
    </row>
    <row r="160" spans="2:9" x14ac:dyDescent="0.2">
      <c r="C160" s="17"/>
      <c r="D160" s="17"/>
      <c r="E160" s="17"/>
      <c r="G160" s="17"/>
      <c r="H160" s="17"/>
    </row>
    <row r="161" spans="2:8" x14ac:dyDescent="0.2">
      <c r="C161" s="17"/>
      <c r="D161" s="17"/>
      <c r="E161" s="17"/>
      <c r="G161" s="7"/>
      <c r="H161" s="7"/>
    </row>
    <row r="162" spans="2:8" x14ac:dyDescent="0.2">
      <c r="C162" s="17"/>
      <c r="D162" s="17"/>
      <c r="E162" s="17"/>
      <c r="G162" s="7"/>
      <c r="H162" s="7"/>
    </row>
    <row r="163" spans="2:8" x14ac:dyDescent="0.2">
      <c r="B163" s="1"/>
      <c r="C163" s="7"/>
      <c r="D163" s="7"/>
      <c r="E163" s="7"/>
      <c r="G163" s="7"/>
      <c r="H163" s="7"/>
    </row>
    <row r="165" spans="2:8" x14ac:dyDescent="0.2">
      <c r="B165" s="1"/>
      <c r="C165" s="17"/>
      <c r="D165" s="17"/>
      <c r="E165" s="17"/>
      <c r="G165" s="17"/>
      <c r="H165" s="17"/>
    </row>
    <row r="166" spans="2:8" x14ac:dyDescent="0.2">
      <c r="C166" s="17"/>
      <c r="D166" s="17"/>
      <c r="E166" s="17"/>
      <c r="G166" s="17"/>
      <c r="H166" s="17"/>
    </row>
    <row r="167" spans="2:8" x14ac:dyDescent="0.2">
      <c r="F167" s="7"/>
      <c r="G167" s="7"/>
      <c r="H167" s="7"/>
    </row>
    <row r="168" spans="2:8" x14ac:dyDescent="0.2">
      <c r="C168" s="17"/>
      <c r="D168" s="17"/>
      <c r="E168" s="17"/>
    </row>
    <row r="169" spans="2:8" x14ac:dyDescent="0.2">
      <c r="C169" s="17"/>
      <c r="D169" s="17"/>
      <c r="E169" s="17"/>
      <c r="F169" s="7"/>
      <c r="G169" s="7"/>
      <c r="H169" s="7"/>
    </row>
    <row r="170" spans="2:8" x14ac:dyDescent="0.2">
      <c r="B170" s="18"/>
      <c r="C170" s="81"/>
      <c r="D170" s="81"/>
      <c r="E170" s="81"/>
      <c r="F170" s="39"/>
      <c r="G170" s="39"/>
      <c r="H170" s="39"/>
    </row>
    <row r="172" spans="2:8" x14ac:dyDescent="0.2">
      <c r="B172" s="42"/>
      <c r="C172" s="17"/>
      <c r="D172" s="17"/>
      <c r="E172" s="17"/>
      <c r="F172" s="22"/>
      <c r="G172" s="22"/>
      <c r="H172" s="22"/>
    </row>
    <row r="173" spans="2:8" x14ac:dyDescent="0.2">
      <c r="B173" s="1"/>
      <c r="C173" s="7"/>
      <c r="D173" s="7"/>
      <c r="E173" s="7"/>
      <c r="F173" s="17"/>
      <c r="G173" s="17"/>
      <c r="H173" s="17"/>
    </row>
    <row r="174" spans="2:8" x14ac:dyDescent="0.2">
      <c r="B174" s="82"/>
      <c r="C174" s="82"/>
      <c r="D174" s="38"/>
      <c r="E174" s="38"/>
      <c r="F174" s="38"/>
      <c r="G174" s="38"/>
      <c r="H174" s="38"/>
    </row>
    <row r="175" spans="2:8" x14ac:dyDescent="0.2">
      <c r="B175" s="83"/>
      <c r="C175" s="84"/>
      <c r="D175" s="84"/>
      <c r="E175" s="84"/>
      <c r="F175" s="38"/>
      <c r="G175" s="38"/>
      <c r="H175" s="38"/>
    </row>
    <row r="176" spans="2:8" x14ac:dyDescent="0.2">
      <c r="B176" s="83"/>
      <c r="C176" s="82"/>
      <c r="D176" s="38"/>
      <c r="E176" s="38"/>
      <c r="F176" s="38"/>
      <c r="G176" s="38"/>
      <c r="H176" s="38"/>
    </row>
    <row r="177" spans="2:8" x14ac:dyDescent="0.2">
      <c r="B177" s="83"/>
      <c r="C177" s="82"/>
      <c r="D177" s="38"/>
      <c r="E177" s="38"/>
      <c r="F177" s="38"/>
      <c r="G177" s="38"/>
      <c r="H177" s="38"/>
    </row>
    <row r="178" spans="2:8" x14ac:dyDescent="0.2">
      <c r="B178" s="82"/>
      <c r="C178" s="82"/>
      <c r="D178" s="82"/>
      <c r="E178" s="82"/>
      <c r="F178" s="38"/>
      <c r="G178" s="38"/>
      <c r="H178" s="38"/>
    </row>
    <row r="179" spans="2:8" x14ac:dyDescent="0.2">
      <c r="B179" s="82"/>
      <c r="C179" s="82"/>
      <c r="D179" s="82"/>
      <c r="E179" s="82"/>
      <c r="F179" s="17"/>
      <c r="G179" s="17"/>
      <c r="H179" s="17"/>
    </row>
    <row r="180" spans="2:8" x14ac:dyDescent="0.2">
      <c r="B180" s="83"/>
      <c r="C180" s="82"/>
      <c r="D180" s="82"/>
      <c r="E180" s="82"/>
      <c r="F180" s="38"/>
      <c r="G180" s="38"/>
      <c r="H180" s="38"/>
    </row>
    <row r="181" spans="2:8" x14ac:dyDescent="0.2">
      <c r="B181" s="82"/>
      <c r="C181" s="85"/>
      <c r="D181" s="85"/>
      <c r="E181" s="85"/>
      <c r="F181" s="38"/>
      <c r="G181" s="38"/>
      <c r="H181" s="38"/>
    </row>
    <row r="182" spans="2:8" x14ac:dyDescent="0.2">
      <c r="B182" s="82"/>
      <c r="C182" s="86"/>
      <c r="D182" s="86"/>
      <c r="E182" s="86"/>
    </row>
    <row r="183" spans="2:8" x14ac:dyDescent="0.2">
      <c r="B183" s="83"/>
      <c r="C183" s="87"/>
      <c r="D183" s="87"/>
      <c r="E183" s="87"/>
      <c r="F183" s="38"/>
      <c r="G183" s="38"/>
      <c r="H183" s="38"/>
    </row>
    <row r="184" spans="2:8" x14ac:dyDescent="0.2">
      <c r="B184" s="82"/>
      <c r="C184" s="82"/>
      <c r="D184" s="38"/>
      <c r="E184" s="38"/>
      <c r="F184" s="38"/>
      <c r="G184" s="38"/>
      <c r="H184" s="38"/>
    </row>
    <row r="185" spans="2:8" x14ac:dyDescent="0.2">
      <c r="B185" s="83"/>
      <c r="C185" s="88"/>
      <c r="D185" s="88"/>
      <c r="E185" s="88"/>
      <c r="F185" s="38"/>
      <c r="G185" s="38"/>
      <c r="H185" s="38"/>
    </row>
    <row r="186" spans="2:8" x14ac:dyDescent="0.2">
      <c r="B186" s="89"/>
      <c r="C186" s="90"/>
      <c r="D186" s="90"/>
      <c r="E186" s="90"/>
      <c r="F186" s="7"/>
      <c r="G186" s="7"/>
      <c r="H186" s="7"/>
    </row>
    <row r="187" spans="2:8" x14ac:dyDescent="0.2">
      <c r="B187" s="91"/>
      <c r="C187" s="91"/>
      <c r="D187" s="92"/>
      <c r="E187" s="92"/>
      <c r="F187" s="92"/>
      <c r="G187" s="92"/>
      <c r="H187" s="92"/>
    </row>
    <row r="188" spans="2:8" ht="18" x14ac:dyDescent="0.2">
      <c r="B188" s="80"/>
      <c r="C188" s="93"/>
      <c r="D188" s="93"/>
      <c r="E188" s="93"/>
      <c r="F188" s="93"/>
    </row>
    <row r="189" spans="2:8" x14ac:dyDescent="0.2">
      <c r="B189" s="82"/>
      <c r="C189" s="82"/>
      <c r="D189" s="38"/>
      <c r="E189" s="38"/>
    </row>
    <row r="190" spans="2:8" x14ac:dyDescent="0.2">
      <c r="B190" s="82"/>
      <c r="C190" s="86"/>
      <c r="D190" s="86"/>
      <c r="E190" s="86"/>
      <c r="F190" s="86"/>
      <c r="G190" s="38"/>
      <c r="H190" s="38"/>
    </row>
    <row r="191" spans="2:8" x14ac:dyDescent="0.2">
      <c r="B191" s="82"/>
      <c r="C191" s="82"/>
      <c r="D191" s="82"/>
      <c r="E191" s="82"/>
      <c r="F191" s="82"/>
      <c r="G191" s="38"/>
      <c r="H191" s="38"/>
    </row>
    <row r="192" spans="2:8" x14ac:dyDescent="0.2">
      <c r="B192" s="82"/>
      <c r="C192" s="86"/>
      <c r="D192" s="86"/>
      <c r="E192" s="86"/>
      <c r="F192" s="86"/>
      <c r="G192" s="17"/>
      <c r="H192" s="17"/>
    </row>
    <row r="193" spans="2:8" x14ac:dyDescent="0.2">
      <c r="B193" s="82"/>
      <c r="C193" s="17"/>
      <c r="D193" s="17"/>
      <c r="E193" s="17"/>
      <c r="F193" s="17"/>
    </row>
    <row r="194" spans="2:8" x14ac:dyDescent="0.2">
      <c r="B194" s="82"/>
      <c r="C194" s="17"/>
      <c r="D194" s="17"/>
      <c r="E194" s="17"/>
      <c r="F194" s="17"/>
      <c r="G194" s="38"/>
      <c r="H194" s="38"/>
    </row>
    <row r="195" spans="2:8" x14ac:dyDescent="0.2">
      <c r="B195" s="82"/>
      <c r="C195" s="17"/>
      <c r="D195" s="17"/>
      <c r="E195" s="17"/>
      <c r="F195" s="17"/>
      <c r="G195" s="38"/>
      <c r="H195" s="38"/>
    </row>
    <row r="196" spans="2:8" x14ac:dyDescent="0.2">
      <c r="B196" s="82"/>
      <c r="C196" s="17"/>
      <c r="D196" s="17"/>
      <c r="E196" s="17"/>
      <c r="F196" s="17"/>
      <c r="G196" s="38"/>
      <c r="H196" s="38"/>
    </row>
    <row r="197" spans="2:8" x14ac:dyDescent="0.2">
      <c r="B197" s="82"/>
      <c r="C197" s="17"/>
      <c r="D197" s="17"/>
      <c r="E197" s="17"/>
      <c r="F197" s="17"/>
      <c r="G197" s="38"/>
      <c r="H197" s="38"/>
    </row>
    <row r="198" spans="2:8" x14ac:dyDescent="0.2">
      <c r="B198" s="82"/>
      <c r="C198" s="17"/>
      <c r="D198" s="17"/>
      <c r="E198" s="17"/>
      <c r="F198" s="17"/>
    </row>
    <row r="199" spans="2:8" x14ac:dyDescent="0.2">
      <c r="B199" s="82"/>
      <c r="C199" s="17"/>
      <c r="D199" s="17"/>
      <c r="E199" s="17"/>
      <c r="F199" s="17"/>
      <c r="G199" s="38"/>
      <c r="H199" s="38"/>
    </row>
    <row r="200" spans="2:8" x14ac:dyDescent="0.2">
      <c r="B200" s="82"/>
      <c r="C200" s="17"/>
      <c r="D200" s="17"/>
      <c r="E200" s="17"/>
      <c r="F200" s="17"/>
      <c r="G200" s="38"/>
      <c r="H200" s="38"/>
    </row>
    <row r="201" spans="2:8" x14ac:dyDescent="0.2">
      <c r="B201" s="83"/>
      <c r="C201" s="84"/>
      <c r="D201" s="84"/>
      <c r="E201" s="84"/>
      <c r="F201" s="84"/>
      <c r="G201" s="17"/>
      <c r="H201" s="17"/>
    </row>
    <row r="203" spans="2:8" x14ac:dyDescent="0.2">
      <c r="C203" s="17"/>
      <c r="D203" s="17"/>
      <c r="E203" s="17"/>
      <c r="F203" s="17"/>
      <c r="G203" s="7"/>
      <c r="H203" s="7"/>
    </row>
    <row r="204" spans="2:8" x14ac:dyDescent="0.2">
      <c r="C204" s="17"/>
      <c r="D204" s="17"/>
      <c r="E204" s="17"/>
      <c r="F204" s="17"/>
    </row>
    <row r="205" spans="2:8" x14ac:dyDescent="0.2">
      <c r="C205" s="17"/>
      <c r="D205" s="17"/>
      <c r="E205" s="17"/>
      <c r="F205" s="17"/>
      <c r="G205" s="7"/>
      <c r="H205" s="7"/>
    </row>
    <row r="206" spans="2:8" x14ac:dyDescent="0.2">
      <c r="C206" s="17"/>
      <c r="D206" s="17"/>
      <c r="E206" s="17"/>
      <c r="F206" s="17"/>
      <c r="G206" s="39"/>
      <c r="H206" s="39"/>
    </row>
    <row r="208" spans="2:8" x14ac:dyDescent="0.2">
      <c r="B208" s="82"/>
      <c r="C208" s="86"/>
      <c r="D208" s="86"/>
      <c r="E208" s="86"/>
      <c r="F208" s="86"/>
      <c r="G208" s="22"/>
      <c r="H208" s="22"/>
    </row>
    <row r="209" spans="2:8" x14ac:dyDescent="0.2">
      <c r="B209" s="82"/>
      <c r="G209" s="40"/>
      <c r="H209" s="40"/>
    </row>
    <row r="210" spans="2:8" x14ac:dyDescent="0.2">
      <c r="B210" s="82"/>
      <c r="G210" s="40"/>
      <c r="H210" s="40"/>
    </row>
    <row r="211" spans="2:8" x14ac:dyDescent="0.2">
      <c r="B211" s="83"/>
      <c r="C211" s="7"/>
      <c r="D211" s="7"/>
      <c r="E211" s="7"/>
      <c r="F211" s="7"/>
      <c r="G211" s="94"/>
      <c r="H211" s="94"/>
    </row>
    <row r="213" spans="2:8" x14ac:dyDescent="0.2">
      <c r="B213" s="83"/>
      <c r="C213" s="7"/>
      <c r="D213" s="7"/>
      <c r="E213" s="7"/>
      <c r="F213" s="7"/>
      <c r="G213" s="22"/>
      <c r="H213" s="22"/>
    </row>
    <row r="214" spans="2:8" x14ac:dyDescent="0.2">
      <c r="B214" s="18"/>
      <c r="C214" s="39"/>
      <c r="D214" s="39"/>
      <c r="E214" s="39"/>
      <c r="F214" s="39"/>
      <c r="G214" s="40"/>
      <c r="H214" s="40"/>
    </row>
    <row r="215" spans="2:8" x14ac:dyDescent="0.2">
      <c r="D215" s="40"/>
      <c r="E215" s="40"/>
      <c r="F215" s="40"/>
      <c r="G215" s="40"/>
      <c r="H215" s="40"/>
    </row>
    <row r="216" spans="2:8" x14ac:dyDescent="0.2">
      <c r="B216" s="95"/>
      <c r="C216" s="22"/>
      <c r="D216" s="22"/>
      <c r="E216" s="22"/>
      <c r="F216" s="41"/>
      <c r="G216" s="41"/>
      <c r="H216" s="41"/>
    </row>
    <row r="217" spans="2:8" x14ac:dyDescent="0.2">
      <c r="C217" s="40"/>
      <c r="D217" s="40"/>
      <c r="E217" s="40"/>
      <c r="F217" s="40"/>
      <c r="G217" s="40"/>
      <c r="H217" s="40"/>
    </row>
    <row r="218" spans="2:8" x14ac:dyDescent="0.2">
      <c r="C218" s="40"/>
      <c r="D218" s="40"/>
      <c r="E218" s="40"/>
      <c r="F218" s="40"/>
      <c r="G218" s="40"/>
      <c r="H218" s="40"/>
    </row>
    <row r="219" spans="2:8" x14ac:dyDescent="0.2">
      <c r="C219" s="96"/>
      <c r="D219" s="96"/>
      <c r="E219" s="96"/>
      <c r="F219" s="40"/>
      <c r="G219" s="40"/>
      <c r="H219" s="40"/>
    </row>
    <row r="220" spans="2:8" x14ac:dyDescent="0.2">
      <c r="B220" s="95"/>
      <c r="C220" s="97"/>
      <c r="D220" s="97"/>
      <c r="E220" s="97"/>
      <c r="F220" s="41"/>
      <c r="G220" s="41"/>
      <c r="H220" s="41"/>
    </row>
    <row r="221" spans="2:8" x14ac:dyDescent="0.2">
      <c r="D221" s="40"/>
      <c r="E221" s="40"/>
      <c r="F221" s="40"/>
      <c r="G221" s="40"/>
      <c r="H221" s="40"/>
    </row>
    <row r="222" spans="2:8" x14ac:dyDescent="0.2">
      <c r="C222" s="40"/>
      <c r="D222" s="40"/>
      <c r="E222" s="40"/>
      <c r="F222" s="41"/>
      <c r="G222" s="41"/>
      <c r="H222" s="41"/>
    </row>
    <row r="223" spans="2:8" x14ac:dyDescent="0.2">
      <c r="C223" s="40"/>
      <c r="D223" s="40"/>
      <c r="E223" s="40"/>
      <c r="F223" s="40"/>
      <c r="G223" s="40"/>
      <c r="H223" s="40"/>
    </row>
    <row r="224" spans="2:8" x14ac:dyDescent="0.2">
      <c r="B224" s="1"/>
      <c r="C224" s="98"/>
      <c r="D224" s="98"/>
      <c r="E224" s="98"/>
      <c r="F224" s="41"/>
      <c r="G224" s="41"/>
      <c r="H224" s="41"/>
    </row>
    <row r="225" spans="2:9" x14ac:dyDescent="0.2">
      <c r="D225" s="40"/>
      <c r="E225" s="40"/>
      <c r="F225" s="40"/>
      <c r="G225" s="40"/>
      <c r="H225" s="40"/>
    </row>
    <row r="226" spans="2:9" x14ac:dyDescent="0.2">
      <c r="B226" s="1"/>
      <c r="C226" s="99"/>
      <c r="D226" s="99"/>
      <c r="E226" s="99"/>
      <c r="F226" s="41"/>
      <c r="G226" s="41"/>
      <c r="H226" s="41"/>
    </row>
    <row r="227" spans="2:9" x14ac:dyDescent="0.2">
      <c r="C227" s="99"/>
      <c r="D227" s="99"/>
      <c r="E227" s="99"/>
    </row>
    <row r="229" spans="2:9" ht="20" x14ac:dyDescent="0.2">
      <c r="B229" s="32"/>
      <c r="C229" s="32"/>
      <c r="D229" s="22"/>
      <c r="E229" s="22"/>
      <c r="F229" s="22"/>
      <c r="G229" s="22"/>
      <c r="H229" s="22"/>
    </row>
    <row r="230" spans="2:9" x14ac:dyDescent="0.2">
      <c r="D230" s="37"/>
      <c r="E230" s="37"/>
      <c r="F230" s="37"/>
      <c r="G230" s="37"/>
      <c r="H230" s="37"/>
      <c r="I230" s="37"/>
    </row>
    <row r="231" spans="2:9" x14ac:dyDescent="0.2">
      <c r="D231" s="37"/>
      <c r="E231" s="37"/>
      <c r="F231" s="37"/>
      <c r="G231" s="37"/>
      <c r="H231" s="37"/>
    </row>
    <row r="232" spans="2:9" x14ac:dyDescent="0.2">
      <c r="B232" s="1"/>
      <c r="C232" s="1"/>
      <c r="D232" s="37"/>
      <c r="E232" s="77"/>
      <c r="F232" s="37"/>
      <c r="G232" s="37"/>
      <c r="H232" s="37"/>
    </row>
    <row r="233" spans="2:9" x14ac:dyDescent="0.2">
      <c r="D233" s="37"/>
      <c r="E233" s="77"/>
      <c r="F233" s="37"/>
      <c r="G233" s="37"/>
      <c r="H233" s="37"/>
    </row>
    <row r="234" spans="2:9" x14ac:dyDescent="0.2">
      <c r="D234" s="37"/>
      <c r="E234" s="77"/>
      <c r="F234" s="37"/>
      <c r="G234" s="37"/>
      <c r="H234" s="37"/>
    </row>
    <row r="235" spans="2:9" x14ac:dyDescent="0.2">
      <c r="D235" s="37"/>
      <c r="E235" s="100"/>
      <c r="F235" s="37"/>
      <c r="G235" s="37"/>
      <c r="H235" s="37"/>
    </row>
    <row r="236" spans="2:9" x14ac:dyDescent="0.2">
      <c r="B236" s="1"/>
      <c r="C236" s="1"/>
      <c r="D236" s="37"/>
      <c r="E236" s="77"/>
      <c r="F236" s="37"/>
      <c r="G236" s="37"/>
      <c r="H236" s="37"/>
    </row>
    <row r="237" spans="2:9" x14ac:dyDescent="0.2">
      <c r="D237" s="37"/>
      <c r="E237" s="37"/>
      <c r="F237" s="37"/>
      <c r="G237" s="37"/>
      <c r="H237" s="37"/>
    </row>
    <row r="238" spans="2:9" x14ac:dyDescent="0.2">
      <c r="B238" s="1"/>
      <c r="C238" s="1"/>
      <c r="D238" s="37"/>
      <c r="E238" s="77"/>
      <c r="F238" s="37"/>
      <c r="G238" s="37"/>
      <c r="H238" s="37"/>
    </row>
    <row r="239" spans="2:9" x14ac:dyDescent="0.2">
      <c r="D239" s="37"/>
      <c r="E239" s="37"/>
      <c r="F239" s="37"/>
      <c r="G239" s="37"/>
      <c r="H239" s="37"/>
    </row>
    <row r="240" spans="2:9" x14ac:dyDescent="0.2">
      <c r="B240" s="1"/>
      <c r="C240" s="1"/>
      <c r="D240" s="37"/>
      <c r="E240" s="78"/>
      <c r="F240" s="37"/>
      <c r="G240" s="37"/>
      <c r="H240" s="37"/>
    </row>
    <row r="241" spans="2:8" x14ac:dyDescent="0.2">
      <c r="D241" s="37"/>
      <c r="E241" s="37"/>
      <c r="F241" s="37"/>
      <c r="G241" s="37"/>
      <c r="H241" s="37"/>
    </row>
    <row r="242" spans="2:8" x14ac:dyDescent="0.2">
      <c r="B242" s="101"/>
      <c r="C242" s="1"/>
      <c r="D242" s="37"/>
      <c r="E242" s="37"/>
      <c r="F242" s="37"/>
      <c r="G242" s="37"/>
      <c r="H242" s="37"/>
    </row>
    <row r="244" spans="2:8" x14ac:dyDescent="0.2">
      <c r="D244" s="102"/>
    </row>
    <row r="250" spans="2:8" x14ac:dyDescent="0.2">
      <c r="D250" s="37"/>
      <c r="E250" s="37"/>
      <c r="F250" s="37"/>
      <c r="G250" s="37"/>
      <c r="H250" s="37"/>
    </row>
    <row r="251" spans="2:8" x14ac:dyDescent="0.2">
      <c r="D251" s="37"/>
      <c r="E251" s="37"/>
      <c r="F251" s="37"/>
      <c r="G251" s="37"/>
      <c r="H251" s="37"/>
    </row>
    <row r="252" spans="2:8" x14ac:dyDescent="0.2">
      <c r="D252" s="37"/>
      <c r="E252" s="37"/>
      <c r="F252" s="37"/>
      <c r="G252" s="37"/>
      <c r="H252" s="37"/>
    </row>
    <row r="253" spans="2:8" x14ac:dyDescent="0.2">
      <c r="D253" s="37"/>
      <c r="E253" s="37"/>
      <c r="F253" s="37"/>
      <c r="G253" s="37"/>
      <c r="H253" s="37"/>
    </row>
    <row r="254" spans="2:8" x14ac:dyDescent="0.2">
      <c r="D254" s="37"/>
      <c r="E254" s="37"/>
      <c r="F254" s="37"/>
      <c r="G254" s="37"/>
      <c r="H254" s="37"/>
    </row>
    <row r="255" spans="2:8" x14ac:dyDescent="0.2">
      <c r="D255" s="37"/>
      <c r="E255" s="37"/>
      <c r="F255" s="37"/>
      <c r="G255" s="37"/>
      <c r="H255" s="37"/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6E95-A870-1249-BB5C-41573515D1C3}">
  <dimension ref="B2:D26"/>
  <sheetViews>
    <sheetView workbookViewId="0">
      <selection activeCell="B25" sqref="B25:B26"/>
    </sheetView>
  </sheetViews>
  <sheetFormatPr baseColWidth="10" defaultRowHeight="15" x14ac:dyDescent="0.2"/>
  <cols>
    <col min="2" max="2" width="37.1640625" customWidth="1"/>
    <col min="3" max="3" width="11.6640625" bestFit="1" customWidth="1"/>
  </cols>
  <sheetData>
    <row r="2" spans="2:4" x14ac:dyDescent="0.2">
      <c r="B2" t="s">
        <v>168</v>
      </c>
      <c r="C2">
        <v>7.0000000000000007E-2</v>
      </c>
    </row>
    <row r="3" spans="2:4" x14ac:dyDescent="0.2">
      <c r="B3" t="s">
        <v>169</v>
      </c>
      <c r="C3">
        <v>0.03</v>
      </c>
    </row>
    <row r="4" spans="2:4" x14ac:dyDescent="0.2">
      <c r="B4" t="s">
        <v>170</v>
      </c>
      <c r="C4">
        <f>C2-C3</f>
        <v>4.0000000000000008E-2</v>
      </c>
    </row>
    <row r="6" spans="2:4" x14ac:dyDescent="0.2">
      <c r="B6" s="122" t="s">
        <v>171</v>
      </c>
      <c r="D6">
        <f>'Opgave 2'!K58</f>
        <v>3254.12</v>
      </c>
    </row>
    <row r="7" spans="2:4" x14ac:dyDescent="0.2">
      <c r="B7" t="s">
        <v>172</v>
      </c>
      <c r="D7">
        <f>'Opgave 2'!K56*(-1)</f>
        <v>-4</v>
      </c>
    </row>
    <row r="8" spans="2:4" x14ac:dyDescent="0.2">
      <c r="B8" t="s">
        <v>173</v>
      </c>
      <c r="D8">
        <f>'Opgave 2'!K55*(-1)</f>
        <v>238</v>
      </c>
    </row>
    <row r="9" spans="2:4" x14ac:dyDescent="0.2">
      <c r="B9" t="s">
        <v>174</v>
      </c>
      <c r="D9">
        <f>'Opgave 2'!K50*(-1)*78%</f>
        <v>-15.600000000000001</v>
      </c>
    </row>
    <row r="10" spans="2:4" x14ac:dyDescent="0.2">
      <c r="B10" s="122" t="s">
        <v>175</v>
      </c>
      <c r="D10">
        <f>SUM(D6:D9)</f>
        <v>3472.52</v>
      </c>
    </row>
    <row r="12" spans="2:4" x14ac:dyDescent="0.2">
      <c r="B12" s="122" t="s">
        <v>176</v>
      </c>
      <c r="C12">
        <f>'Opgave 2'!K18</f>
        <v>18732</v>
      </c>
    </row>
    <row r="13" spans="2:4" x14ac:dyDescent="0.2">
      <c r="B13" s="122" t="s">
        <v>179</v>
      </c>
      <c r="C13" s="123">
        <f>D10/C12</f>
        <v>0.1853790305359812</v>
      </c>
    </row>
    <row r="14" spans="2:4" x14ac:dyDescent="0.2">
      <c r="B14" s="122" t="s">
        <v>177</v>
      </c>
      <c r="C14">
        <f>'Opgave 2'!L18</f>
        <v>21254</v>
      </c>
    </row>
    <row r="15" spans="2:4" x14ac:dyDescent="0.2">
      <c r="B15" s="122" t="s">
        <v>178</v>
      </c>
      <c r="C15">
        <f>'Opgave 2'!L29</f>
        <v>7981</v>
      </c>
    </row>
    <row r="18" spans="2:3" x14ac:dyDescent="0.2">
      <c r="B18" s="122" t="s">
        <v>180</v>
      </c>
      <c r="C18" s="124">
        <f>C15+(C13-C2)*C14/C4</f>
        <v>69287.647875293595</v>
      </c>
    </row>
    <row r="19" spans="2:3" x14ac:dyDescent="0.2">
      <c r="B19" s="122" t="s">
        <v>181</v>
      </c>
      <c r="C19" s="124">
        <f>2064000-78432</f>
        <v>1985568</v>
      </c>
    </row>
    <row r="20" spans="2:3" x14ac:dyDescent="0.2">
      <c r="B20" s="122" t="s">
        <v>182</v>
      </c>
      <c r="C20" s="124">
        <f>C19/1000</f>
        <v>1985.568</v>
      </c>
    </row>
    <row r="21" spans="2:3" x14ac:dyDescent="0.2">
      <c r="B21" s="122" t="s">
        <v>183</v>
      </c>
      <c r="C21" s="124">
        <f>C18/C20</f>
        <v>34.895630809568644</v>
      </c>
    </row>
    <row r="25" spans="2:3" ht="16" x14ac:dyDescent="0.2">
      <c r="B25" s="42"/>
    </row>
    <row r="26" spans="2:3" ht="16" x14ac:dyDescent="0.2">
      <c r="B26" s="4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70"/>
  <sheetViews>
    <sheetView tabSelected="1" topLeftCell="A25" workbookViewId="0">
      <selection activeCell="B51" sqref="B51"/>
    </sheetView>
  </sheetViews>
  <sheetFormatPr baseColWidth="10" defaultColWidth="9.1640625" defaultRowHeight="16" x14ac:dyDescent="0.2"/>
  <cols>
    <col min="1" max="1" width="9.1640625" style="2"/>
    <col min="2" max="2" width="58" style="2" bestFit="1" customWidth="1"/>
    <col min="3" max="3" width="9" style="2" hidden="1" customWidth="1"/>
    <col min="4" max="4" width="15.1640625" style="2" bestFit="1" customWidth="1"/>
    <col min="5" max="6" width="11.6640625" style="2" bestFit="1" customWidth="1"/>
    <col min="7" max="8" width="10.83203125" style="2" bestFit="1" customWidth="1"/>
    <col min="9" max="9" width="13.33203125" style="2" bestFit="1" customWidth="1"/>
    <col min="10" max="16384" width="9.1640625" style="2"/>
  </cols>
  <sheetData>
    <row r="3" spans="2:11" x14ac:dyDescent="0.2">
      <c r="D3" s="131" t="s">
        <v>58</v>
      </c>
      <c r="E3" s="132"/>
      <c r="F3" s="132"/>
      <c r="G3" s="132"/>
      <c r="H3" s="132"/>
      <c r="I3" s="31" t="s">
        <v>59</v>
      </c>
    </row>
    <row r="4" spans="2:11" x14ac:dyDescent="0.2">
      <c r="B4" s="28" t="s">
        <v>60</v>
      </c>
      <c r="C4" s="28"/>
      <c r="D4" s="27" t="s">
        <v>52</v>
      </c>
      <c r="E4" s="27" t="s">
        <v>53</v>
      </c>
      <c r="F4" s="27" t="s">
        <v>54</v>
      </c>
      <c r="G4" s="27" t="s">
        <v>55</v>
      </c>
      <c r="H4" s="27" t="s">
        <v>56</v>
      </c>
      <c r="I4" s="29" t="s">
        <v>57</v>
      </c>
      <c r="J4" s="2" t="s">
        <v>184</v>
      </c>
      <c r="K4" s="2" t="s">
        <v>185</v>
      </c>
    </row>
    <row r="5" spans="2:11" x14ac:dyDescent="0.2">
      <c r="B5" s="2" t="s">
        <v>51</v>
      </c>
      <c r="D5" s="25">
        <v>5.5E-2</v>
      </c>
      <c r="E5" s="25">
        <v>0.05</v>
      </c>
      <c r="F5" s="25">
        <v>4.4999999999999998E-2</v>
      </c>
      <c r="G5" s="25">
        <v>0.04</v>
      </c>
      <c r="H5" s="25">
        <v>0.03</v>
      </c>
      <c r="I5" s="30">
        <v>0.03</v>
      </c>
      <c r="J5" s="121">
        <v>7.0000000000000007E-2</v>
      </c>
      <c r="K5" s="125">
        <f>J5-I5</f>
        <v>4.0000000000000008E-2</v>
      </c>
    </row>
    <row r="6" spans="2:11" ht="18" x14ac:dyDescent="0.25">
      <c r="B6" s="2" t="s">
        <v>107</v>
      </c>
      <c r="D6" s="25">
        <v>0.14000000000000001</v>
      </c>
      <c r="E6" s="25">
        <v>0.14499999999999999</v>
      </c>
      <c r="F6" s="25">
        <v>0.14000000000000001</v>
      </c>
      <c r="G6" s="25">
        <v>0.14000000000000001</v>
      </c>
      <c r="H6" s="25">
        <v>0.14000000000000001</v>
      </c>
      <c r="I6" s="30">
        <v>0.14000000000000001</v>
      </c>
    </row>
    <row r="7" spans="2:11" x14ac:dyDescent="0.2">
      <c r="B7" s="2" t="s">
        <v>108</v>
      </c>
      <c r="D7" s="74" t="s">
        <v>109</v>
      </c>
      <c r="E7" s="70">
        <v>0.83</v>
      </c>
      <c r="F7" s="70">
        <v>0.84</v>
      </c>
      <c r="G7" s="70">
        <v>0.85</v>
      </c>
      <c r="H7" s="70">
        <v>0.85</v>
      </c>
      <c r="I7" s="71">
        <v>0.85</v>
      </c>
    </row>
    <row r="8" spans="2:11" x14ac:dyDescent="0.2">
      <c r="B8" s="2" t="s">
        <v>47</v>
      </c>
      <c r="D8" s="25">
        <v>0.216</v>
      </c>
      <c r="E8" s="25">
        <v>0.218</v>
      </c>
      <c r="F8" s="25">
        <v>0.219</v>
      </c>
      <c r="G8" s="25">
        <v>0.219</v>
      </c>
      <c r="H8" s="25">
        <v>0.22</v>
      </c>
      <c r="I8" s="30">
        <v>0.22</v>
      </c>
    </row>
    <row r="9" spans="2:11" x14ac:dyDescent="0.2">
      <c r="B9" s="2" t="s">
        <v>110</v>
      </c>
      <c r="D9" s="72">
        <v>5.0000000000000001E-4</v>
      </c>
      <c r="E9" s="72">
        <v>5.0000000000000001E-4</v>
      </c>
      <c r="F9" s="72">
        <v>5.0000000000000001E-4</v>
      </c>
      <c r="G9" s="72">
        <v>5.0000000000000001E-4</v>
      </c>
      <c r="H9" s="73">
        <v>5.0000000000000001E-4</v>
      </c>
      <c r="I9" s="72">
        <v>5.0000000000000001E-4</v>
      </c>
    </row>
    <row r="10" spans="2:11" x14ac:dyDescent="0.2">
      <c r="B10" s="2" t="s">
        <v>111</v>
      </c>
      <c r="D10" s="74" t="s">
        <v>112</v>
      </c>
      <c r="E10" s="75">
        <v>0.6</v>
      </c>
      <c r="F10" s="70">
        <v>0.61</v>
      </c>
      <c r="G10" s="70">
        <v>0.62</v>
      </c>
      <c r="H10" s="70">
        <v>0.62</v>
      </c>
      <c r="I10" s="71">
        <v>0.62</v>
      </c>
    </row>
    <row r="11" spans="2:11" x14ac:dyDescent="0.2">
      <c r="B11" s="6" t="s">
        <v>113</v>
      </c>
      <c r="C11" s="6"/>
      <c r="D11" s="26">
        <v>3.1E-2</v>
      </c>
      <c r="E11" s="26">
        <v>3.1E-2</v>
      </c>
      <c r="F11" s="26">
        <v>3.1E-2</v>
      </c>
      <c r="G11" s="26">
        <v>3.1E-2</v>
      </c>
      <c r="H11" s="76">
        <v>3.1E-2</v>
      </c>
      <c r="I11" s="26">
        <v>3.1E-2</v>
      </c>
    </row>
    <row r="13" spans="2:11" ht="20" x14ac:dyDescent="0.2">
      <c r="B13" s="32"/>
      <c r="C13" s="32"/>
    </row>
    <row r="14" spans="2:11" x14ac:dyDescent="0.2">
      <c r="D14" s="104">
        <v>1</v>
      </c>
      <c r="E14" s="104">
        <v>2</v>
      </c>
      <c r="F14" s="104">
        <v>3</v>
      </c>
      <c r="G14" s="104">
        <v>4</v>
      </c>
      <c r="H14" s="104">
        <v>5</v>
      </c>
      <c r="I14" s="104"/>
    </row>
    <row r="15" spans="2:11" x14ac:dyDescent="0.2">
      <c r="B15" s="2" t="s">
        <v>0</v>
      </c>
      <c r="C15" s="95"/>
      <c r="D15" s="104">
        <f>(1+D5)*'Opgave 2'!K34</f>
        <v>25969.879999999997</v>
      </c>
      <c r="E15" s="104">
        <f>D15*(1+E5)</f>
        <v>27268.374</v>
      </c>
      <c r="F15" s="104">
        <f t="shared" ref="F15:H15" si="0">E15*(1+F5)</f>
        <v>28495.450829999998</v>
      </c>
      <c r="G15" s="104">
        <f t="shared" si="0"/>
        <v>29635.268863199999</v>
      </c>
      <c r="H15" s="104">
        <f t="shared" si="0"/>
        <v>30524.326929096002</v>
      </c>
      <c r="I15" s="104">
        <f t="shared" ref="I15" si="1">H15*(1+I5)</f>
        <v>31440.056736968883</v>
      </c>
    </row>
    <row r="16" spans="2:11" x14ac:dyDescent="0.2">
      <c r="B16" s="2" t="s">
        <v>186</v>
      </c>
      <c r="C16" s="33"/>
      <c r="D16" s="33">
        <f>D6*D15</f>
        <v>3635.7831999999999</v>
      </c>
      <c r="E16" s="33">
        <f t="shared" ref="E16:I16" si="2">E6*E15</f>
        <v>3953.9142299999999</v>
      </c>
      <c r="F16" s="33">
        <f t="shared" si="2"/>
        <v>3989.3631162000001</v>
      </c>
      <c r="G16" s="33">
        <f t="shared" si="2"/>
        <v>4148.9376408480002</v>
      </c>
      <c r="H16" s="33">
        <f t="shared" si="2"/>
        <v>4273.4057700734402</v>
      </c>
      <c r="I16" s="33">
        <f t="shared" si="2"/>
        <v>4401.6079431756443</v>
      </c>
    </row>
    <row r="17" spans="2:20" x14ac:dyDescent="0.2">
      <c r="B17" s="2" t="s">
        <v>187</v>
      </c>
      <c r="D17" s="33">
        <f>D16*D8</f>
        <v>785.32917119999991</v>
      </c>
      <c r="E17" s="33">
        <f t="shared" ref="E17:I17" si="3">E16*E8</f>
        <v>861.95330214000001</v>
      </c>
      <c r="F17" s="33">
        <f t="shared" si="3"/>
        <v>873.67052244780007</v>
      </c>
      <c r="G17" s="33">
        <f t="shared" si="3"/>
        <v>908.61734334571202</v>
      </c>
      <c r="H17" s="33">
        <f t="shared" si="3"/>
        <v>940.14926941615681</v>
      </c>
      <c r="I17" s="33">
        <f t="shared" si="3"/>
        <v>968.35374749864172</v>
      </c>
    </row>
    <row r="18" spans="2:20" x14ac:dyDescent="0.2">
      <c r="B18" s="2" t="s">
        <v>188</v>
      </c>
      <c r="D18" s="33">
        <f>D16-D17</f>
        <v>2850.4540287999998</v>
      </c>
      <c r="E18" s="33">
        <f t="shared" ref="E18:I18" si="4">E16-E17</f>
        <v>3091.9609278600001</v>
      </c>
      <c r="F18" s="33">
        <f t="shared" si="4"/>
        <v>3115.6925937522001</v>
      </c>
      <c r="G18" s="33">
        <f t="shared" si="4"/>
        <v>3240.3202975022882</v>
      </c>
      <c r="H18" s="33">
        <f t="shared" si="4"/>
        <v>3333.2565006572831</v>
      </c>
      <c r="I18" s="33">
        <f t="shared" si="4"/>
        <v>3433.2541956770028</v>
      </c>
    </row>
    <row r="19" spans="2:20" x14ac:dyDescent="0.2">
      <c r="B19" s="2" t="s">
        <v>189</v>
      </c>
      <c r="D19" s="105">
        <f>D9*D15</f>
        <v>12.984939999999998</v>
      </c>
      <c r="E19" s="105">
        <f t="shared" ref="E19:H19" si="5">E9*E15</f>
        <v>13.634187000000001</v>
      </c>
      <c r="F19" s="105">
        <f t="shared" si="5"/>
        <v>14.247725415</v>
      </c>
      <c r="G19" s="105">
        <f t="shared" si="5"/>
        <v>14.8176344316</v>
      </c>
      <c r="H19" s="105">
        <f t="shared" si="5"/>
        <v>15.262163464548001</v>
      </c>
      <c r="I19" s="105">
        <f t="shared" ref="I19" si="6">I9*I15</f>
        <v>15.720028368484442</v>
      </c>
    </row>
    <row r="20" spans="2:20" x14ac:dyDescent="0.2">
      <c r="B20" s="1" t="s">
        <v>190</v>
      </c>
      <c r="D20" s="105">
        <f>SUM(D18:D19)</f>
        <v>2863.4389687999997</v>
      </c>
      <c r="E20" s="105">
        <f t="shared" ref="E20:I20" si="7">SUM(E18:E19)</f>
        <v>3105.5951148600002</v>
      </c>
      <c r="F20" s="105">
        <f t="shared" si="7"/>
        <v>3129.9403191672</v>
      </c>
      <c r="G20" s="105">
        <f t="shared" si="7"/>
        <v>3255.137931933888</v>
      </c>
      <c r="H20" s="105">
        <f t="shared" si="7"/>
        <v>3348.5186641218311</v>
      </c>
      <c r="I20" s="105">
        <f t="shared" si="7"/>
        <v>3448.9742240454871</v>
      </c>
    </row>
    <row r="21" spans="2:20" x14ac:dyDescent="0.2">
      <c r="B21" s="2" t="s">
        <v>191</v>
      </c>
      <c r="C21" s="1"/>
      <c r="D21" s="105">
        <f>D11*'Opgave 2'!L27</f>
        <v>411.46300000000002</v>
      </c>
      <c r="E21" s="106">
        <f>E15*E11*E7*E10</f>
        <v>420.96915781199993</v>
      </c>
      <c r="F21" s="106">
        <f t="shared" ref="F21:H21" si="8">F15*F11*F7*F10</f>
        <v>452.6331391640519</v>
      </c>
      <c r="G21" s="106">
        <f t="shared" si="8"/>
        <v>484.15138741809835</v>
      </c>
      <c r="H21" s="106">
        <f t="shared" si="8"/>
        <v>498.67592904064134</v>
      </c>
      <c r="I21" s="106">
        <f t="shared" ref="I21" si="9">I15*I11*I7*I10</f>
        <v>513.63620691186065</v>
      </c>
    </row>
    <row r="22" spans="2:20" x14ac:dyDescent="0.2">
      <c r="B22" s="1" t="s">
        <v>192</v>
      </c>
      <c r="D22" s="105">
        <f>D20-D21</f>
        <v>2451.9759687999995</v>
      </c>
      <c r="E22" s="105">
        <f t="shared" ref="E22:I22" si="10">E20-E21</f>
        <v>2684.6259570480001</v>
      </c>
      <c r="F22" s="105">
        <f t="shared" si="10"/>
        <v>2677.307180003148</v>
      </c>
      <c r="G22" s="105">
        <f t="shared" si="10"/>
        <v>2770.9865445157898</v>
      </c>
      <c r="H22" s="105">
        <f t="shared" si="10"/>
        <v>2849.8427350811899</v>
      </c>
      <c r="I22" s="105">
        <f t="shared" si="10"/>
        <v>2935.3380171336266</v>
      </c>
    </row>
    <row r="23" spans="2:20" x14ac:dyDescent="0.2">
      <c r="B23" s="95"/>
      <c r="D23" s="106"/>
      <c r="E23" s="106"/>
      <c r="F23" s="106"/>
      <c r="G23" s="106"/>
      <c r="H23" s="106"/>
      <c r="I23" s="106"/>
    </row>
    <row r="24" spans="2:20" x14ac:dyDescent="0.2">
      <c r="B24" s="95" t="s">
        <v>193</v>
      </c>
      <c r="C24" s="95"/>
    </row>
    <row r="25" spans="2:20" x14ac:dyDescent="0.2">
      <c r="B25" s="1" t="s">
        <v>194</v>
      </c>
      <c r="C25" s="95"/>
      <c r="D25" s="2">
        <f>'Opgave 2'!L18</f>
        <v>21254</v>
      </c>
      <c r="E25" s="2">
        <f>E15*E7</f>
        <v>22632.75042</v>
      </c>
      <c r="F25" s="2">
        <f t="shared" ref="F25:I25" si="11">F15*F7</f>
        <v>23936.178697199997</v>
      </c>
      <c r="G25" s="2">
        <f t="shared" si="11"/>
        <v>25189.978533719997</v>
      </c>
      <c r="H25" s="2">
        <f t="shared" si="11"/>
        <v>25945.6778897316</v>
      </c>
      <c r="I25" s="2">
        <f t="shared" si="11"/>
        <v>26724.048226423551</v>
      </c>
    </row>
    <row r="26" spans="2:20" x14ac:dyDescent="0.2">
      <c r="B26" s="2" t="s">
        <v>195</v>
      </c>
      <c r="D26" s="33">
        <f>'Opgave 2'!L27</f>
        <v>13273</v>
      </c>
      <c r="E26" s="33">
        <f>E25*E10</f>
        <v>13579.650251999999</v>
      </c>
      <c r="F26" s="33">
        <f t="shared" ref="F26:I26" si="12">F25*F10</f>
        <v>14601.069005291998</v>
      </c>
      <c r="G26" s="33">
        <f t="shared" si="12"/>
        <v>15617.786690906398</v>
      </c>
      <c r="H26" s="33">
        <f t="shared" si="12"/>
        <v>16086.320291633592</v>
      </c>
      <c r="I26" s="33">
        <f t="shared" si="12"/>
        <v>16568.909900382601</v>
      </c>
    </row>
    <row r="27" spans="2:20" x14ac:dyDescent="0.2">
      <c r="B27" s="2" t="s">
        <v>178</v>
      </c>
      <c r="D27" s="105">
        <f>D25-D26</f>
        <v>7981</v>
      </c>
      <c r="E27" s="105">
        <f t="shared" ref="E27:I27" si="13">E25-E26</f>
        <v>9053.1001680000008</v>
      </c>
      <c r="F27" s="105">
        <f t="shared" si="13"/>
        <v>9335.1096919079991</v>
      </c>
      <c r="G27" s="105">
        <f t="shared" si="13"/>
        <v>9572.1918428135996</v>
      </c>
      <c r="H27" s="105">
        <f t="shared" si="13"/>
        <v>9859.3575980980077</v>
      </c>
      <c r="I27" s="105">
        <f t="shared" si="13"/>
        <v>10155.138326040949</v>
      </c>
    </row>
    <row r="28" spans="2:20" x14ac:dyDescent="0.2">
      <c r="D28" s="105"/>
      <c r="E28" s="105"/>
      <c r="F28" s="105"/>
      <c r="G28" s="105"/>
      <c r="H28" s="105"/>
      <c r="I28" s="105"/>
    </row>
    <row r="29" spans="2:20" x14ac:dyDescent="0.2">
      <c r="B29" s="1" t="s">
        <v>196</v>
      </c>
      <c r="D29" s="105"/>
      <c r="E29" s="105"/>
      <c r="F29" s="105"/>
      <c r="G29" s="105"/>
      <c r="H29" s="105"/>
      <c r="I29" s="105"/>
    </row>
    <row r="30" spans="2:20" x14ac:dyDescent="0.2">
      <c r="B30" s="2" t="s">
        <v>197</v>
      </c>
      <c r="C30" s="1"/>
      <c r="D30" s="33">
        <f>D20</f>
        <v>2863.4389687999997</v>
      </c>
      <c r="E30" s="33">
        <f t="shared" ref="E30:I30" si="14">E20</f>
        <v>3105.5951148600002</v>
      </c>
      <c r="F30" s="33">
        <f t="shared" si="14"/>
        <v>3129.9403191672</v>
      </c>
      <c r="G30" s="33">
        <f t="shared" si="14"/>
        <v>3255.137931933888</v>
      </c>
      <c r="H30" s="33">
        <f t="shared" si="14"/>
        <v>3348.5186641218311</v>
      </c>
      <c r="I30" s="33">
        <f t="shared" si="14"/>
        <v>3448.9742240454871</v>
      </c>
    </row>
    <row r="31" spans="2:20" ht="20" x14ac:dyDescent="0.2">
      <c r="B31" s="2" t="s">
        <v>198</v>
      </c>
      <c r="C31" s="18"/>
      <c r="D31" s="128">
        <f>E25-D25</f>
        <v>1378.7504200000003</v>
      </c>
      <c r="E31" s="128">
        <f t="shared" ref="E31:H31" si="15">F25-E25</f>
        <v>1303.428277199997</v>
      </c>
      <c r="F31" s="128">
        <f t="shared" si="15"/>
        <v>1253.7998365200001</v>
      </c>
      <c r="G31" s="128">
        <f t="shared" si="15"/>
        <v>755.6993560116025</v>
      </c>
      <c r="H31" s="128">
        <f t="shared" si="15"/>
        <v>778.3703366919508</v>
      </c>
      <c r="I31" s="127"/>
      <c r="K31" s="32"/>
    </row>
    <row r="32" spans="2:20" x14ac:dyDescent="0.2">
      <c r="B32" s="2" t="s">
        <v>211</v>
      </c>
      <c r="D32" s="33">
        <f>D30-D31</f>
        <v>1484.6885487999994</v>
      </c>
      <c r="E32" s="33">
        <f t="shared" ref="E32:H32" si="16">E30-E31</f>
        <v>1802.1668376600032</v>
      </c>
      <c r="F32" s="33">
        <f t="shared" si="16"/>
        <v>1876.1404826471999</v>
      </c>
      <c r="G32" s="33">
        <f t="shared" si="16"/>
        <v>2499.4385759222855</v>
      </c>
      <c r="H32" s="33">
        <f t="shared" si="16"/>
        <v>2570.1483274298803</v>
      </c>
      <c r="I32" s="33"/>
      <c r="L32" s="104"/>
      <c r="M32" s="104"/>
      <c r="N32" s="104"/>
      <c r="O32" s="104"/>
      <c r="P32" s="104"/>
      <c r="Q32" s="104"/>
      <c r="R32" s="104"/>
      <c r="S32" s="104"/>
      <c r="T32" s="104"/>
    </row>
    <row r="33" spans="2:20" x14ac:dyDescent="0.2">
      <c r="D33" s="33"/>
      <c r="E33" s="33"/>
      <c r="F33" s="33"/>
      <c r="G33" s="33"/>
      <c r="H33" s="33"/>
      <c r="I33" s="33"/>
      <c r="K33" s="95"/>
    </row>
    <row r="34" spans="2:20" x14ac:dyDescent="0.2">
      <c r="B34" s="1" t="s">
        <v>200</v>
      </c>
      <c r="D34" s="105">
        <f>D21-(E26-D26)</f>
        <v>104.81274800000057</v>
      </c>
      <c r="E34" s="105">
        <f t="shared" ref="E34:H34" si="17">E21-(F26-E26)</f>
        <v>-600.44959547999872</v>
      </c>
      <c r="F34" s="105">
        <f t="shared" si="17"/>
        <v>-564.08454645034772</v>
      </c>
      <c r="G34" s="105">
        <f t="shared" si="17"/>
        <v>15.617786690903927</v>
      </c>
      <c r="H34" s="105">
        <f t="shared" si="17"/>
        <v>16.086320291632205</v>
      </c>
      <c r="I34" s="105"/>
      <c r="L34" s="33"/>
      <c r="M34" s="33"/>
      <c r="N34" s="33"/>
      <c r="O34" s="33"/>
      <c r="P34" s="33"/>
      <c r="Q34" s="33"/>
      <c r="R34" s="33"/>
      <c r="S34" s="33"/>
      <c r="T34" s="33"/>
    </row>
    <row r="35" spans="2:20" ht="20" x14ac:dyDescent="0.2">
      <c r="B35" s="126" t="s">
        <v>212</v>
      </c>
      <c r="C35" s="32"/>
      <c r="D35" s="105">
        <f>D22-(E27-D27)</f>
        <v>1379.8758007999986</v>
      </c>
      <c r="E35" s="105">
        <f t="shared" ref="E35:H35" si="18">E22-(F27-E27)</f>
        <v>2402.6164331400018</v>
      </c>
      <c r="F35" s="105">
        <f t="shared" si="18"/>
        <v>2440.2250290975476</v>
      </c>
      <c r="G35" s="105">
        <f t="shared" si="18"/>
        <v>2483.8207892313817</v>
      </c>
      <c r="H35" s="105">
        <f t="shared" si="18"/>
        <v>2554.0620071382482</v>
      </c>
      <c r="M35" s="33"/>
      <c r="N35" s="33"/>
      <c r="O35" s="33"/>
      <c r="P35" s="33"/>
      <c r="Q35" s="33"/>
      <c r="R35" s="33"/>
      <c r="S35" s="33"/>
      <c r="T35" s="33"/>
    </row>
    <row r="36" spans="2:20" ht="20" x14ac:dyDescent="0.2">
      <c r="B36" s="58" t="s">
        <v>201</v>
      </c>
      <c r="C36" s="32"/>
      <c r="D36" s="129">
        <f>SUM(D34:D35)</f>
        <v>1484.6885487999991</v>
      </c>
      <c r="E36" s="129">
        <f t="shared" ref="E36:H36" si="19">SUM(E34:E35)</f>
        <v>1802.1668376600032</v>
      </c>
      <c r="F36" s="129">
        <f t="shared" si="19"/>
        <v>1876.1404826471999</v>
      </c>
      <c r="G36" s="129">
        <f t="shared" si="19"/>
        <v>2499.4385759222855</v>
      </c>
      <c r="H36" s="129">
        <f t="shared" si="19"/>
        <v>2570.1483274298803</v>
      </c>
      <c r="I36" s="130" t="s">
        <v>213</v>
      </c>
      <c r="M36" s="33"/>
      <c r="N36" s="33"/>
      <c r="O36" s="33"/>
      <c r="P36" s="33"/>
      <c r="Q36" s="33"/>
      <c r="R36" s="33"/>
      <c r="S36" s="33"/>
      <c r="T36" s="33"/>
    </row>
    <row r="37" spans="2:20" x14ac:dyDescent="0.2">
      <c r="B37" s="58" t="s">
        <v>145</v>
      </c>
      <c r="D37" s="33">
        <f>D36-D32</f>
        <v>0</v>
      </c>
      <c r="E37" s="33">
        <f t="shared" ref="E37:H37" si="20">E36-E32</f>
        <v>0</v>
      </c>
      <c r="F37" s="33">
        <f t="shared" si="20"/>
        <v>0</v>
      </c>
      <c r="G37" s="33">
        <f t="shared" si="20"/>
        <v>0</v>
      </c>
      <c r="H37" s="33">
        <f t="shared" si="20"/>
        <v>0</v>
      </c>
      <c r="I37" s="33"/>
      <c r="M37" s="33"/>
      <c r="N37" s="33"/>
      <c r="O37" s="33"/>
      <c r="P37" s="33"/>
      <c r="Q37" s="33"/>
      <c r="R37" s="33"/>
      <c r="S37" s="33"/>
      <c r="T37" s="33"/>
    </row>
    <row r="38" spans="2:20" x14ac:dyDescent="0.2">
      <c r="B38" s="2" t="s">
        <v>202</v>
      </c>
      <c r="D38" s="33"/>
      <c r="E38" s="33"/>
      <c r="F38" s="33"/>
      <c r="G38" s="33"/>
      <c r="H38" s="33"/>
      <c r="I38" s="107"/>
      <c r="M38" s="105"/>
      <c r="N38" s="105"/>
      <c r="O38" s="105"/>
      <c r="P38" s="105"/>
      <c r="Q38" s="105"/>
      <c r="R38" s="105"/>
      <c r="S38" s="105"/>
      <c r="T38" s="105"/>
    </row>
    <row r="39" spans="2:20" x14ac:dyDescent="0.2">
      <c r="B39" s="2" t="s">
        <v>199</v>
      </c>
      <c r="D39" s="33">
        <f>D32</f>
        <v>1484.6885487999994</v>
      </c>
      <c r="E39" s="33">
        <f t="shared" ref="E39:H39" si="21">E32</f>
        <v>1802.1668376600032</v>
      </c>
      <c r="F39" s="33">
        <f t="shared" si="21"/>
        <v>1876.1404826471999</v>
      </c>
      <c r="G39" s="33">
        <f t="shared" si="21"/>
        <v>2499.4385759222855</v>
      </c>
      <c r="H39" s="33">
        <f t="shared" si="21"/>
        <v>2570.1483274298803</v>
      </c>
      <c r="I39" s="33"/>
      <c r="M39" s="105"/>
      <c r="N39" s="105"/>
      <c r="O39" s="105"/>
      <c r="P39" s="105"/>
      <c r="Q39" s="105"/>
      <c r="R39" s="105"/>
      <c r="S39" s="105"/>
      <c r="T39" s="105"/>
    </row>
    <row r="40" spans="2:20" x14ac:dyDescent="0.2">
      <c r="B40" s="2" t="s">
        <v>203</v>
      </c>
      <c r="D40" s="105">
        <f>(1+$J$5)^D14</f>
        <v>1.07</v>
      </c>
      <c r="E40" s="105">
        <f t="shared" ref="E40:H40" si="22">(1+$J$5)^E14</f>
        <v>1.1449</v>
      </c>
      <c r="F40" s="105">
        <f t="shared" si="22"/>
        <v>1.2250430000000001</v>
      </c>
      <c r="G40" s="105">
        <f t="shared" si="22"/>
        <v>1.31079601</v>
      </c>
      <c r="H40" s="105">
        <f t="shared" si="22"/>
        <v>1.4025517307000002</v>
      </c>
      <c r="I40" s="105"/>
      <c r="K40" s="1"/>
      <c r="L40" s="1"/>
      <c r="M40" s="106"/>
      <c r="N40" s="106"/>
      <c r="O40" s="106"/>
      <c r="P40" s="106"/>
      <c r="Q40" s="106"/>
      <c r="R40" s="106"/>
      <c r="S40" s="106"/>
      <c r="T40" s="106"/>
    </row>
    <row r="41" spans="2:20" x14ac:dyDescent="0.2">
      <c r="B41" s="2" t="s">
        <v>204</v>
      </c>
      <c r="D41" s="33">
        <f>D39/D40</f>
        <v>1387.5593914018684</v>
      </c>
      <c r="E41" s="33">
        <f t="shared" ref="E41:H41" si="23">E39/E40</f>
        <v>1574.0823108219085</v>
      </c>
      <c r="F41" s="33">
        <f t="shared" si="23"/>
        <v>1531.4894927338876</v>
      </c>
      <c r="G41" s="33">
        <f t="shared" si="23"/>
        <v>1906.8097223779964</v>
      </c>
      <c r="H41" s="33">
        <f t="shared" si="23"/>
        <v>1832.4802366805707</v>
      </c>
      <c r="I41" s="33"/>
    </row>
    <row r="42" spans="2:20" x14ac:dyDescent="0.2">
      <c r="B42" s="2" t="s">
        <v>205</v>
      </c>
      <c r="D42" s="96">
        <f>SUM(D41:H41)</f>
        <v>8232.4211540162323</v>
      </c>
      <c r="E42" s="96"/>
      <c r="F42" s="96"/>
      <c r="G42" s="96"/>
      <c r="H42" s="96"/>
    </row>
    <row r="43" spans="2:20" x14ac:dyDescent="0.2">
      <c r="B43" s="2" t="s">
        <v>206</v>
      </c>
      <c r="D43" s="33"/>
      <c r="E43" s="33"/>
      <c r="F43" s="33"/>
      <c r="G43" s="33"/>
      <c r="H43" s="33">
        <f>H39*(1+I5)/K5</f>
        <v>66181.319431319411</v>
      </c>
      <c r="I43" s="33"/>
      <c r="K43" s="95"/>
    </row>
    <row r="44" spans="2:20" x14ac:dyDescent="0.2">
      <c r="B44" s="2" t="s">
        <v>207</v>
      </c>
      <c r="C44" s="95"/>
      <c r="D44" s="104">
        <f>H43/H40</f>
        <v>47186.366094524688</v>
      </c>
      <c r="E44" s="104"/>
      <c r="F44" s="104"/>
      <c r="G44" s="104"/>
      <c r="H44" s="104"/>
      <c r="I44" s="104"/>
      <c r="K44" s="95"/>
    </row>
    <row r="45" spans="2:20" x14ac:dyDescent="0.2">
      <c r="B45" s="1" t="s">
        <v>214</v>
      </c>
      <c r="D45" s="96">
        <f>SUM(D42:D44)</f>
        <v>55418.787248540917</v>
      </c>
      <c r="M45" s="33"/>
      <c r="N45" s="33"/>
      <c r="O45" s="33"/>
      <c r="P45" s="33"/>
      <c r="Q45" s="33"/>
      <c r="R45" s="33"/>
      <c r="S45" s="33"/>
      <c r="T45" s="33"/>
    </row>
    <row r="46" spans="2:20" x14ac:dyDescent="0.2">
      <c r="B46" s="2" t="s">
        <v>195</v>
      </c>
      <c r="D46" s="105">
        <f>D26</f>
        <v>13273</v>
      </c>
      <c r="E46" s="105"/>
      <c r="F46" s="105"/>
      <c r="G46" s="105"/>
      <c r="H46" s="105"/>
      <c r="I46" s="105"/>
      <c r="M46" s="105"/>
      <c r="N46" s="105"/>
      <c r="O46" s="105"/>
      <c r="P46" s="105"/>
      <c r="Q46" s="105"/>
      <c r="R46" s="105"/>
      <c r="S46" s="105"/>
      <c r="T46" s="105"/>
    </row>
    <row r="47" spans="2:20" x14ac:dyDescent="0.2">
      <c r="B47" s="1" t="s">
        <v>208</v>
      </c>
      <c r="D47" s="105">
        <f>D45-D46</f>
        <v>42145.787248540917</v>
      </c>
      <c r="E47" s="105"/>
      <c r="F47" s="105"/>
      <c r="G47" s="105"/>
      <c r="H47" s="105"/>
      <c r="I47" s="105"/>
      <c r="M47" s="105"/>
      <c r="N47" s="105"/>
      <c r="O47" s="105"/>
      <c r="P47" s="105"/>
      <c r="Q47" s="105"/>
      <c r="R47" s="105"/>
      <c r="S47" s="105"/>
      <c r="T47" s="105"/>
    </row>
    <row r="48" spans="2:20" x14ac:dyDescent="0.2">
      <c r="B48" s="2" t="s">
        <v>209</v>
      </c>
      <c r="D48" s="105">
        <v>1986</v>
      </c>
      <c r="E48" s="105"/>
      <c r="F48" s="105"/>
      <c r="G48" s="105"/>
      <c r="H48" s="105"/>
      <c r="I48" s="105"/>
      <c r="M48" s="105"/>
      <c r="N48" s="105"/>
      <c r="O48" s="105"/>
      <c r="P48" s="105"/>
      <c r="Q48" s="105"/>
      <c r="R48" s="105"/>
      <c r="S48" s="105"/>
      <c r="T48" s="105"/>
    </row>
    <row r="49" spans="2:20" x14ac:dyDescent="0.2">
      <c r="B49" s="1" t="s">
        <v>210</v>
      </c>
      <c r="C49" s="1"/>
      <c r="D49" s="108">
        <f>D47/D48</f>
        <v>21.22144373038314</v>
      </c>
      <c r="E49" s="108"/>
      <c r="F49" s="108"/>
      <c r="G49" s="108"/>
      <c r="H49" s="108"/>
      <c r="K49" s="1"/>
      <c r="L49" s="34"/>
      <c r="M49" s="34"/>
      <c r="N49" s="34"/>
      <c r="O49" s="34"/>
      <c r="P49" s="34"/>
      <c r="Q49" s="34"/>
      <c r="R49" s="34"/>
      <c r="S49" s="34"/>
      <c r="T49" s="34"/>
    </row>
    <row r="50" spans="2:20" x14ac:dyDescent="0.2">
      <c r="D50" s="64"/>
      <c r="E50" s="64"/>
      <c r="F50" s="64"/>
      <c r="G50" s="64"/>
      <c r="H50" s="64"/>
      <c r="K50" s="18"/>
      <c r="L50" s="35"/>
      <c r="M50" s="36"/>
      <c r="N50" s="36"/>
      <c r="O50" s="36"/>
      <c r="P50" s="36"/>
      <c r="Q50" s="36"/>
      <c r="R50" s="36"/>
      <c r="S50" s="36"/>
      <c r="T50" s="36"/>
    </row>
    <row r="51" spans="2:20" x14ac:dyDescent="0.2">
      <c r="B51" s="2" t="s">
        <v>215</v>
      </c>
      <c r="C51" s="1"/>
      <c r="D51" s="105"/>
      <c r="L51" s="33"/>
      <c r="M51" s="33"/>
      <c r="N51" s="33"/>
      <c r="O51" s="33"/>
      <c r="P51" s="33"/>
      <c r="Q51" s="33"/>
      <c r="R51" s="33"/>
      <c r="S51" s="33"/>
      <c r="T51" s="33"/>
    </row>
    <row r="52" spans="2:20" x14ac:dyDescent="0.2">
      <c r="H52" s="109"/>
      <c r="L52" s="33"/>
      <c r="M52" s="33"/>
      <c r="N52" s="33"/>
      <c r="O52" s="33"/>
      <c r="P52" s="33"/>
      <c r="Q52" s="33"/>
      <c r="R52" s="33"/>
      <c r="S52" s="33"/>
      <c r="T52" s="33"/>
    </row>
    <row r="53" spans="2:20" x14ac:dyDescent="0.2">
      <c r="B53" s="1"/>
      <c r="C53" s="1"/>
      <c r="D53" s="105"/>
    </row>
    <row r="54" spans="2:20" x14ac:dyDescent="0.2">
      <c r="D54" s="105"/>
    </row>
    <row r="55" spans="2:20" x14ac:dyDescent="0.2">
      <c r="D55" s="105"/>
    </row>
    <row r="56" spans="2:20" x14ac:dyDescent="0.2">
      <c r="D56" s="105"/>
    </row>
    <row r="57" spans="2:20" x14ac:dyDescent="0.2">
      <c r="D57" s="110"/>
    </row>
    <row r="58" spans="2:20" x14ac:dyDescent="0.2">
      <c r="B58" s="1"/>
      <c r="C58" s="1"/>
      <c r="D58" s="111"/>
    </row>
    <row r="59" spans="2:20" ht="20" x14ac:dyDescent="0.2">
      <c r="B59" s="32"/>
    </row>
    <row r="60" spans="2:20" x14ac:dyDescent="0.2">
      <c r="D60" s="105"/>
      <c r="E60" s="105"/>
      <c r="F60" s="105"/>
      <c r="G60" s="105"/>
      <c r="H60" s="105"/>
    </row>
    <row r="61" spans="2:20" x14ac:dyDescent="0.2">
      <c r="B61" s="1"/>
      <c r="D61" s="108"/>
      <c r="E61" s="108"/>
      <c r="F61" s="108"/>
      <c r="G61" s="108"/>
      <c r="H61" s="108"/>
    </row>
    <row r="62" spans="2:20" x14ac:dyDescent="0.2">
      <c r="D62" s="105"/>
      <c r="E62" s="105"/>
      <c r="F62" s="105"/>
      <c r="G62" s="105"/>
      <c r="H62" s="105"/>
    </row>
    <row r="63" spans="2:20" x14ac:dyDescent="0.2">
      <c r="D63" s="105"/>
    </row>
    <row r="64" spans="2:20" x14ac:dyDescent="0.2">
      <c r="H64" s="109"/>
    </row>
    <row r="65" spans="2:4" x14ac:dyDescent="0.2">
      <c r="D65" s="105"/>
    </row>
    <row r="66" spans="2:4" x14ac:dyDescent="0.2">
      <c r="D66" s="105"/>
    </row>
    <row r="67" spans="2:4" x14ac:dyDescent="0.2">
      <c r="D67" s="105"/>
    </row>
    <row r="68" spans="2:4" x14ac:dyDescent="0.2">
      <c r="D68" s="105"/>
    </row>
    <row r="69" spans="2:4" x14ac:dyDescent="0.2">
      <c r="D69" s="110"/>
    </row>
    <row r="70" spans="2:4" x14ac:dyDescent="0.2">
      <c r="B70" s="1"/>
      <c r="D70" s="111"/>
    </row>
  </sheetData>
  <mergeCells count="1">
    <mergeCell ref="D3:H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Opgave 1</vt:lpstr>
      <vt:lpstr>Opgave 2</vt:lpstr>
      <vt:lpstr>Opgave 3</vt:lpstr>
      <vt:lpstr>Opgave 4</vt:lpstr>
    </vt:vector>
  </TitlesOfParts>
  <Company>CBS - Copenhagen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Vagn Sørensen</dc:creator>
  <cp:lastModifiedBy>Jeppe Vanderhaegen</cp:lastModifiedBy>
  <cp:lastPrinted>2023-05-09T08:59:07Z</cp:lastPrinted>
  <dcterms:created xsi:type="dcterms:W3CDTF">2023-02-13T13:58:55Z</dcterms:created>
  <dcterms:modified xsi:type="dcterms:W3CDTF">2024-06-17T15:36:08Z</dcterms:modified>
</cp:coreProperties>
</file>