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7" firstSheet="5" activeTab="9"/>
  </bookViews>
  <sheets>
    <sheet name="Filmetrics数据转换" sheetId="19" state="hidden" r:id="rId1"/>
    <sheet name="膜厚记录及曲线对照表" sheetId="2" state="hidden" r:id="rId2"/>
    <sheet name="Title Infomation" sheetId="9" state="hidden" r:id="rId3"/>
    <sheet name="Product Material" sheetId="8" state="hidden" r:id="rId4"/>
    <sheet name="MCS standard curve" sheetId="7" state="hidden" r:id="rId5"/>
    <sheet name="CIE标准照明体A、B、C、D相对光谱功率分布—S(λ)" sheetId="14" r:id="rId6"/>
    <sheet name="CIE标准色度系统色匹配函数和色品坐标" sheetId="13" r:id="rId7"/>
    <sheet name="Lab value_Cal." sheetId="10" state="hidden" r:id="rId8"/>
    <sheet name="计算光源Xn，Yn，Zn的数值" sheetId="21" r:id="rId9"/>
    <sheet name="RGB→Lab" sheetId="20" r:id="rId10"/>
    <sheet name="RUV cal." sheetId="15" state="hidden" r:id="rId11"/>
  </sheets>
  <definedNames>
    <definedName name="_xlnm.Print_Area" localSheetId="1">膜厚记录及曲线对照表!$A$1:$AL$125</definedName>
  </definedNames>
  <calcPr calcId="144525"/>
</workbook>
</file>

<file path=xl/comments1.xml><?xml version="1.0" encoding="utf-8"?>
<comments xmlns="http://schemas.openxmlformats.org/spreadsheetml/2006/main">
  <authors>
    <author>Chen, Alex</author>
  </authors>
  <commentList>
    <comment ref="C82" authorId="0">
      <text>
        <r>
          <rPr>
            <b/>
            <sz val="9"/>
            <rFont val="宋体"/>
            <charset val="134"/>
          </rPr>
          <t>Chen, Alex:</t>
        </r>
        <r>
          <rPr>
            <sz val="9"/>
            <rFont val="宋体"/>
            <charset val="134"/>
          </rPr>
          <t xml:space="preserve">
模拟补齐数据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适用于hunterlab C/2的L*a*b*值计算</t>
        </r>
      </text>
    </commen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适用于现有的MCS/hunterlab D65/10的L*a*b*值计算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更新后为小数点后4位，更精准；原附表为小数点后1位</t>
        </r>
      </text>
    </comment>
    <comment ref="M20" authorId="0">
      <text>
        <r>
          <rPr>
            <b/>
            <sz val="8"/>
            <rFont val="Tahoma"/>
            <charset val="134"/>
          </rPr>
          <t>作者:</t>
        </r>
        <r>
          <rPr>
            <sz val="8"/>
            <rFont val="Tahoma"/>
            <charset val="134"/>
          </rPr>
          <t xml:space="preserve">
1931 standard colorimetric observer</t>
        </r>
      </text>
    </comment>
    <comment ref="R20" authorId="0">
      <text>
        <r>
          <rPr>
            <b/>
            <sz val="8"/>
            <rFont val="Tahoma"/>
            <charset val="134"/>
          </rPr>
          <t>作者:</t>
        </r>
        <r>
          <rPr>
            <sz val="8"/>
            <rFont val="Tahoma"/>
            <charset val="134"/>
          </rPr>
          <t xml:space="preserve">
1931 standard colorimetric observer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8"/>
            <rFont val="Tahoma"/>
            <charset val="134"/>
          </rPr>
          <t>作者:</t>
        </r>
        <r>
          <rPr>
            <sz val="8"/>
            <rFont val="Tahoma"/>
            <charset val="134"/>
          </rPr>
          <t xml:space="preserve">
1931 standard colorimetric observer</t>
        </r>
      </text>
    </comment>
    <comment ref="G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更新后为小数点后4位，更精准；原附表为小数点后1位</t>
        </r>
      </text>
    </comment>
  </commentList>
</comments>
</file>

<file path=xl/comments5.xml><?xml version="1.0" encoding="utf-8"?>
<comments xmlns="http://schemas.openxmlformats.org/spreadsheetml/2006/main">
  <authors>
    <author>Wu, Asdic</author>
  </authors>
  <commentList>
    <comment ref="A17" authorId="0">
      <text>
        <r>
          <rPr>
            <b/>
            <sz val="9"/>
            <rFont val="宋体"/>
            <charset val="134"/>
          </rPr>
          <t>Wu, Asdic:</t>
        </r>
        <r>
          <rPr>
            <sz val="9"/>
            <rFont val="宋体"/>
            <charset val="134"/>
          </rPr>
          <t xml:space="preserve">
根据光源的相对功率分布，可以计算出来，可以参考上个界面</t>
        </r>
      </text>
    </comment>
  </commentList>
</comments>
</file>

<file path=xl/sharedStrings.xml><?xml version="1.0" encoding="utf-8"?>
<sst xmlns="http://schemas.openxmlformats.org/spreadsheetml/2006/main" count="475" uniqueCount="234">
  <si>
    <t>Wavelength (nm)</t>
  </si>
  <si>
    <t xml:space="preserve"> "Reflectance (%)"</t>
  </si>
  <si>
    <t>波长</t>
  </si>
  <si>
    <t>转换数据</t>
  </si>
  <si>
    <t>机台</t>
  </si>
  <si>
    <t>基材</t>
  </si>
  <si>
    <t>中间层</t>
  </si>
  <si>
    <t>AR膜系</t>
  </si>
  <si>
    <t>膜厚记录及曲线对照表</t>
  </si>
  <si>
    <t>日期：</t>
  </si>
  <si>
    <t>Y</t>
  </si>
  <si>
    <t>/M</t>
  </si>
  <si>
    <t>/D</t>
  </si>
  <si>
    <t>N/A</t>
  </si>
  <si>
    <t>起始面</t>
  </si>
  <si>
    <t>对比面</t>
  </si>
  <si>
    <r>
      <rPr>
        <b/>
        <sz val="14"/>
        <color theme="1"/>
        <rFont val="宋体"/>
        <charset val="134"/>
        <scheme val="minor"/>
      </rPr>
      <t>Diff</t>
    </r>
    <r>
      <rPr>
        <b/>
        <sz val="11"/>
        <color theme="1"/>
        <rFont val="宋体"/>
        <charset val="134"/>
        <scheme val="minor"/>
      </rPr>
      <t xml:space="preserve">
(对比面-起始面)</t>
    </r>
  </si>
  <si>
    <r>
      <rPr>
        <b/>
        <sz val="14"/>
        <color theme="1"/>
        <rFont val="宋体"/>
        <charset val="134"/>
        <scheme val="minor"/>
      </rPr>
      <t>Ratio</t>
    </r>
    <r>
      <rPr>
        <b/>
        <sz val="11"/>
        <color theme="1"/>
        <rFont val="宋体"/>
        <charset val="134"/>
        <scheme val="minor"/>
      </rPr>
      <t xml:space="preserve">
（对比面/起始面）</t>
    </r>
  </si>
  <si>
    <t>Thickness Record</t>
  </si>
  <si>
    <t>Material</t>
  </si>
  <si>
    <t>晶振片使用面数</t>
  </si>
  <si>
    <t>Curve Data</t>
  </si>
  <si>
    <t>标准线</t>
  </si>
  <si>
    <t>RUV</t>
  </si>
  <si>
    <t>Color Data</t>
  </si>
  <si>
    <t>D65</t>
  </si>
  <si>
    <t>/10</t>
  </si>
  <si>
    <t>L*</t>
  </si>
  <si>
    <t>a*</t>
  </si>
  <si>
    <t>b*</t>
  </si>
  <si>
    <r>
      <rPr>
        <b/>
        <sz val="14"/>
        <color theme="1"/>
        <rFont val="宋体"/>
        <charset val="134"/>
        <scheme val="minor"/>
      </rPr>
      <t>R%</t>
    </r>
    <r>
      <rPr>
        <b/>
        <sz val="9"/>
        <color theme="1"/>
        <rFont val="宋体"/>
        <charset val="134"/>
        <scheme val="minor"/>
      </rPr>
      <t>@750nm</t>
    </r>
  </si>
  <si>
    <t>加硬层</t>
  </si>
  <si>
    <t>1#机</t>
  </si>
  <si>
    <t>1.5/CR</t>
  </si>
  <si>
    <t>PF</t>
  </si>
  <si>
    <t>TS56H</t>
  </si>
  <si>
    <t>DVP</t>
  </si>
  <si>
    <t>/1</t>
  </si>
  <si>
    <t>2#机</t>
  </si>
  <si>
    <t>1.59/PC</t>
  </si>
  <si>
    <t>Sniper</t>
  </si>
  <si>
    <t>F14</t>
  </si>
  <si>
    <t>DVPz</t>
  </si>
  <si>
    <t>/2</t>
  </si>
  <si>
    <t>3#机</t>
  </si>
  <si>
    <t>Primer</t>
  </si>
  <si>
    <t>IM9060</t>
  </si>
  <si>
    <t>BUV DVP</t>
  </si>
  <si>
    <t>/3</t>
  </si>
  <si>
    <t>4#机</t>
  </si>
  <si>
    <t>HH3</t>
  </si>
  <si>
    <t>BUV DVBP</t>
  </si>
  <si>
    <t>/4</t>
  </si>
  <si>
    <t>5#机</t>
  </si>
  <si>
    <t>HH4</t>
  </si>
  <si>
    <t>DVS</t>
  </si>
  <si>
    <t>/5</t>
  </si>
  <si>
    <t>6#机</t>
  </si>
  <si>
    <t>F08</t>
  </si>
  <si>
    <t>HMC+</t>
  </si>
  <si>
    <t>/6</t>
  </si>
  <si>
    <t>7#机</t>
  </si>
  <si>
    <t>HMCX</t>
  </si>
  <si>
    <t>/7</t>
  </si>
  <si>
    <t>8#机</t>
  </si>
  <si>
    <t>HMCXz</t>
  </si>
  <si>
    <t>/8</t>
  </si>
  <si>
    <t>9#机</t>
  </si>
  <si>
    <t>LT</t>
  </si>
  <si>
    <t>/9</t>
  </si>
  <si>
    <t>10#机</t>
  </si>
  <si>
    <t>11#机</t>
  </si>
  <si>
    <t>/11</t>
  </si>
  <si>
    <t>12#机</t>
  </si>
  <si>
    <t>/12</t>
  </si>
  <si>
    <t>13#机</t>
  </si>
  <si>
    <t>/13</t>
  </si>
  <si>
    <t>14#机</t>
  </si>
  <si>
    <t>/14</t>
  </si>
  <si>
    <t>15#机</t>
  </si>
  <si>
    <t>/15</t>
  </si>
  <si>
    <t>16#机</t>
  </si>
  <si>
    <t>/16</t>
  </si>
  <si>
    <t>17#机</t>
  </si>
  <si>
    <t>/17</t>
  </si>
  <si>
    <t>18#机</t>
  </si>
  <si>
    <t>/18</t>
  </si>
  <si>
    <t>19#机</t>
  </si>
  <si>
    <t>/19</t>
  </si>
  <si>
    <t>20#机</t>
  </si>
  <si>
    <t>/20</t>
  </si>
  <si>
    <t>21#机</t>
  </si>
  <si>
    <t>/21</t>
  </si>
  <si>
    <t>22#机</t>
  </si>
  <si>
    <t>/22</t>
  </si>
  <si>
    <t>23#机</t>
  </si>
  <si>
    <t>/23</t>
  </si>
  <si>
    <t>24#机</t>
  </si>
  <si>
    <t>/24</t>
  </si>
  <si>
    <t>25#机</t>
  </si>
  <si>
    <t>/25</t>
  </si>
  <si>
    <t>26#机</t>
  </si>
  <si>
    <t>/26</t>
  </si>
  <si>
    <t>27#机</t>
  </si>
  <si>
    <t>/27</t>
  </si>
  <si>
    <t>28#机</t>
  </si>
  <si>
    <t>/28</t>
  </si>
  <si>
    <t>29#机</t>
  </si>
  <si>
    <t>/29</t>
  </si>
  <si>
    <t>30#机</t>
  </si>
  <si>
    <t>/30</t>
  </si>
  <si>
    <t>31#机</t>
  </si>
  <si>
    <t>/31</t>
  </si>
  <si>
    <t>32#机</t>
  </si>
  <si>
    <t>33#机</t>
  </si>
  <si>
    <t>34#机</t>
  </si>
  <si>
    <t>35#机</t>
  </si>
  <si>
    <t>36#机</t>
  </si>
  <si>
    <t>37#机</t>
  </si>
  <si>
    <t>38#机</t>
  </si>
  <si>
    <t>39#机</t>
  </si>
  <si>
    <t>40#机</t>
  </si>
  <si>
    <t>41#机</t>
  </si>
  <si>
    <t>42#机</t>
  </si>
  <si>
    <t>43#机</t>
  </si>
  <si>
    <t>44#机</t>
  </si>
  <si>
    <t>45#机</t>
  </si>
  <si>
    <t>46#机</t>
  </si>
  <si>
    <t>AR Coating</t>
  </si>
  <si>
    <t>\</t>
  </si>
  <si>
    <t>SA1G</t>
  </si>
  <si>
    <t>ZrO2</t>
  </si>
  <si>
    <t>SiO2</t>
  </si>
  <si>
    <t>Al2O3</t>
  </si>
  <si>
    <t>ZrO</t>
  </si>
  <si>
    <t>ITO</t>
  </si>
  <si>
    <t>S5F</t>
  </si>
  <si>
    <t>S15G</t>
  </si>
  <si>
    <t>各膜系标准曲线数据</t>
  </si>
  <si>
    <t>wave</t>
  </si>
  <si>
    <t>1.74_BV93(aligned with DVS)</t>
  </si>
  <si>
    <t>167AS_TEF</t>
  </si>
  <si>
    <t>BV44_46 cc</t>
  </si>
  <si>
    <t>BV44_46 cx</t>
  </si>
  <si>
    <t>BV60</t>
  </si>
  <si>
    <t>BV62</t>
  </si>
  <si>
    <t>BV64 V2</t>
  </si>
  <si>
    <t>BV64_66 ZIR</t>
  </si>
  <si>
    <t>CNMA_1.6_DVS(BV96)</t>
  </si>
  <si>
    <t>CNMA_1.60DMO</t>
  </si>
  <si>
    <t>CNMA_15LT(decent)</t>
  </si>
  <si>
    <t>CNMA_15LT</t>
  </si>
  <si>
    <t>CNMA_167LT</t>
  </si>
  <si>
    <t>CNMA_CR_DVS</t>
  </si>
  <si>
    <t>CNMA_CR_Teflon</t>
  </si>
  <si>
    <t>CNMA_HMCXz</t>
  </si>
  <si>
    <t>CNMA_HMC</t>
  </si>
  <si>
    <t>CIE标准照明体A、B、C、D相对光谱功率分布</t>
  </si>
  <si>
    <t>波长/nm</t>
  </si>
  <si>
    <t>A</t>
  </si>
  <si>
    <t>B</t>
  </si>
  <si>
    <t>C</t>
  </si>
  <si>
    <t>标准色度系统色匹配函数和色品坐标</t>
  </si>
  <si>
    <t>CIE1931 2°色匹配函数</t>
  </si>
  <si>
    <t>色品坐标</t>
  </si>
  <si>
    <t>CIE1964 10°色匹配函数</t>
  </si>
  <si>
    <t>λ</t>
  </si>
  <si>
    <t>xbar</t>
  </si>
  <si>
    <t>ybar</t>
  </si>
  <si>
    <t>zbar</t>
  </si>
  <si>
    <t>x</t>
  </si>
  <si>
    <t>y</t>
  </si>
  <si>
    <t>X_bar</t>
  </si>
  <si>
    <t>Y_bar</t>
  </si>
  <si>
    <t>Z_bar</t>
  </si>
  <si>
    <t>R%</t>
  </si>
  <si>
    <t>色匹配函数</t>
  </si>
  <si>
    <t>CIE 1931 XYZ</t>
  </si>
  <si>
    <t>Reference white</t>
  </si>
  <si>
    <t>Xn</t>
  </si>
  <si>
    <t>Yn</t>
  </si>
  <si>
    <t>Zn</t>
  </si>
  <si>
    <t>Target</t>
  </si>
  <si>
    <t>X</t>
  </si>
  <si>
    <t>Z</t>
  </si>
  <si>
    <t>Measure</t>
  </si>
  <si>
    <t>Measured</t>
  </si>
  <si>
    <t>Transformation</t>
  </si>
  <si>
    <t>X/Xn</t>
  </si>
  <si>
    <t>Y/Yn</t>
  </si>
  <si>
    <t>Z/Zn</t>
  </si>
  <si>
    <t>f(X/Xn)</t>
  </si>
  <si>
    <t>f(Y/Yn)</t>
  </si>
  <si>
    <t>f(Z/Zn)</t>
  </si>
  <si>
    <t>1976 CIELab</t>
  </si>
  <si>
    <t>C*</t>
  </si>
  <si>
    <t>h*</t>
  </si>
  <si>
    <t>SL</t>
  </si>
  <si>
    <t>SC</t>
  </si>
  <si>
    <t>SH</t>
  </si>
  <si>
    <t>DL*</t>
  </si>
  <si>
    <t>DC*</t>
  </si>
  <si>
    <t>DH*</t>
  </si>
  <si>
    <t>f</t>
  </si>
  <si>
    <t>T</t>
  </si>
  <si>
    <t>CMC(2:1) DE</t>
  </si>
  <si>
    <t>sRGB</t>
  </si>
  <si>
    <t>R</t>
  </si>
  <si>
    <t>G</t>
  </si>
  <si>
    <t>PAL/SECAM RGB</t>
  </si>
  <si>
    <t>r/255</t>
  </si>
  <si>
    <t>g/255</t>
  </si>
  <si>
    <t>b/255</t>
  </si>
  <si>
    <t>M</t>
  </si>
  <si>
    <t>r</t>
  </si>
  <si>
    <t>g</t>
  </si>
  <si>
    <t>b</t>
  </si>
  <si>
    <t>Apple (1998)</t>
  </si>
  <si>
    <t>Adobe RGB (1998)</t>
  </si>
  <si>
    <t>CIE</t>
  </si>
  <si>
    <t>E</t>
  </si>
  <si>
    <t>SMPTE-C RGB</t>
  </si>
  <si>
    <t>BRUCE RGB</t>
  </si>
  <si>
    <t>色彩标准/滤镜处理</t>
  </si>
  <si>
    <t>光源类型</t>
  </si>
  <si>
    <t>R/255</t>
  </si>
  <si>
    <t>G/255</t>
  </si>
  <si>
    <t>B/255</t>
  </si>
  <si>
    <t>RGB→rgb</t>
  </si>
  <si>
    <t>rgb→XYZ</t>
  </si>
  <si>
    <t>M转化矩阵  不稳定 需要实时调整</t>
  </si>
  <si>
    <t>备注：rgb与M转化矩阵相乘</t>
  </si>
  <si>
    <t>标准:</t>
  </si>
  <si>
    <t>Weights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</si>
</sst>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.0"/>
    <numFmt numFmtId="177" formatCode="0.0000"/>
    <numFmt numFmtId="42" formatCode="_ &quot;￥&quot;* #,##0_ ;_ &quot;￥&quot;* \-#,##0_ ;_ &quot;￥&quot;* &quot;-&quot;_ ;_ @_ "/>
    <numFmt numFmtId="178" formatCode="0.000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%"/>
    <numFmt numFmtId="180" formatCode="0.0_ "/>
  </numFmts>
  <fonts count="5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rgb="FF000000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name val="ms ui gothic"/>
      <charset val="134"/>
    </font>
    <font>
      <b/>
      <sz val="11"/>
      <name val="ms ui gothic"/>
      <charset val="128"/>
    </font>
    <font>
      <sz val="10"/>
      <color rgb="FF000000"/>
      <name val="Arial Unicode MS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6"/>
      <color rgb="FF0070C0"/>
      <name val="宋体"/>
      <charset val="134"/>
      <scheme val="minor"/>
    </font>
    <font>
      <sz val="11"/>
      <name val="ms ui gothic"/>
      <charset val="134"/>
    </font>
    <font>
      <sz val="11"/>
      <color indexed="14"/>
      <name val="MS UI Gothic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24"/>
      <color theme="1"/>
      <name val="宋体"/>
      <charset val="134"/>
      <scheme val="minor"/>
    </font>
    <font>
      <b/>
      <u/>
      <sz val="2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6"/>
      <color rgb="FF92D05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theme="9" tint="0.399945066682943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/>
      <diagonal/>
    </border>
    <border>
      <left style="double">
        <color rgb="FF00B050"/>
      </left>
      <right style="double">
        <color rgb="FF00B050"/>
      </right>
      <top/>
      <bottom style="double">
        <color rgb="FF00B050"/>
      </bottom>
      <diagonal/>
    </border>
    <border>
      <left style="double">
        <color rgb="FF00B050"/>
      </left>
      <right style="thin">
        <color auto="1"/>
      </right>
      <top style="double">
        <color rgb="FF00B050"/>
      </top>
      <bottom style="double">
        <color rgb="FF00B050"/>
      </bottom>
      <diagonal/>
    </border>
    <border>
      <left style="thin">
        <color auto="1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rgb="FF00B050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FF0000"/>
      </left>
      <right style="thin">
        <color auto="1"/>
      </right>
      <top style="double">
        <color rgb="FFFF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medium">
        <color auto="1"/>
      </bottom>
      <diagonal/>
    </border>
    <border>
      <left style="double">
        <color rgb="FFFF0000"/>
      </left>
      <right style="thin">
        <color auto="1"/>
      </right>
      <top/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medium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rgb="FFFF0000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thin">
        <color auto="1"/>
      </left>
      <right/>
      <top style="double">
        <color rgb="FFFF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rgb="FFFF0000"/>
      </bottom>
      <diagonal/>
    </border>
    <border>
      <left style="thin">
        <color auto="1"/>
      </left>
      <right style="double">
        <color rgb="FFFF0000"/>
      </right>
      <top style="double">
        <color rgb="FFFF0000"/>
      </top>
      <bottom style="medium">
        <color auto="1"/>
      </bottom>
      <diagonal/>
    </border>
    <border>
      <left style="thin">
        <color auto="1"/>
      </left>
      <right style="double">
        <color rgb="FFFF0000"/>
      </right>
      <top/>
      <bottom style="thin">
        <color auto="1"/>
      </bottom>
      <diagonal/>
    </border>
    <border>
      <left style="thin">
        <color auto="1"/>
      </left>
      <right style="double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FF0000"/>
      </right>
      <top style="medium">
        <color auto="1"/>
      </top>
      <bottom style="double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rgb="FFFF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32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7" fillId="19" borderId="86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0" borderId="87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88" applyNumberFormat="0" applyFill="0" applyAlignment="0" applyProtection="0">
      <alignment vertical="center"/>
    </xf>
    <xf numFmtId="0" fontId="44" fillId="0" borderId="8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9" fillId="0" borderId="89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5" fillId="27" borderId="90" applyNumberFormat="0" applyAlignment="0" applyProtection="0">
      <alignment vertical="center"/>
    </xf>
    <xf numFmtId="0" fontId="46" fillId="27" borderId="86" applyNumberFormat="0" applyAlignment="0" applyProtection="0">
      <alignment vertical="center"/>
    </xf>
    <xf numFmtId="0" fontId="47" fillId="28" borderId="91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4" fillId="0" borderId="84" applyNumberFormat="0" applyFill="0" applyAlignment="0" applyProtection="0">
      <alignment vertical="center"/>
    </xf>
    <xf numFmtId="0" fontId="36" fillId="0" borderId="85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50" fillId="0" borderId="0"/>
    <xf numFmtId="0" fontId="14" fillId="0" borderId="0">
      <alignment vertical="center"/>
    </xf>
    <xf numFmtId="0" fontId="50" fillId="0" borderId="0"/>
  </cellStyleXfs>
  <cellXfs count="2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4" borderId="1" xfId="49" applyNumberFormat="1" applyFont="1" applyFill="1" applyBorder="1" applyAlignment="1">
      <alignment horizontal="center" vertical="center"/>
    </xf>
    <xf numFmtId="2" fontId="5" fillId="4" borderId="1" xfId="49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2" fontId="10" fillId="6" borderId="8" xfId="0" applyNumberFormat="1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49" applyFont="1" applyBorder="1" applyAlignment="1">
      <alignment horizontal="center" vertical="center"/>
    </xf>
    <xf numFmtId="0" fontId="5" fillId="4" borderId="1" xfId="49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14" fillId="0" borderId="0" xfId="49" applyFont="1" applyBorder="1" applyAlignment="1">
      <alignment vertical="center"/>
    </xf>
    <xf numFmtId="0" fontId="0" fillId="0" borderId="0" xfId="0" applyBorder="1"/>
    <xf numFmtId="0" fontId="0" fillId="0" borderId="11" xfId="0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4" fillId="0" borderId="1" xfId="50" applyFont="1" applyBorder="1" applyAlignment="1">
      <alignment horizontal="center"/>
    </xf>
    <xf numFmtId="2" fontId="14" fillId="0" borderId="1" xfId="50" applyNumberFormat="1" applyFont="1" applyBorder="1" applyAlignment="1">
      <alignment horizontal="center" vertical="center"/>
    </xf>
    <xf numFmtId="2" fontId="14" fillId="0" borderId="1" xfId="49" applyNumberFormat="1" applyFont="1" applyBorder="1" applyAlignment="1">
      <alignment horizontal="center" vertical="center"/>
    </xf>
    <xf numFmtId="0" fontId="15" fillId="0" borderId="1" xfId="49" applyFont="1" applyBorder="1" applyAlignment="1">
      <alignment horizontal="center" vertical="center"/>
    </xf>
    <xf numFmtId="2" fontId="14" fillId="0" borderId="1" xfId="51" applyNumberFormat="1" applyFont="1" applyFill="1" applyBorder="1" applyAlignment="1">
      <alignment horizontal="center" vertical="center"/>
    </xf>
    <xf numFmtId="0" fontId="14" fillId="0" borderId="0" xfId="49" applyFont="1" applyBorder="1" applyAlignment="1">
      <alignment horizontal="center" vertical="center"/>
    </xf>
    <xf numFmtId="0" fontId="15" fillId="0" borderId="0" xfId="49" applyFont="1" applyBorder="1" applyAlignment="1">
      <alignment horizontal="center" vertical="center"/>
    </xf>
    <xf numFmtId="0" fontId="14" fillId="0" borderId="0" xfId="50" applyFont="1" applyAlignment="1">
      <alignment horizontal="center"/>
    </xf>
    <xf numFmtId="0" fontId="14" fillId="0" borderId="1" xfId="50" applyFont="1" applyBorder="1" applyAlignment="1">
      <alignment horizontal="center" vertical="center"/>
    </xf>
    <xf numFmtId="2" fontId="14" fillId="0" borderId="20" xfId="49" applyNumberFormat="1" applyFont="1" applyBorder="1" applyAlignment="1">
      <alignment horizontal="center" vertical="center"/>
    </xf>
    <xf numFmtId="2" fontId="14" fillId="0" borderId="1" xfId="49" applyNumberFormat="1" applyFont="1" applyFill="1" applyBorder="1" applyAlignment="1">
      <alignment horizontal="center" vertical="center"/>
    </xf>
    <xf numFmtId="2" fontId="14" fillId="8" borderId="1" xfId="49" applyNumberFormat="1" applyFont="1" applyFill="1" applyBorder="1" applyAlignment="1">
      <alignment horizontal="center" vertical="center"/>
    </xf>
    <xf numFmtId="2" fontId="5" fillId="2" borderId="1" xfId="49" applyNumberFormat="1" applyFont="1" applyFill="1" applyBorder="1" applyAlignment="1">
      <alignment horizontal="center" vertical="center"/>
    </xf>
    <xf numFmtId="177" fontId="0" fillId="0" borderId="0" xfId="0" applyNumberFormat="1"/>
    <xf numFmtId="2" fontId="0" fillId="0" borderId="0" xfId="0" applyNumberFormat="1"/>
    <xf numFmtId="0" fontId="5" fillId="4" borderId="1" xfId="49" applyFont="1" applyFill="1" applyBorder="1" applyAlignment="1">
      <alignment horizontal="center" vertical="center"/>
    </xf>
    <xf numFmtId="178" fontId="0" fillId="0" borderId="0" xfId="0" applyNumberFormat="1"/>
    <xf numFmtId="178" fontId="0" fillId="0" borderId="0" xfId="0" applyNumberFormat="1" applyFill="1"/>
    <xf numFmtId="2" fontId="4" fillId="4" borderId="13" xfId="49" applyNumberFormat="1" applyFont="1" applyFill="1" applyBorder="1" applyAlignment="1">
      <alignment horizontal="center" vertical="center"/>
    </xf>
    <xf numFmtId="2" fontId="4" fillId="4" borderId="12" xfId="49" applyNumberFormat="1" applyFont="1" applyFill="1" applyBorder="1" applyAlignment="1">
      <alignment horizontal="center" vertical="center"/>
    </xf>
    <xf numFmtId="2" fontId="5" fillId="2" borderId="13" xfId="49" applyNumberFormat="1" applyFont="1" applyFill="1" applyBorder="1" applyAlignment="1">
      <alignment horizontal="center" vertical="center"/>
    </xf>
    <xf numFmtId="2" fontId="5" fillId="2" borderId="12" xfId="49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6" fillId="6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178" fontId="0" fillId="0" borderId="1" xfId="0" applyNumberFormat="1" applyBorder="1"/>
    <xf numFmtId="0" fontId="0" fillId="0" borderId="0" xfId="0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Alignment="1" applyProtection="1">
      <alignment horizontal="center" vertical="center"/>
      <protection hidden="1"/>
    </xf>
    <xf numFmtId="0" fontId="20" fillId="0" borderId="45" xfId="0" applyFont="1" applyFill="1" applyBorder="1" applyAlignment="1">
      <alignment vertical="center"/>
    </xf>
    <xf numFmtId="0" fontId="20" fillId="0" borderId="45" xfId="0" applyFont="1" applyFill="1" applyBorder="1" applyAlignment="1">
      <alignment horizontal="center" vertical="center"/>
    </xf>
    <xf numFmtId="0" fontId="16" fillId="10" borderId="4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/>
    </xf>
    <xf numFmtId="0" fontId="16" fillId="10" borderId="47" xfId="0" applyFont="1" applyFill="1" applyBorder="1" applyAlignment="1">
      <alignment horizontal="center" vertical="center"/>
    </xf>
    <xf numFmtId="0" fontId="21" fillId="10" borderId="48" xfId="0" applyFont="1" applyFill="1" applyBorder="1" applyAlignment="1">
      <alignment horizontal="center" vertical="center"/>
    </xf>
    <xf numFmtId="0" fontId="22" fillId="10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0" borderId="52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79" fontId="0" fillId="0" borderId="1" xfId="0" applyNumberFormat="1" applyFill="1" applyBorder="1" applyAlignment="1" applyProtection="1">
      <alignment horizontal="center" vertical="center"/>
    </xf>
    <xf numFmtId="179" fontId="0" fillId="0" borderId="33" xfId="0" applyNumberFormat="1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53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179" fontId="0" fillId="0" borderId="37" xfId="0" applyNumberFormat="1" applyFill="1" applyBorder="1" applyAlignment="1" applyProtection="1">
      <alignment horizontal="center" vertical="center"/>
    </xf>
    <xf numFmtId="179" fontId="0" fillId="0" borderId="38" xfId="0" applyNumberFormat="1" applyFill="1" applyBorder="1" applyAlignment="1" applyProtection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10" fontId="0" fillId="0" borderId="0" xfId="0" applyNumberFormat="1" applyFill="1" applyBorder="1" applyAlignment="1" applyProtection="1">
      <alignment horizontal="center" vertical="center"/>
    </xf>
    <xf numFmtId="10" fontId="0" fillId="0" borderId="55" xfId="0" applyNumberFormat="1" applyFill="1" applyBorder="1" applyAlignment="1" applyProtection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9" fillId="6" borderId="56" xfId="0" applyFont="1" applyFill="1" applyBorder="1" applyAlignment="1">
      <alignment horizontal="left" vertical="center"/>
    </xf>
    <xf numFmtId="0" fontId="9" fillId="6" borderId="57" xfId="0" applyFont="1" applyFill="1" applyBorder="1" applyAlignment="1">
      <alignment horizontal="left" vertical="center"/>
    </xf>
    <xf numFmtId="0" fontId="23" fillId="6" borderId="22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9" fillId="6" borderId="16" xfId="0" applyFont="1" applyFill="1" applyBorder="1" applyAlignment="1">
      <alignment horizontal="left" vertical="center"/>
    </xf>
    <xf numFmtId="0" fontId="9" fillId="6" borderId="23" xfId="0" applyFont="1" applyFill="1" applyBorder="1" applyAlignment="1">
      <alignment horizontal="left" vertical="center"/>
    </xf>
    <xf numFmtId="0" fontId="9" fillId="6" borderId="34" xfId="0" applyFont="1" applyFill="1" applyBorder="1" applyAlignment="1">
      <alignment horizontal="left" vertical="center"/>
    </xf>
    <xf numFmtId="0" fontId="24" fillId="10" borderId="64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2" fontId="0" fillId="0" borderId="65" xfId="0" applyNumberFormat="1" applyFill="1" applyBorder="1" applyAlignment="1">
      <alignment horizontal="center" vertical="center"/>
    </xf>
    <xf numFmtId="2" fontId="0" fillId="0" borderId="66" xfId="0" applyNumberFormat="1" applyFill="1" applyBorder="1" applyAlignment="1">
      <alignment horizontal="center" vertical="center"/>
    </xf>
    <xf numFmtId="2" fontId="0" fillId="0" borderId="66" xfId="0" applyNumberFormat="1" applyBorder="1" applyAlignment="1">
      <alignment horizontal="center" vertical="center"/>
    </xf>
    <xf numFmtId="2" fontId="0" fillId="0" borderId="67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6" borderId="68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73" xfId="0" applyFill="1" applyBorder="1" applyAlignment="1">
      <alignment horizontal="center" vertical="center"/>
    </xf>
    <xf numFmtId="0" fontId="25" fillId="6" borderId="74" xfId="0" applyFont="1" applyFill="1" applyBorder="1" applyAlignment="1" applyProtection="1">
      <alignment horizontal="center" vertical="center"/>
      <protection hidden="1"/>
    </xf>
    <xf numFmtId="0" fontId="25" fillId="6" borderId="34" xfId="0" applyFont="1" applyFill="1" applyBorder="1" applyAlignment="1" applyProtection="1">
      <alignment horizontal="center" vertical="center"/>
      <protection hidden="1"/>
    </xf>
    <xf numFmtId="0" fontId="25" fillId="6" borderId="27" xfId="0" applyFont="1" applyFill="1" applyBorder="1" applyAlignment="1" applyProtection="1">
      <alignment horizontal="center" vertical="center"/>
      <protection hidden="1"/>
    </xf>
    <xf numFmtId="2" fontId="0" fillId="0" borderId="75" xfId="0" applyNumberFormat="1" applyFill="1" applyBorder="1" applyAlignment="1">
      <alignment horizontal="center" vertical="center"/>
    </xf>
    <xf numFmtId="2" fontId="26" fillId="0" borderId="76" xfId="0" applyNumberFormat="1" applyFont="1" applyFill="1" applyBorder="1" applyAlignment="1" applyProtection="1">
      <alignment horizontal="center" vertical="center"/>
      <protection hidden="1"/>
    </xf>
    <xf numFmtId="2" fontId="26" fillId="0" borderId="55" xfId="0" applyNumberFormat="1" applyFont="1" applyFill="1" applyBorder="1" applyAlignment="1" applyProtection="1">
      <alignment horizontal="center" vertical="center"/>
      <protection hidden="1"/>
    </xf>
    <xf numFmtId="0" fontId="26" fillId="0" borderId="2" xfId="0" applyFont="1" applyFill="1" applyBorder="1" applyAlignment="1" applyProtection="1">
      <alignment horizontal="center" vertical="center"/>
      <protection hidden="1"/>
    </xf>
    <xf numFmtId="2" fontId="0" fillId="0" borderId="77" xfId="0" applyNumberForma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0" fontId="16" fillId="6" borderId="78" xfId="0" applyFont="1" applyFill="1" applyBorder="1" applyAlignment="1">
      <alignment horizontal="center" vertical="center"/>
    </xf>
    <xf numFmtId="176" fontId="27" fillId="0" borderId="40" xfId="0" applyNumberFormat="1" applyFont="1" applyFill="1" applyBorder="1" applyAlignment="1">
      <alignment horizontal="center" vertical="center"/>
    </xf>
    <xf numFmtId="176" fontId="27" fillId="0" borderId="78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0" fontId="16" fillId="6" borderId="79" xfId="0" applyFont="1" applyFill="1" applyBorder="1" applyAlignment="1">
      <alignment horizontal="center" vertical="center"/>
    </xf>
    <xf numFmtId="176" fontId="27" fillId="0" borderId="14" xfId="0" applyNumberFormat="1" applyFont="1" applyFill="1" applyBorder="1" applyAlignment="1">
      <alignment horizontal="center" vertical="center"/>
    </xf>
    <xf numFmtId="176" fontId="27" fillId="0" borderId="79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16" fillId="6" borderId="80" xfId="0" applyFont="1" applyFill="1" applyBorder="1" applyAlignment="1">
      <alignment horizontal="center" vertical="center"/>
    </xf>
    <xf numFmtId="2" fontId="28" fillId="0" borderId="36" xfId="0" applyNumberFormat="1" applyFont="1" applyFill="1" applyBorder="1" applyAlignment="1" applyProtection="1">
      <alignment horizontal="center" vertical="center"/>
    </xf>
    <xf numFmtId="2" fontId="28" fillId="0" borderId="80" xfId="0" applyNumberFormat="1" applyFont="1" applyFill="1" applyBorder="1" applyAlignment="1" applyProtection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0" fillId="0" borderId="81" xfId="0" applyNumberFormat="1" applyFill="1" applyBorder="1" applyAlignment="1">
      <alignment horizontal="center" vertical="center"/>
    </xf>
    <xf numFmtId="2" fontId="0" fillId="0" borderId="82" xfId="0" applyNumberFormat="1" applyFill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0" fontId="16" fillId="10" borderId="16" xfId="0" applyFont="1" applyFill="1" applyBorder="1" applyAlignment="1">
      <alignment horizontal="right" vertical="center"/>
    </xf>
    <xf numFmtId="2" fontId="16" fillId="10" borderId="57" xfId="0" applyNumberFormat="1" applyFont="1" applyFill="1" applyBorder="1" applyAlignment="1">
      <alignment horizontal="left" vertical="center"/>
    </xf>
    <xf numFmtId="176" fontId="1" fillId="0" borderId="41" xfId="0" applyNumberFormat="1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6" fillId="6" borderId="36" xfId="0" applyFont="1" applyFill="1" applyBorder="1" applyAlignment="1">
      <alignment horizontal="center" vertical="center"/>
    </xf>
    <xf numFmtId="176" fontId="0" fillId="0" borderId="37" xfId="0" applyNumberFormat="1" applyFill="1" applyBorder="1" applyAlignment="1">
      <alignment horizontal="center" vertical="center"/>
    </xf>
    <xf numFmtId="2" fontId="0" fillId="0" borderId="83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10" borderId="0" xfId="0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29" fillId="2" borderId="0" xfId="0" applyFont="1" applyFill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Conversions, Colour Differences" xfId="49"/>
    <cellStyle name="常规 2" xfId="50"/>
    <cellStyle name="Normal_Spectra" xfId="51"/>
  </cellStyles>
  <dxfs count="6">
    <dxf>
      <font>
        <b val="1"/>
        <i val="0"/>
        <color rgb="FF00B050"/>
      </font>
    </dxf>
    <dxf>
      <font>
        <b val="1"/>
        <i val="0"/>
        <color rgb="FFFF0000"/>
      </font>
      <fill>
        <patternFill patternType="none"/>
      </fill>
    </dxf>
    <dxf>
      <font>
        <strike val="0"/>
        <color auto="1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gradientFill>
          <stop position="0">
            <color rgb="FF00B050"/>
          </stop>
          <stop position="1">
            <color theme="0"/>
          </stop>
        </gradientFill>
      </fill>
    </dxf>
    <dxf>
      <font>
        <b val="1"/>
        <i val="0"/>
        <color theme="1"/>
      </font>
      <fill>
        <gradientFill degree="180">
          <stop position="0">
            <color rgb="FFFF0000"/>
          </stop>
          <stop position="1">
            <color theme="0"/>
          </stop>
        </gradientFill>
      </fill>
    </dxf>
    <dxf>
      <font>
        <b val="1"/>
        <i val="0"/>
        <color auto="1"/>
      </font>
      <fill>
        <gradientFill degree="180">
          <stop position="0">
            <color rgb="FFFF0000"/>
          </stop>
          <stop position="1">
            <color theme="0"/>
          </stop>
        </gradientFill>
      </fill>
    </dxf>
  </dxfs>
  <tableStyles count="0" defaultTableStyle="TableStyleMedium2" defaultPivotStyle="PivotStyleMedium9"/>
  <colors>
    <mruColors>
      <color rgb="00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Wave Curve</a:t>
            </a:r>
            <a:endParaRPr lang="zh-CN" altLang="en-US" sz="1800" b="1"/>
          </a:p>
        </c:rich>
      </c:tx>
      <c:layout>
        <c:manualLayout>
          <c:xMode val="edge"/>
          <c:yMode val="edge"/>
          <c:x val="0.37725258218101"/>
          <c:y val="0.0024314817556614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2557902688148"/>
          <c:y val="0.0855940369366242"/>
          <c:w val="0.888611231288397"/>
          <c:h val="0.838658941803822"/>
        </c:manualLayout>
      </c:layout>
      <c:lineChart>
        <c:grouping val="standard"/>
        <c:varyColors val="0"/>
        <c:ser>
          <c:idx val="2"/>
          <c:order val="0"/>
          <c:tx>
            <c:strRef>
              <c:f>膜厚记录及曲线对照表!$J$17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膜厚记录及曲线对照表!$J$38:$J$118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膜厚记录及曲线对照表!$AK$38:$AK$118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膜厚记录及曲线对照表!$C$4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膜厚记录及曲线对照表!$J$38:$J$118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膜厚记录及曲线对照表!$AI$38:$AI$118</c:f>
              <c:numCache>
                <c:formatCode>0.00</c:formatCode>
                <c:ptCount val="81"/>
                <c:pt idx="0">
                  <c:v>5.6019</c:v>
                </c:pt>
                <c:pt idx="1">
                  <c:v>3.9101</c:v>
                </c:pt>
                <c:pt idx="2">
                  <c:v>2.5415</c:v>
                </c:pt>
                <c:pt idx="3">
                  <c:v>1.3669</c:v>
                </c:pt>
                <c:pt idx="4">
                  <c:v>0.8083</c:v>
                </c:pt>
                <c:pt idx="5">
                  <c:v>0.2703</c:v>
                </c:pt>
                <c:pt idx="6">
                  <c:v>0.181</c:v>
                </c:pt>
                <c:pt idx="7">
                  <c:v>0.1304</c:v>
                </c:pt>
                <c:pt idx="8">
                  <c:v>0.3211</c:v>
                </c:pt>
                <c:pt idx="9">
                  <c:v>0.4521</c:v>
                </c:pt>
                <c:pt idx="10">
                  <c:v>0.61</c:v>
                </c:pt>
                <c:pt idx="11">
                  <c:v>0.9578</c:v>
                </c:pt>
                <c:pt idx="12">
                  <c:v>0.9724</c:v>
                </c:pt>
                <c:pt idx="13">
                  <c:v>1.0638</c:v>
                </c:pt>
                <c:pt idx="14">
                  <c:v>1.3478</c:v>
                </c:pt>
                <c:pt idx="15">
                  <c:v>1.2795</c:v>
                </c:pt>
                <c:pt idx="16">
                  <c:v>1.1512</c:v>
                </c:pt>
                <c:pt idx="17">
                  <c:v>1.3134</c:v>
                </c:pt>
                <c:pt idx="18">
                  <c:v>1.3019</c:v>
                </c:pt>
                <c:pt idx="19">
                  <c:v>1.0243</c:v>
                </c:pt>
                <c:pt idx="20">
                  <c:v>0.9479</c:v>
                </c:pt>
                <c:pt idx="21">
                  <c:v>1.0346</c:v>
                </c:pt>
                <c:pt idx="22">
                  <c:v>0.9008</c:v>
                </c:pt>
                <c:pt idx="23">
                  <c:v>0.6452</c:v>
                </c:pt>
                <c:pt idx="24">
                  <c:v>0.5899</c:v>
                </c:pt>
                <c:pt idx="25">
                  <c:v>0.6327</c:v>
                </c:pt>
                <c:pt idx="26">
                  <c:v>0.5278</c:v>
                </c:pt>
                <c:pt idx="27">
                  <c:v>0.3508</c:v>
                </c:pt>
                <c:pt idx="28">
                  <c:v>0.3096</c:v>
                </c:pt>
                <c:pt idx="29">
                  <c:v>0.3505</c:v>
                </c:pt>
                <c:pt idx="30">
                  <c:v>0.3291</c:v>
                </c:pt>
                <c:pt idx="31">
                  <c:v>0.2185</c:v>
                </c:pt>
                <c:pt idx="32">
                  <c:v>0.1589</c:v>
                </c:pt>
                <c:pt idx="33">
                  <c:v>0.1917</c:v>
                </c:pt>
                <c:pt idx="34">
                  <c:v>0.2307</c:v>
                </c:pt>
                <c:pt idx="35">
                  <c:v>0.1982</c:v>
                </c:pt>
                <c:pt idx="36">
                  <c:v>0.1375</c:v>
                </c:pt>
                <c:pt idx="37">
                  <c:v>0.1211</c:v>
                </c:pt>
                <c:pt idx="38">
                  <c:v>0.1565</c:v>
                </c:pt>
                <c:pt idx="39">
                  <c:v>0.177</c:v>
                </c:pt>
                <c:pt idx="40">
                  <c:v>0.1478</c:v>
                </c:pt>
                <c:pt idx="41">
                  <c:v>0.0991</c:v>
                </c:pt>
                <c:pt idx="42">
                  <c:v>0.0776</c:v>
                </c:pt>
                <c:pt idx="43">
                  <c:v>0.0921</c:v>
                </c:pt>
                <c:pt idx="44">
                  <c:v>0.1088</c:v>
                </c:pt>
                <c:pt idx="45">
                  <c:v>0.1077</c:v>
                </c:pt>
                <c:pt idx="46">
                  <c:v>0.0757</c:v>
                </c:pt>
                <c:pt idx="47">
                  <c:v>0.0502</c:v>
                </c:pt>
                <c:pt idx="48">
                  <c:v>0.0442</c:v>
                </c:pt>
                <c:pt idx="49">
                  <c:v>0.0532</c:v>
                </c:pt>
                <c:pt idx="50">
                  <c:v>0.0588</c:v>
                </c:pt>
                <c:pt idx="51">
                  <c:v>0.0571</c:v>
                </c:pt>
                <c:pt idx="52">
                  <c:v>0.049</c:v>
                </c:pt>
                <c:pt idx="53">
                  <c:v>0.0444</c:v>
                </c:pt>
                <c:pt idx="54">
                  <c:v>0.083</c:v>
                </c:pt>
                <c:pt idx="55">
                  <c:v>0.1172</c:v>
                </c:pt>
                <c:pt idx="56">
                  <c:v>0.1299</c:v>
                </c:pt>
                <c:pt idx="57">
                  <c:v>0.1448</c:v>
                </c:pt>
                <c:pt idx="58">
                  <c:v>0.1521</c:v>
                </c:pt>
                <c:pt idx="59">
                  <c:v>0.1628</c:v>
                </c:pt>
                <c:pt idx="60">
                  <c:v>0.2238</c:v>
                </c:pt>
                <c:pt idx="61">
                  <c:v>0.3355</c:v>
                </c:pt>
                <c:pt idx="62">
                  <c:v>0.4628</c:v>
                </c:pt>
                <c:pt idx="63">
                  <c:v>0.5827</c:v>
                </c:pt>
                <c:pt idx="64">
                  <c:v>0.6495</c:v>
                </c:pt>
                <c:pt idx="65">
                  <c:v>0.6759</c:v>
                </c:pt>
                <c:pt idx="66">
                  <c:v>0.6853</c:v>
                </c:pt>
                <c:pt idx="67">
                  <c:v>0.7299</c:v>
                </c:pt>
                <c:pt idx="68">
                  <c:v>0.8635</c:v>
                </c:pt>
                <c:pt idx="69">
                  <c:v>1.0602</c:v>
                </c:pt>
                <c:pt idx="70">
                  <c:v>1.2868</c:v>
                </c:pt>
                <c:pt idx="71">
                  <c:v>1.5079</c:v>
                </c:pt>
                <c:pt idx="72">
                  <c:v>1.6878</c:v>
                </c:pt>
                <c:pt idx="73">
                  <c:v>1.796</c:v>
                </c:pt>
                <c:pt idx="74">
                  <c:v>1.8607</c:v>
                </c:pt>
                <c:pt idx="75">
                  <c:v>1.9102</c:v>
                </c:pt>
                <c:pt idx="76">
                  <c:v>1.9837</c:v>
                </c:pt>
                <c:pt idx="77">
                  <c:v>2.1231</c:v>
                </c:pt>
                <c:pt idx="78">
                  <c:v>2.3568</c:v>
                </c:pt>
                <c:pt idx="79">
                  <c:v>2.6584</c:v>
                </c:pt>
                <c:pt idx="80">
                  <c:v>2.9739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膜厚记录及曲线对照表!$D$4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膜厚记录及曲线对照表!$J$38:$J$118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膜厚记录及曲线对照表!$AJ$38:$AJ$118</c:f>
              <c:numCache>
                <c:formatCode>0.00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502568"/>
        <c:axId val="170505000"/>
      </c:lineChart>
      <c:catAx>
        <c:axId val="170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05000"/>
        <c:crosses val="autoZero"/>
        <c:auto val="1"/>
        <c:lblAlgn val="ctr"/>
        <c:lblOffset val="100"/>
        <c:noMultiLvlLbl val="0"/>
      </c:catAx>
      <c:valAx>
        <c:axId val="1705050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02568"/>
        <c:crosses val="autoZero"/>
        <c:crossBetween val="between"/>
        <c:majorUnit val="1"/>
        <c:minorUnit val="0.5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RUV</a:t>
            </a:r>
            <a:endParaRPr lang="zh-CN" altLang="en-US" b="1"/>
          </a:p>
        </c:rich>
      </c:tx>
      <c:layout>
        <c:manualLayout>
          <c:xMode val="edge"/>
          <c:yMode val="edge"/>
          <c:x val="0.9120833333333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8085359327354"/>
          <c:y val="0.041499046334008"/>
          <c:w val="0.86624775970376"/>
          <c:h val="0.920197285620466"/>
        </c:manualLayout>
      </c:layout>
      <c:lineChart>
        <c:grouping val="standard"/>
        <c:varyColors val="0"/>
        <c:ser>
          <c:idx val="0"/>
          <c:order val="0"/>
          <c:tx>
            <c:strRef>
              <c:f>膜厚记录及曲线对照表!$C$4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膜厚记录及曲线对照表!$J$18:$J$38</c:f>
              <c:numCache>
                <c:formatCode>General</c:formatCode>
                <c:ptCount val="21"/>
                <c:pt idx="0">
                  <c:v>280</c:v>
                </c:pt>
                <c:pt idx="1">
                  <c:v>285</c:v>
                </c:pt>
                <c:pt idx="2">
                  <c:v>290</c:v>
                </c:pt>
                <c:pt idx="3">
                  <c:v>295</c:v>
                </c:pt>
                <c:pt idx="4">
                  <c:v>300</c:v>
                </c:pt>
                <c:pt idx="5">
                  <c:v>305</c:v>
                </c:pt>
                <c:pt idx="6">
                  <c:v>310</c:v>
                </c:pt>
                <c:pt idx="7">
                  <c:v>315</c:v>
                </c:pt>
                <c:pt idx="8">
                  <c:v>320</c:v>
                </c:pt>
                <c:pt idx="9">
                  <c:v>325</c:v>
                </c:pt>
                <c:pt idx="10">
                  <c:v>330</c:v>
                </c:pt>
                <c:pt idx="11">
                  <c:v>335</c:v>
                </c:pt>
                <c:pt idx="12">
                  <c:v>340</c:v>
                </c:pt>
                <c:pt idx="13">
                  <c:v>345</c:v>
                </c:pt>
                <c:pt idx="14">
                  <c:v>350</c:v>
                </c:pt>
                <c:pt idx="15">
                  <c:v>355</c:v>
                </c:pt>
                <c:pt idx="16">
                  <c:v>360</c:v>
                </c:pt>
                <c:pt idx="17">
                  <c:v>365</c:v>
                </c:pt>
                <c:pt idx="18">
                  <c:v>370</c:v>
                </c:pt>
                <c:pt idx="19">
                  <c:v>375</c:v>
                </c:pt>
                <c:pt idx="20">
                  <c:v>380</c:v>
                </c:pt>
              </c:numCache>
            </c:numRef>
          </c:cat>
          <c:val>
            <c:numRef>
              <c:f>膜厚记录及曲线对照表!$AI$18:$AI$38</c:f>
              <c:numCache>
                <c:formatCode>0.00</c:formatCode>
                <c:ptCount val="21"/>
                <c:pt idx="0">
                  <c:v>27.4236</c:v>
                </c:pt>
                <c:pt idx="1">
                  <c:v>28.6632</c:v>
                </c:pt>
                <c:pt idx="2">
                  <c:v>29.6573</c:v>
                </c:pt>
                <c:pt idx="3">
                  <c:v>30.4294</c:v>
                </c:pt>
                <c:pt idx="4">
                  <c:v>30.8043</c:v>
                </c:pt>
                <c:pt idx="5">
                  <c:v>30.9198</c:v>
                </c:pt>
                <c:pt idx="6">
                  <c:v>30.4548</c:v>
                </c:pt>
                <c:pt idx="7">
                  <c:v>29.5231</c:v>
                </c:pt>
                <c:pt idx="8">
                  <c:v>27.8488</c:v>
                </c:pt>
                <c:pt idx="9">
                  <c:v>25.4035</c:v>
                </c:pt>
                <c:pt idx="10">
                  <c:v>22.3777</c:v>
                </c:pt>
                <c:pt idx="11">
                  <c:v>19.368</c:v>
                </c:pt>
                <c:pt idx="12">
                  <c:v>16.6269</c:v>
                </c:pt>
                <c:pt idx="13">
                  <c:v>15.0387</c:v>
                </c:pt>
                <c:pt idx="14">
                  <c:v>14.3586</c:v>
                </c:pt>
                <c:pt idx="15">
                  <c:v>13.707</c:v>
                </c:pt>
                <c:pt idx="16">
                  <c:v>12.7911</c:v>
                </c:pt>
                <c:pt idx="17">
                  <c:v>11.4616</c:v>
                </c:pt>
                <c:pt idx="18">
                  <c:v>9.4668</c:v>
                </c:pt>
                <c:pt idx="19">
                  <c:v>7.6754</c:v>
                </c:pt>
                <c:pt idx="20">
                  <c:v>5.6019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膜厚记录及曲线对照表!$D$4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膜厚记录及曲线对照表!$J$18:$J$38</c:f>
              <c:numCache>
                <c:formatCode>General</c:formatCode>
                <c:ptCount val="21"/>
                <c:pt idx="0">
                  <c:v>280</c:v>
                </c:pt>
                <c:pt idx="1">
                  <c:v>285</c:v>
                </c:pt>
                <c:pt idx="2">
                  <c:v>290</c:v>
                </c:pt>
                <c:pt idx="3">
                  <c:v>295</c:v>
                </c:pt>
                <c:pt idx="4">
                  <c:v>300</c:v>
                </c:pt>
                <c:pt idx="5">
                  <c:v>305</c:v>
                </c:pt>
                <c:pt idx="6">
                  <c:v>310</c:v>
                </c:pt>
                <c:pt idx="7">
                  <c:v>315</c:v>
                </c:pt>
                <c:pt idx="8">
                  <c:v>320</c:v>
                </c:pt>
                <c:pt idx="9">
                  <c:v>325</c:v>
                </c:pt>
                <c:pt idx="10">
                  <c:v>330</c:v>
                </c:pt>
                <c:pt idx="11">
                  <c:v>335</c:v>
                </c:pt>
                <c:pt idx="12">
                  <c:v>340</c:v>
                </c:pt>
                <c:pt idx="13">
                  <c:v>345</c:v>
                </c:pt>
                <c:pt idx="14">
                  <c:v>350</c:v>
                </c:pt>
                <c:pt idx="15">
                  <c:v>355</c:v>
                </c:pt>
                <c:pt idx="16">
                  <c:v>360</c:v>
                </c:pt>
                <c:pt idx="17">
                  <c:v>365</c:v>
                </c:pt>
                <c:pt idx="18">
                  <c:v>370</c:v>
                </c:pt>
                <c:pt idx="19">
                  <c:v>375</c:v>
                </c:pt>
                <c:pt idx="20">
                  <c:v>380</c:v>
                </c:pt>
              </c:numCache>
            </c:numRef>
          </c:cat>
          <c:val>
            <c:numRef>
              <c:f>膜厚记录及曲线对照表!$AJ$18:$AJ$38</c:f>
              <c:numCache>
                <c:formatCode>0.00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508456"/>
        <c:axId val="170133520"/>
      </c:lineChart>
      <c:catAx>
        <c:axId val="17050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33520"/>
        <c:crosses val="autoZero"/>
        <c:auto val="1"/>
        <c:lblAlgn val="ctr"/>
        <c:lblOffset val="100"/>
        <c:noMultiLvlLbl val="0"/>
      </c:catAx>
      <c:valAx>
        <c:axId val="17013352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084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8000">
          <a:schemeClr val="bg1">
            <a:lumMod val="85000"/>
          </a:schemeClr>
        </a:gs>
        <a:gs pos="0">
          <a:schemeClr val="bg1">
            <a:lumMod val="95000"/>
          </a:schemeClr>
        </a:gs>
        <a:gs pos="58000">
          <a:schemeClr val="bg1">
            <a:lumMod val="50000"/>
          </a:schemeClr>
        </a:gs>
        <a:gs pos="71000">
          <a:schemeClr val="bg1">
            <a:lumMod val="50000"/>
          </a:schemeClr>
        </a:gs>
        <a:gs pos="100000">
          <a:schemeClr val="bg1">
            <a:lumMod val="95000"/>
          </a:schemeClr>
        </a:gs>
      </a:gsLst>
      <a:lin ang="10800000" scaled="1"/>
    </a:gra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色匹配函数</a:t>
            </a:r>
            <a:endParaRPr lang="zh-CN" altLang="en-US" sz="1800" b="1"/>
          </a:p>
        </c:rich>
      </c:tx>
      <c:layout>
        <c:manualLayout>
          <c:xMode val="edge"/>
          <c:yMode val="edge"/>
          <c:x val="0.348242458262105"/>
          <c:y val="0.01895206284623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149949382262"/>
          <c:y val="0.129553339723002"/>
          <c:w val="0.805488876689147"/>
          <c:h val="0.67264713683949"/>
        </c:manualLayout>
      </c:layout>
      <c:lineChart>
        <c:grouping val="standard"/>
        <c:varyColors val="0"/>
        <c:ser>
          <c:idx val="0"/>
          <c:order val="0"/>
          <c:tx>
            <c:strRef>
              <c:f>'Lab value_Cal.'!$E$19</c:f>
              <c:strCache>
                <c:ptCount val="1"/>
                <c:pt idx="0">
                  <c:v>X_bar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value_Cal.'!$E$20:$E$100</c:f>
              <c:numCache>
                <c:formatCode>General</c:formatCode>
                <c:ptCount val="81"/>
                <c:pt idx="0">
                  <c:v>0.000159952</c:v>
                </c:pt>
                <c:pt idx="1">
                  <c:v>0.00066244</c:v>
                </c:pt>
                <c:pt idx="2">
                  <c:v>0.0023616</c:v>
                </c:pt>
                <c:pt idx="3">
                  <c:v>0.0072423</c:v>
                </c:pt>
                <c:pt idx="4">
                  <c:v>0.0191097</c:v>
                </c:pt>
                <c:pt idx="5">
                  <c:v>0.0434</c:v>
                </c:pt>
                <c:pt idx="6">
                  <c:v>0.084736</c:v>
                </c:pt>
                <c:pt idx="7">
                  <c:v>0.140638</c:v>
                </c:pt>
                <c:pt idx="8">
                  <c:v>0.204492</c:v>
                </c:pt>
                <c:pt idx="9">
                  <c:v>0.264737</c:v>
                </c:pt>
                <c:pt idx="10">
                  <c:v>0.314679</c:v>
                </c:pt>
                <c:pt idx="11">
                  <c:v>0.357719</c:v>
                </c:pt>
                <c:pt idx="12">
                  <c:v>0.383734</c:v>
                </c:pt>
                <c:pt idx="13">
                  <c:v>0.386726</c:v>
                </c:pt>
                <c:pt idx="14">
                  <c:v>0.370702</c:v>
                </c:pt>
                <c:pt idx="15">
                  <c:v>0.342957</c:v>
                </c:pt>
                <c:pt idx="16">
                  <c:v>0.302273</c:v>
                </c:pt>
                <c:pt idx="17">
                  <c:v>0.254085</c:v>
                </c:pt>
                <c:pt idx="18">
                  <c:v>0.195618</c:v>
                </c:pt>
                <c:pt idx="19">
                  <c:v>0.132349</c:v>
                </c:pt>
                <c:pt idx="20">
                  <c:v>0.080507</c:v>
                </c:pt>
                <c:pt idx="21">
                  <c:v>0.041072</c:v>
                </c:pt>
                <c:pt idx="22">
                  <c:v>0.016172</c:v>
                </c:pt>
                <c:pt idx="23">
                  <c:v>0.005132</c:v>
                </c:pt>
                <c:pt idx="24">
                  <c:v>0.003816</c:v>
                </c:pt>
                <c:pt idx="25">
                  <c:v>0.015444</c:v>
                </c:pt>
                <c:pt idx="26">
                  <c:v>0.037465</c:v>
                </c:pt>
                <c:pt idx="27">
                  <c:v>0.071358</c:v>
                </c:pt>
                <c:pt idx="28">
                  <c:v>0.117749</c:v>
                </c:pt>
                <c:pt idx="29">
                  <c:v>0.172953</c:v>
                </c:pt>
                <c:pt idx="30">
                  <c:v>0.236491</c:v>
                </c:pt>
                <c:pt idx="31">
                  <c:v>0.304213</c:v>
                </c:pt>
                <c:pt idx="32">
                  <c:v>0.376772</c:v>
                </c:pt>
                <c:pt idx="33">
                  <c:v>0.451584</c:v>
                </c:pt>
                <c:pt idx="34">
                  <c:v>0.529826</c:v>
                </c:pt>
                <c:pt idx="35">
                  <c:v>0.616053</c:v>
                </c:pt>
                <c:pt idx="36">
                  <c:v>0.705224</c:v>
                </c:pt>
                <c:pt idx="37">
                  <c:v>0.793832</c:v>
                </c:pt>
                <c:pt idx="38">
                  <c:v>0.878655</c:v>
                </c:pt>
                <c:pt idx="39">
                  <c:v>0.951162</c:v>
                </c:pt>
                <c:pt idx="40">
                  <c:v>1.01416</c:v>
                </c:pt>
                <c:pt idx="41">
                  <c:v>1.0743</c:v>
                </c:pt>
                <c:pt idx="42">
                  <c:v>1.11852</c:v>
                </c:pt>
                <c:pt idx="43">
                  <c:v>1.1343</c:v>
                </c:pt>
                <c:pt idx="44">
                  <c:v>1.12399</c:v>
                </c:pt>
                <c:pt idx="45">
                  <c:v>1.0891</c:v>
                </c:pt>
                <c:pt idx="46">
                  <c:v>1.03048</c:v>
                </c:pt>
                <c:pt idx="47">
                  <c:v>0.95074</c:v>
                </c:pt>
                <c:pt idx="48">
                  <c:v>0.856297</c:v>
                </c:pt>
                <c:pt idx="49">
                  <c:v>0.75493</c:v>
                </c:pt>
                <c:pt idx="50">
                  <c:v>0.647467</c:v>
                </c:pt>
                <c:pt idx="51">
                  <c:v>0.53511</c:v>
                </c:pt>
                <c:pt idx="52">
                  <c:v>0.431567</c:v>
                </c:pt>
                <c:pt idx="53">
                  <c:v>0.34369</c:v>
                </c:pt>
                <c:pt idx="54">
                  <c:v>0.268329</c:v>
                </c:pt>
                <c:pt idx="55">
                  <c:v>0.2043</c:v>
                </c:pt>
                <c:pt idx="56">
                  <c:v>0.152568</c:v>
                </c:pt>
                <c:pt idx="57">
                  <c:v>0.11221</c:v>
                </c:pt>
                <c:pt idx="58">
                  <c:v>0.0812606</c:v>
                </c:pt>
                <c:pt idx="59">
                  <c:v>0.05793</c:v>
                </c:pt>
                <c:pt idx="60">
                  <c:v>0.0408508</c:v>
                </c:pt>
                <c:pt idx="61">
                  <c:v>0.028623</c:v>
                </c:pt>
                <c:pt idx="62">
                  <c:v>0.0199413</c:v>
                </c:pt>
                <c:pt idx="63">
                  <c:v>0.013842</c:v>
                </c:pt>
                <c:pt idx="64">
                  <c:v>0.00957688</c:v>
                </c:pt>
                <c:pt idx="65">
                  <c:v>0.0066052</c:v>
                </c:pt>
                <c:pt idx="66">
                  <c:v>0.00455263</c:v>
                </c:pt>
                <c:pt idx="67">
                  <c:v>0.0031447</c:v>
                </c:pt>
                <c:pt idx="68">
                  <c:v>0.00217496</c:v>
                </c:pt>
                <c:pt idx="69">
                  <c:v>0.0015057</c:v>
                </c:pt>
                <c:pt idx="70">
                  <c:v>0.00104476</c:v>
                </c:pt>
                <c:pt idx="71">
                  <c:v>0.00072745</c:v>
                </c:pt>
                <c:pt idx="72">
                  <c:v>0.000508258</c:v>
                </c:pt>
                <c:pt idx="73">
                  <c:v>0.00035638</c:v>
                </c:pt>
                <c:pt idx="74">
                  <c:v>0.000250969</c:v>
                </c:pt>
                <c:pt idx="75">
                  <c:v>0.00017773</c:v>
                </c:pt>
                <c:pt idx="76">
                  <c:v>0.00012639</c:v>
                </c:pt>
                <c:pt idx="77">
                  <c:v>9.0151e-5</c:v>
                </c:pt>
                <c:pt idx="78">
                  <c:v>6.45258e-5</c:v>
                </c:pt>
                <c:pt idx="79">
                  <c:v>4.6339e-5</c:v>
                </c:pt>
                <c:pt idx="80">
                  <c:v>3.34117e-5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'Lab value_Cal.'!$F$19</c:f>
              <c:strCache>
                <c:ptCount val="1"/>
                <c:pt idx="0">
                  <c:v>Y_bar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value_Cal.'!$F$20:$F$100</c:f>
              <c:numCache>
                <c:formatCode>General</c:formatCode>
                <c:ptCount val="81"/>
                <c:pt idx="0">
                  <c:v>1.7364e-5</c:v>
                </c:pt>
                <c:pt idx="1">
                  <c:v>7.156e-5</c:v>
                </c:pt>
                <c:pt idx="2">
                  <c:v>0.0002534</c:v>
                </c:pt>
                <c:pt idx="3">
                  <c:v>0.0007685</c:v>
                </c:pt>
                <c:pt idx="4">
                  <c:v>0.0020044</c:v>
                </c:pt>
                <c:pt idx="5">
                  <c:v>0.004509</c:v>
                </c:pt>
                <c:pt idx="6">
                  <c:v>0.008756</c:v>
                </c:pt>
                <c:pt idx="7">
                  <c:v>0.014456</c:v>
                </c:pt>
                <c:pt idx="8">
                  <c:v>0.021391</c:v>
                </c:pt>
                <c:pt idx="9">
                  <c:v>0.029497</c:v>
                </c:pt>
                <c:pt idx="10">
                  <c:v>0.038676</c:v>
                </c:pt>
                <c:pt idx="11">
                  <c:v>0.049602</c:v>
                </c:pt>
                <c:pt idx="12">
                  <c:v>0.062077</c:v>
                </c:pt>
                <c:pt idx="13">
                  <c:v>0.074704</c:v>
                </c:pt>
                <c:pt idx="14">
                  <c:v>0.089456</c:v>
                </c:pt>
                <c:pt idx="15">
                  <c:v>0.106256</c:v>
                </c:pt>
                <c:pt idx="16">
                  <c:v>0.128201</c:v>
                </c:pt>
                <c:pt idx="17">
                  <c:v>0.152761</c:v>
                </c:pt>
                <c:pt idx="18">
                  <c:v>0.18519</c:v>
                </c:pt>
                <c:pt idx="19">
                  <c:v>0.21994</c:v>
                </c:pt>
                <c:pt idx="20">
                  <c:v>0.253589</c:v>
                </c:pt>
                <c:pt idx="21">
                  <c:v>0.297665</c:v>
                </c:pt>
                <c:pt idx="22">
                  <c:v>0.339133</c:v>
                </c:pt>
                <c:pt idx="23">
                  <c:v>0.395379</c:v>
                </c:pt>
                <c:pt idx="24">
                  <c:v>0.460777</c:v>
                </c:pt>
                <c:pt idx="25">
                  <c:v>0.53136</c:v>
                </c:pt>
                <c:pt idx="26">
                  <c:v>0.606741</c:v>
                </c:pt>
                <c:pt idx="27">
                  <c:v>0.68566</c:v>
                </c:pt>
                <c:pt idx="28">
                  <c:v>0.761757</c:v>
                </c:pt>
                <c:pt idx="29">
                  <c:v>0.82333</c:v>
                </c:pt>
                <c:pt idx="30">
                  <c:v>0.875211</c:v>
                </c:pt>
                <c:pt idx="31">
                  <c:v>0.92381</c:v>
                </c:pt>
                <c:pt idx="32">
                  <c:v>0.961988</c:v>
                </c:pt>
                <c:pt idx="33">
                  <c:v>0.9822</c:v>
                </c:pt>
                <c:pt idx="34">
                  <c:v>0.991761</c:v>
                </c:pt>
                <c:pt idx="35">
                  <c:v>0.99911</c:v>
                </c:pt>
                <c:pt idx="36">
                  <c:v>0.99734</c:v>
                </c:pt>
                <c:pt idx="37">
                  <c:v>0.98238</c:v>
                </c:pt>
                <c:pt idx="38">
                  <c:v>0.955552</c:v>
                </c:pt>
                <c:pt idx="39">
                  <c:v>0.915175</c:v>
                </c:pt>
                <c:pt idx="40">
                  <c:v>0.868934</c:v>
                </c:pt>
                <c:pt idx="41">
                  <c:v>0.825623</c:v>
                </c:pt>
                <c:pt idx="42">
                  <c:v>0.777405</c:v>
                </c:pt>
                <c:pt idx="43">
                  <c:v>0.720353</c:v>
                </c:pt>
                <c:pt idx="44">
                  <c:v>0.658341</c:v>
                </c:pt>
                <c:pt idx="45">
                  <c:v>0.593878</c:v>
                </c:pt>
                <c:pt idx="46">
                  <c:v>0.527963</c:v>
                </c:pt>
                <c:pt idx="47">
                  <c:v>0.461834</c:v>
                </c:pt>
                <c:pt idx="48">
                  <c:v>0.398057</c:v>
                </c:pt>
                <c:pt idx="49">
                  <c:v>0.339554</c:v>
                </c:pt>
                <c:pt idx="50">
                  <c:v>0.283493</c:v>
                </c:pt>
                <c:pt idx="51">
                  <c:v>0.228254</c:v>
                </c:pt>
                <c:pt idx="52">
                  <c:v>0.179828</c:v>
                </c:pt>
                <c:pt idx="53">
                  <c:v>0.140211</c:v>
                </c:pt>
                <c:pt idx="54">
                  <c:v>0.107633</c:v>
                </c:pt>
                <c:pt idx="55">
                  <c:v>0.081187</c:v>
                </c:pt>
                <c:pt idx="56">
                  <c:v>0.060281</c:v>
                </c:pt>
                <c:pt idx="57">
                  <c:v>0.044096</c:v>
                </c:pt>
                <c:pt idx="58">
                  <c:v>0.0318004</c:v>
                </c:pt>
                <c:pt idx="59">
                  <c:v>0.0226017</c:v>
                </c:pt>
                <c:pt idx="60">
                  <c:v>0.0159051</c:v>
                </c:pt>
                <c:pt idx="61">
                  <c:v>0.0111303</c:v>
                </c:pt>
                <c:pt idx="62">
                  <c:v>0.0077488</c:v>
                </c:pt>
                <c:pt idx="63">
                  <c:v>0.0053751</c:v>
                </c:pt>
                <c:pt idx="64">
                  <c:v>0.00371774</c:v>
                </c:pt>
                <c:pt idx="65">
                  <c:v>0.00256456</c:v>
                </c:pt>
                <c:pt idx="66">
                  <c:v>0.00176847</c:v>
                </c:pt>
                <c:pt idx="67">
                  <c:v>0.00122239</c:v>
                </c:pt>
                <c:pt idx="68">
                  <c:v>0.00084619</c:v>
                </c:pt>
                <c:pt idx="69">
                  <c:v>0.00058644</c:v>
                </c:pt>
                <c:pt idx="70">
                  <c:v>0.00040741</c:v>
                </c:pt>
                <c:pt idx="71">
                  <c:v>0.000284041</c:v>
                </c:pt>
                <c:pt idx="72">
                  <c:v>0.00019873</c:v>
                </c:pt>
                <c:pt idx="73">
                  <c:v>0.00013955</c:v>
                </c:pt>
                <c:pt idx="74">
                  <c:v>9.8428e-5</c:v>
                </c:pt>
                <c:pt idx="75">
                  <c:v>6.9819e-5</c:v>
                </c:pt>
                <c:pt idx="76">
                  <c:v>4.9737e-5</c:v>
                </c:pt>
                <c:pt idx="77">
                  <c:v>3.55405e-5</c:v>
                </c:pt>
                <c:pt idx="78">
                  <c:v>2.5486e-5</c:v>
                </c:pt>
                <c:pt idx="79">
                  <c:v>1.83384e-5</c:v>
                </c:pt>
                <c:pt idx="80">
                  <c:v>1.3249e-5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'Lab value_Cal.'!$G$19</c:f>
              <c:strCache>
                <c:ptCount val="1"/>
                <c:pt idx="0">
                  <c:v>Z_bar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value_Cal.'!$G$20:$G$100</c:f>
              <c:numCache>
                <c:formatCode>General</c:formatCode>
                <c:ptCount val="81"/>
                <c:pt idx="0">
                  <c:v>0.000704776</c:v>
                </c:pt>
                <c:pt idx="1">
                  <c:v>0.0029278</c:v>
                </c:pt>
                <c:pt idx="2">
                  <c:v>0.0104822</c:v>
                </c:pt>
                <c:pt idx="3">
                  <c:v>0.032344</c:v>
                </c:pt>
                <c:pt idx="4">
                  <c:v>0.0860109</c:v>
                </c:pt>
                <c:pt idx="5">
                  <c:v>0.19712</c:v>
                </c:pt>
                <c:pt idx="6">
                  <c:v>0.389366</c:v>
                </c:pt>
                <c:pt idx="7">
                  <c:v>0.65676</c:v>
                </c:pt>
                <c:pt idx="8">
                  <c:v>0.972542</c:v>
                </c:pt>
                <c:pt idx="9">
                  <c:v>1.2825</c:v>
                </c:pt>
                <c:pt idx="10">
                  <c:v>1.55348</c:v>
                </c:pt>
                <c:pt idx="11">
                  <c:v>1.7985</c:v>
                </c:pt>
                <c:pt idx="12">
                  <c:v>1.96728</c:v>
                </c:pt>
                <c:pt idx="13">
                  <c:v>2.0273</c:v>
                </c:pt>
                <c:pt idx="14">
                  <c:v>1.9948</c:v>
                </c:pt>
                <c:pt idx="15">
                  <c:v>1.9007</c:v>
                </c:pt>
                <c:pt idx="16">
                  <c:v>1.74537</c:v>
                </c:pt>
                <c:pt idx="17">
                  <c:v>1.5549</c:v>
                </c:pt>
                <c:pt idx="18">
                  <c:v>1.31756</c:v>
                </c:pt>
                <c:pt idx="19">
                  <c:v>1.0302</c:v>
                </c:pt>
                <c:pt idx="20">
                  <c:v>0.772125</c:v>
                </c:pt>
                <c:pt idx="21">
                  <c:v>0.5706</c:v>
                </c:pt>
                <c:pt idx="22">
                  <c:v>0.415254</c:v>
                </c:pt>
                <c:pt idx="23">
                  <c:v>0.302356</c:v>
                </c:pt>
                <c:pt idx="24">
                  <c:v>0.218502</c:v>
                </c:pt>
                <c:pt idx="25">
                  <c:v>0.159249</c:v>
                </c:pt>
                <c:pt idx="26">
                  <c:v>0.112044</c:v>
                </c:pt>
                <c:pt idx="27">
                  <c:v>0.082248</c:v>
                </c:pt>
                <c:pt idx="28">
                  <c:v>0.060709</c:v>
                </c:pt>
                <c:pt idx="29">
                  <c:v>0.04305</c:v>
                </c:pt>
                <c:pt idx="30">
                  <c:v>0.030451</c:v>
                </c:pt>
                <c:pt idx="31">
                  <c:v>0.020584</c:v>
                </c:pt>
                <c:pt idx="32">
                  <c:v>0.013676</c:v>
                </c:pt>
                <c:pt idx="33">
                  <c:v>0.007918</c:v>
                </c:pt>
                <c:pt idx="34">
                  <c:v>0.003988</c:v>
                </c:pt>
                <c:pt idx="35">
                  <c:v>0.001091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120624"/>
        <c:axId val="235552192"/>
      </c:lineChart>
      <c:catAx>
        <c:axId val="170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552192"/>
        <c:crosses val="autoZero"/>
        <c:auto val="1"/>
        <c:lblAlgn val="ctr"/>
        <c:lblOffset val="100"/>
        <c:noMultiLvlLbl val="0"/>
      </c:catAx>
      <c:valAx>
        <c:axId val="2355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206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相对光谱分布</a:t>
            </a:r>
            <a:endParaRPr lang="en-US" altLang="zh-CN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0594925634296"/>
          <c:y val="0.13326352530541"/>
          <c:w val="0.862746062992126"/>
          <c:h val="0.664183259815036"/>
        </c:manualLayout>
      </c:layout>
      <c:lineChart>
        <c:grouping val="standard"/>
        <c:varyColors val="0"/>
        <c:ser>
          <c:idx val="0"/>
          <c:order val="0"/>
          <c:tx>
            <c:strRef>
              <c:f>'Lab value_Cal.'!$I$19</c:f>
              <c:strCache>
                <c:ptCount val="1"/>
                <c:pt idx="0">
                  <c:v>D65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value_Cal.'!$I$20:$I$100</c:f>
              <c:numCache>
                <c:formatCode>0.0</c:formatCode>
                <c:ptCount val="81"/>
                <c:pt idx="0">
                  <c:v>50</c:v>
                </c:pt>
                <c:pt idx="1">
                  <c:v>52.3</c:v>
                </c:pt>
                <c:pt idx="2">
                  <c:v>54.6</c:v>
                </c:pt>
                <c:pt idx="3">
                  <c:v>68.7</c:v>
                </c:pt>
                <c:pt idx="4">
                  <c:v>82.8</c:v>
                </c:pt>
                <c:pt idx="5">
                  <c:v>87.1</c:v>
                </c:pt>
                <c:pt idx="6">
                  <c:v>91.5</c:v>
                </c:pt>
                <c:pt idx="7">
                  <c:v>92.5</c:v>
                </c:pt>
                <c:pt idx="8">
                  <c:v>93.4</c:v>
                </c:pt>
                <c:pt idx="9">
                  <c:v>90.1</c:v>
                </c:pt>
                <c:pt idx="10">
                  <c:v>86.7</c:v>
                </c:pt>
                <c:pt idx="11">
                  <c:v>95.8</c:v>
                </c:pt>
                <c:pt idx="12">
                  <c:v>104.9</c:v>
                </c:pt>
                <c:pt idx="13">
                  <c:v>110.9</c:v>
                </c:pt>
                <c:pt idx="14">
                  <c:v>117</c:v>
                </c:pt>
                <c:pt idx="15">
                  <c:v>117.4</c:v>
                </c:pt>
                <c:pt idx="16">
                  <c:v>117.8</c:v>
                </c:pt>
                <c:pt idx="17">
                  <c:v>116.3</c:v>
                </c:pt>
                <c:pt idx="18">
                  <c:v>114.9</c:v>
                </c:pt>
                <c:pt idx="19">
                  <c:v>115.4</c:v>
                </c:pt>
                <c:pt idx="20">
                  <c:v>115.9</c:v>
                </c:pt>
                <c:pt idx="21">
                  <c:v>112.4</c:v>
                </c:pt>
                <c:pt idx="22">
                  <c:v>108.8</c:v>
                </c:pt>
                <c:pt idx="23">
                  <c:v>109.1</c:v>
                </c:pt>
                <c:pt idx="24">
                  <c:v>109.4</c:v>
                </c:pt>
                <c:pt idx="25">
                  <c:v>108.6</c:v>
                </c:pt>
                <c:pt idx="26">
                  <c:v>107.8</c:v>
                </c:pt>
                <c:pt idx="27">
                  <c:v>106.3</c:v>
                </c:pt>
                <c:pt idx="28">
                  <c:v>104.8</c:v>
                </c:pt>
                <c:pt idx="29">
                  <c:v>106.2</c:v>
                </c:pt>
                <c:pt idx="30">
                  <c:v>107.7</c:v>
                </c:pt>
                <c:pt idx="31">
                  <c:v>106</c:v>
                </c:pt>
                <c:pt idx="32">
                  <c:v>104.4</c:v>
                </c:pt>
                <c:pt idx="33">
                  <c:v>104.2</c:v>
                </c:pt>
                <c:pt idx="34">
                  <c:v>104</c:v>
                </c:pt>
                <c:pt idx="35">
                  <c:v>102</c:v>
                </c:pt>
                <c:pt idx="36">
                  <c:v>100</c:v>
                </c:pt>
                <c:pt idx="37">
                  <c:v>98.2</c:v>
                </c:pt>
                <c:pt idx="38">
                  <c:v>96.3</c:v>
                </c:pt>
                <c:pt idx="39">
                  <c:v>96.1</c:v>
                </c:pt>
                <c:pt idx="40">
                  <c:v>95.8</c:v>
                </c:pt>
                <c:pt idx="41">
                  <c:v>92.2</c:v>
                </c:pt>
                <c:pt idx="42">
                  <c:v>88.7</c:v>
                </c:pt>
                <c:pt idx="43">
                  <c:v>89.3</c:v>
                </c:pt>
                <c:pt idx="44">
                  <c:v>90</c:v>
                </c:pt>
                <c:pt idx="45">
                  <c:v>89.8</c:v>
                </c:pt>
                <c:pt idx="46">
                  <c:v>89.6</c:v>
                </c:pt>
                <c:pt idx="47">
                  <c:v>88.6</c:v>
                </c:pt>
                <c:pt idx="48">
                  <c:v>87.7</c:v>
                </c:pt>
                <c:pt idx="49">
                  <c:v>85.5</c:v>
                </c:pt>
                <c:pt idx="50">
                  <c:v>83.3</c:v>
                </c:pt>
                <c:pt idx="51">
                  <c:v>83.5</c:v>
                </c:pt>
                <c:pt idx="52">
                  <c:v>83.7</c:v>
                </c:pt>
                <c:pt idx="53">
                  <c:v>81.9</c:v>
                </c:pt>
                <c:pt idx="54">
                  <c:v>80</c:v>
                </c:pt>
                <c:pt idx="55">
                  <c:v>80.1</c:v>
                </c:pt>
                <c:pt idx="56">
                  <c:v>80.2</c:v>
                </c:pt>
                <c:pt idx="57">
                  <c:v>81.2</c:v>
                </c:pt>
                <c:pt idx="58">
                  <c:v>82.3</c:v>
                </c:pt>
                <c:pt idx="59">
                  <c:v>80.3</c:v>
                </c:pt>
                <c:pt idx="60">
                  <c:v>78.3</c:v>
                </c:pt>
                <c:pt idx="61">
                  <c:v>74</c:v>
                </c:pt>
                <c:pt idx="62">
                  <c:v>69.7</c:v>
                </c:pt>
                <c:pt idx="63">
                  <c:v>70.7</c:v>
                </c:pt>
                <c:pt idx="64">
                  <c:v>71.6</c:v>
                </c:pt>
                <c:pt idx="65">
                  <c:v>73</c:v>
                </c:pt>
                <c:pt idx="66">
                  <c:v>74.3</c:v>
                </c:pt>
                <c:pt idx="67">
                  <c:v>68</c:v>
                </c:pt>
                <c:pt idx="68">
                  <c:v>61.6</c:v>
                </c:pt>
                <c:pt idx="69">
                  <c:v>65.7</c:v>
                </c:pt>
                <c:pt idx="70">
                  <c:v>69.9</c:v>
                </c:pt>
                <c:pt idx="71">
                  <c:v>72.5</c:v>
                </c:pt>
                <c:pt idx="72">
                  <c:v>75.1</c:v>
                </c:pt>
                <c:pt idx="73">
                  <c:v>69.3</c:v>
                </c:pt>
                <c:pt idx="74">
                  <c:v>63.6</c:v>
                </c:pt>
                <c:pt idx="75">
                  <c:v>55</c:v>
                </c:pt>
                <c:pt idx="76">
                  <c:v>46.4</c:v>
                </c:pt>
                <c:pt idx="77">
                  <c:v>56.6</c:v>
                </c:pt>
                <c:pt idx="78">
                  <c:v>66.8</c:v>
                </c:pt>
                <c:pt idx="79">
                  <c:v>65.1</c:v>
                </c:pt>
                <c:pt idx="80">
                  <c:v>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629224"/>
        <c:axId val="169451464"/>
      </c:lineChart>
      <c:catAx>
        <c:axId val="23562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51464"/>
        <c:crosses val="autoZero"/>
        <c:auto val="1"/>
        <c:lblAlgn val="ctr"/>
        <c:lblOffset val="100"/>
        <c:noMultiLvlLbl val="0"/>
      </c:catAx>
      <c:valAx>
        <c:axId val="16945146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2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R%</a:t>
            </a:r>
            <a:endParaRPr lang="en-US" altLang="zh-CN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744389984839"/>
          <c:y val="0.201575141978691"/>
          <c:w val="0.826470608862795"/>
          <c:h val="0.612715331354196"/>
        </c:manualLayout>
      </c:layout>
      <c:lineChart>
        <c:grouping val="standard"/>
        <c:varyColors val="0"/>
        <c:ser>
          <c:idx val="0"/>
          <c:order val="0"/>
          <c:tx>
            <c:strRef>
              <c:f>'Lab value_Cal.'!$C$17</c:f>
              <c:strCache>
                <c:ptCount val="1"/>
                <c:pt idx="0">
                  <c:v>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value_Cal.'!$C$20:$C$100</c:f>
              <c:numCache>
                <c:formatCode>General</c:formatCode>
                <c:ptCount val="81"/>
                <c:pt idx="0">
                  <c:v>9.47</c:v>
                </c:pt>
                <c:pt idx="1">
                  <c:v>6.92</c:v>
                </c:pt>
                <c:pt idx="2">
                  <c:v>4.745</c:v>
                </c:pt>
                <c:pt idx="3">
                  <c:v>2.63</c:v>
                </c:pt>
                <c:pt idx="4">
                  <c:v>1.335</c:v>
                </c:pt>
                <c:pt idx="5">
                  <c:v>0.545</c:v>
                </c:pt>
                <c:pt idx="6">
                  <c:v>0.26</c:v>
                </c:pt>
                <c:pt idx="7">
                  <c:v>0.325</c:v>
                </c:pt>
                <c:pt idx="8">
                  <c:v>0.585</c:v>
                </c:pt>
                <c:pt idx="9">
                  <c:v>0.84</c:v>
                </c:pt>
                <c:pt idx="10">
                  <c:v>1.24</c:v>
                </c:pt>
                <c:pt idx="11">
                  <c:v>1.56</c:v>
                </c:pt>
                <c:pt idx="12">
                  <c:v>1.72</c:v>
                </c:pt>
                <c:pt idx="13">
                  <c:v>1.875</c:v>
                </c:pt>
                <c:pt idx="14">
                  <c:v>1.955</c:v>
                </c:pt>
                <c:pt idx="15">
                  <c:v>1.965</c:v>
                </c:pt>
                <c:pt idx="16">
                  <c:v>1.945</c:v>
                </c:pt>
                <c:pt idx="17">
                  <c:v>1.915</c:v>
                </c:pt>
                <c:pt idx="18">
                  <c:v>1.835</c:v>
                </c:pt>
                <c:pt idx="19">
                  <c:v>1.64</c:v>
                </c:pt>
                <c:pt idx="20">
                  <c:v>1.45</c:v>
                </c:pt>
                <c:pt idx="21">
                  <c:v>1.35</c:v>
                </c:pt>
                <c:pt idx="22">
                  <c:v>1.245</c:v>
                </c:pt>
                <c:pt idx="23">
                  <c:v>1.095</c:v>
                </c:pt>
                <c:pt idx="24">
                  <c:v>0.94</c:v>
                </c:pt>
                <c:pt idx="25">
                  <c:v>0.81</c:v>
                </c:pt>
                <c:pt idx="26">
                  <c:v>0.73</c:v>
                </c:pt>
                <c:pt idx="27">
                  <c:v>0.655</c:v>
                </c:pt>
                <c:pt idx="28">
                  <c:v>0.58</c:v>
                </c:pt>
                <c:pt idx="29">
                  <c:v>0.51</c:v>
                </c:pt>
                <c:pt idx="30">
                  <c:v>0.475</c:v>
                </c:pt>
                <c:pt idx="31">
                  <c:v>0.445</c:v>
                </c:pt>
                <c:pt idx="32">
                  <c:v>0.385</c:v>
                </c:pt>
                <c:pt idx="33">
                  <c:v>0.385</c:v>
                </c:pt>
                <c:pt idx="34">
                  <c:v>0.34</c:v>
                </c:pt>
                <c:pt idx="35">
                  <c:v>0.31</c:v>
                </c:pt>
                <c:pt idx="36">
                  <c:v>0.295</c:v>
                </c:pt>
                <c:pt idx="37">
                  <c:v>0.26</c:v>
                </c:pt>
                <c:pt idx="38">
                  <c:v>0.22</c:v>
                </c:pt>
                <c:pt idx="39">
                  <c:v>0.205</c:v>
                </c:pt>
                <c:pt idx="40">
                  <c:v>0.185</c:v>
                </c:pt>
                <c:pt idx="41">
                  <c:v>0.175</c:v>
                </c:pt>
                <c:pt idx="42">
                  <c:v>0.165</c:v>
                </c:pt>
                <c:pt idx="43">
                  <c:v>0.145</c:v>
                </c:pt>
                <c:pt idx="44">
                  <c:v>0.105</c:v>
                </c:pt>
                <c:pt idx="45">
                  <c:v>0.1</c:v>
                </c:pt>
                <c:pt idx="46">
                  <c:v>0.09</c:v>
                </c:pt>
                <c:pt idx="47">
                  <c:v>0.07</c:v>
                </c:pt>
                <c:pt idx="48">
                  <c:v>0.04</c:v>
                </c:pt>
                <c:pt idx="49">
                  <c:v>0.05</c:v>
                </c:pt>
                <c:pt idx="50">
                  <c:v>0.085</c:v>
                </c:pt>
                <c:pt idx="51">
                  <c:v>0.1</c:v>
                </c:pt>
                <c:pt idx="52">
                  <c:v>0.165</c:v>
                </c:pt>
                <c:pt idx="53">
                  <c:v>0.175</c:v>
                </c:pt>
                <c:pt idx="54">
                  <c:v>0.18</c:v>
                </c:pt>
                <c:pt idx="55">
                  <c:v>0.24</c:v>
                </c:pt>
                <c:pt idx="56">
                  <c:v>0.295</c:v>
                </c:pt>
                <c:pt idx="57">
                  <c:v>0.37</c:v>
                </c:pt>
                <c:pt idx="58">
                  <c:v>0.46</c:v>
                </c:pt>
                <c:pt idx="59">
                  <c:v>0.54</c:v>
                </c:pt>
                <c:pt idx="60">
                  <c:v>0.62</c:v>
                </c:pt>
                <c:pt idx="61">
                  <c:v>0.72</c:v>
                </c:pt>
                <c:pt idx="62">
                  <c:v>0.88</c:v>
                </c:pt>
                <c:pt idx="63">
                  <c:v>1.035</c:v>
                </c:pt>
                <c:pt idx="64">
                  <c:v>1.18</c:v>
                </c:pt>
                <c:pt idx="65">
                  <c:v>1.325</c:v>
                </c:pt>
                <c:pt idx="66">
                  <c:v>1.46</c:v>
                </c:pt>
                <c:pt idx="67">
                  <c:v>1.64</c:v>
                </c:pt>
                <c:pt idx="68">
                  <c:v>1.82</c:v>
                </c:pt>
                <c:pt idx="69">
                  <c:v>2</c:v>
                </c:pt>
                <c:pt idx="70">
                  <c:v>2.185</c:v>
                </c:pt>
                <c:pt idx="71">
                  <c:v>2.345</c:v>
                </c:pt>
                <c:pt idx="72">
                  <c:v>2.565</c:v>
                </c:pt>
                <c:pt idx="73">
                  <c:v>2.735</c:v>
                </c:pt>
                <c:pt idx="74">
                  <c:v>2.915</c:v>
                </c:pt>
                <c:pt idx="75">
                  <c:v>3.12</c:v>
                </c:pt>
                <c:pt idx="76">
                  <c:v>3.325</c:v>
                </c:pt>
                <c:pt idx="77">
                  <c:v>3.575</c:v>
                </c:pt>
                <c:pt idx="78">
                  <c:v>3.855</c:v>
                </c:pt>
                <c:pt idx="79">
                  <c:v>4.045</c:v>
                </c:pt>
                <c:pt idx="80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762112"/>
        <c:axId val="111561616"/>
      </c:lineChart>
      <c:catAx>
        <c:axId val="2357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/>
                  <a:t>λ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561616"/>
        <c:crosses val="autoZero"/>
        <c:auto val="1"/>
        <c:lblAlgn val="ctr"/>
        <c:lblOffset val="100"/>
        <c:noMultiLvlLbl val="0"/>
      </c:catAx>
      <c:valAx>
        <c:axId val="1115616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R%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62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色匹配函数</a:t>
            </a:r>
            <a:endParaRPr lang="zh-CN" altLang="en-US" sz="1800" b="1"/>
          </a:p>
        </c:rich>
      </c:tx>
      <c:layout>
        <c:manualLayout>
          <c:xMode val="edge"/>
          <c:yMode val="edge"/>
          <c:x val="0.348242458262105"/>
          <c:y val="0.01895206284623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149949382262"/>
          <c:y val="0.129553339723002"/>
          <c:w val="0.805488876689147"/>
          <c:h val="0.67264713683949"/>
        </c:manualLayout>
      </c:layout>
      <c:lineChart>
        <c:grouping val="standard"/>
        <c:varyColors val="0"/>
        <c:ser>
          <c:idx val="0"/>
          <c:order val="0"/>
          <c:tx>
            <c:strRef>
              <c:f>'Lab value_Cal.'!$E$19</c:f>
              <c:strCache>
                <c:ptCount val="1"/>
                <c:pt idx="0">
                  <c:v>X_bar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value_Cal.'!$E$20:$E$100</c:f>
              <c:numCache>
                <c:formatCode>General</c:formatCode>
                <c:ptCount val="81"/>
                <c:pt idx="0">
                  <c:v>0.000159952</c:v>
                </c:pt>
                <c:pt idx="1">
                  <c:v>0.00066244</c:v>
                </c:pt>
                <c:pt idx="2">
                  <c:v>0.0023616</c:v>
                </c:pt>
                <c:pt idx="3">
                  <c:v>0.0072423</c:v>
                </c:pt>
                <c:pt idx="4">
                  <c:v>0.0191097</c:v>
                </c:pt>
                <c:pt idx="5">
                  <c:v>0.0434</c:v>
                </c:pt>
                <c:pt idx="6">
                  <c:v>0.084736</c:v>
                </c:pt>
                <c:pt idx="7">
                  <c:v>0.140638</c:v>
                </c:pt>
                <c:pt idx="8">
                  <c:v>0.204492</c:v>
                </c:pt>
                <c:pt idx="9">
                  <c:v>0.264737</c:v>
                </c:pt>
                <c:pt idx="10">
                  <c:v>0.314679</c:v>
                </c:pt>
                <c:pt idx="11">
                  <c:v>0.357719</c:v>
                </c:pt>
                <c:pt idx="12">
                  <c:v>0.383734</c:v>
                </c:pt>
                <c:pt idx="13">
                  <c:v>0.386726</c:v>
                </c:pt>
                <c:pt idx="14">
                  <c:v>0.370702</c:v>
                </c:pt>
                <c:pt idx="15">
                  <c:v>0.342957</c:v>
                </c:pt>
                <c:pt idx="16">
                  <c:v>0.302273</c:v>
                </c:pt>
                <c:pt idx="17">
                  <c:v>0.254085</c:v>
                </c:pt>
                <c:pt idx="18">
                  <c:v>0.195618</c:v>
                </c:pt>
                <c:pt idx="19">
                  <c:v>0.132349</c:v>
                </c:pt>
                <c:pt idx="20">
                  <c:v>0.080507</c:v>
                </c:pt>
                <c:pt idx="21">
                  <c:v>0.041072</c:v>
                </c:pt>
                <c:pt idx="22">
                  <c:v>0.016172</c:v>
                </c:pt>
                <c:pt idx="23">
                  <c:v>0.005132</c:v>
                </c:pt>
                <c:pt idx="24">
                  <c:v>0.003816</c:v>
                </c:pt>
                <c:pt idx="25">
                  <c:v>0.015444</c:v>
                </c:pt>
                <c:pt idx="26">
                  <c:v>0.037465</c:v>
                </c:pt>
                <c:pt idx="27">
                  <c:v>0.071358</c:v>
                </c:pt>
                <c:pt idx="28">
                  <c:v>0.117749</c:v>
                </c:pt>
                <c:pt idx="29">
                  <c:v>0.172953</c:v>
                </c:pt>
                <c:pt idx="30">
                  <c:v>0.236491</c:v>
                </c:pt>
                <c:pt idx="31">
                  <c:v>0.304213</c:v>
                </c:pt>
                <c:pt idx="32">
                  <c:v>0.376772</c:v>
                </c:pt>
                <c:pt idx="33">
                  <c:v>0.451584</c:v>
                </c:pt>
                <c:pt idx="34">
                  <c:v>0.529826</c:v>
                </c:pt>
                <c:pt idx="35">
                  <c:v>0.616053</c:v>
                </c:pt>
                <c:pt idx="36">
                  <c:v>0.705224</c:v>
                </c:pt>
                <c:pt idx="37">
                  <c:v>0.793832</c:v>
                </c:pt>
                <c:pt idx="38">
                  <c:v>0.878655</c:v>
                </c:pt>
                <c:pt idx="39">
                  <c:v>0.951162</c:v>
                </c:pt>
                <c:pt idx="40">
                  <c:v>1.01416</c:v>
                </c:pt>
                <c:pt idx="41">
                  <c:v>1.0743</c:v>
                </c:pt>
                <c:pt idx="42">
                  <c:v>1.11852</c:v>
                </c:pt>
                <c:pt idx="43">
                  <c:v>1.1343</c:v>
                </c:pt>
                <c:pt idx="44">
                  <c:v>1.12399</c:v>
                </c:pt>
                <c:pt idx="45">
                  <c:v>1.0891</c:v>
                </c:pt>
                <c:pt idx="46">
                  <c:v>1.03048</c:v>
                </c:pt>
                <c:pt idx="47">
                  <c:v>0.95074</c:v>
                </c:pt>
                <c:pt idx="48">
                  <c:v>0.856297</c:v>
                </c:pt>
                <c:pt idx="49">
                  <c:v>0.75493</c:v>
                </c:pt>
                <c:pt idx="50">
                  <c:v>0.647467</c:v>
                </c:pt>
                <c:pt idx="51">
                  <c:v>0.53511</c:v>
                </c:pt>
                <c:pt idx="52">
                  <c:v>0.431567</c:v>
                </c:pt>
                <c:pt idx="53">
                  <c:v>0.34369</c:v>
                </c:pt>
                <c:pt idx="54">
                  <c:v>0.268329</c:v>
                </c:pt>
                <c:pt idx="55">
                  <c:v>0.2043</c:v>
                </c:pt>
                <c:pt idx="56">
                  <c:v>0.152568</c:v>
                </c:pt>
                <c:pt idx="57">
                  <c:v>0.11221</c:v>
                </c:pt>
                <c:pt idx="58">
                  <c:v>0.0812606</c:v>
                </c:pt>
                <c:pt idx="59">
                  <c:v>0.05793</c:v>
                </c:pt>
                <c:pt idx="60">
                  <c:v>0.0408508</c:v>
                </c:pt>
                <c:pt idx="61">
                  <c:v>0.028623</c:v>
                </c:pt>
                <c:pt idx="62">
                  <c:v>0.0199413</c:v>
                </c:pt>
                <c:pt idx="63">
                  <c:v>0.013842</c:v>
                </c:pt>
                <c:pt idx="64">
                  <c:v>0.00957688</c:v>
                </c:pt>
                <c:pt idx="65">
                  <c:v>0.0066052</c:v>
                </c:pt>
                <c:pt idx="66">
                  <c:v>0.00455263</c:v>
                </c:pt>
                <c:pt idx="67">
                  <c:v>0.0031447</c:v>
                </c:pt>
                <c:pt idx="68">
                  <c:v>0.00217496</c:v>
                </c:pt>
                <c:pt idx="69">
                  <c:v>0.0015057</c:v>
                </c:pt>
                <c:pt idx="70">
                  <c:v>0.00104476</c:v>
                </c:pt>
                <c:pt idx="71">
                  <c:v>0.00072745</c:v>
                </c:pt>
                <c:pt idx="72">
                  <c:v>0.000508258</c:v>
                </c:pt>
                <c:pt idx="73">
                  <c:v>0.00035638</c:v>
                </c:pt>
                <c:pt idx="74">
                  <c:v>0.000250969</c:v>
                </c:pt>
                <c:pt idx="75">
                  <c:v>0.00017773</c:v>
                </c:pt>
                <c:pt idx="76">
                  <c:v>0.00012639</c:v>
                </c:pt>
                <c:pt idx="77">
                  <c:v>9.0151e-5</c:v>
                </c:pt>
                <c:pt idx="78">
                  <c:v>6.45258e-5</c:v>
                </c:pt>
                <c:pt idx="79">
                  <c:v>4.6339e-5</c:v>
                </c:pt>
                <c:pt idx="80">
                  <c:v>3.34117e-5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'Lab value_Cal.'!$F$19</c:f>
              <c:strCache>
                <c:ptCount val="1"/>
                <c:pt idx="0">
                  <c:v>Y_bar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value_Cal.'!$F$20:$F$100</c:f>
              <c:numCache>
                <c:formatCode>General</c:formatCode>
                <c:ptCount val="81"/>
                <c:pt idx="0">
                  <c:v>1.7364e-5</c:v>
                </c:pt>
                <c:pt idx="1">
                  <c:v>7.156e-5</c:v>
                </c:pt>
                <c:pt idx="2">
                  <c:v>0.0002534</c:v>
                </c:pt>
                <c:pt idx="3">
                  <c:v>0.0007685</c:v>
                </c:pt>
                <c:pt idx="4">
                  <c:v>0.0020044</c:v>
                </c:pt>
                <c:pt idx="5">
                  <c:v>0.004509</c:v>
                </c:pt>
                <c:pt idx="6">
                  <c:v>0.008756</c:v>
                </c:pt>
                <c:pt idx="7">
                  <c:v>0.014456</c:v>
                </c:pt>
                <c:pt idx="8">
                  <c:v>0.021391</c:v>
                </c:pt>
                <c:pt idx="9">
                  <c:v>0.029497</c:v>
                </c:pt>
                <c:pt idx="10">
                  <c:v>0.038676</c:v>
                </c:pt>
                <c:pt idx="11">
                  <c:v>0.049602</c:v>
                </c:pt>
                <c:pt idx="12">
                  <c:v>0.062077</c:v>
                </c:pt>
                <c:pt idx="13">
                  <c:v>0.074704</c:v>
                </c:pt>
                <c:pt idx="14">
                  <c:v>0.089456</c:v>
                </c:pt>
                <c:pt idx="15">
                  <c:v>0.106256</c:v>
                </c:pt>
                <c:pt idx="16">
                  <c:v>0.128201</c:v>
                </c:pt>
                <c:pt idx="17">
                  <c:v>0.152761</c:v>
                </c:pt>
                <c:pt idx="18">
                  <c:v>0.18519</c:v>
                </c:pt>
                <c:pt idx="19">
                  <c:v>0.21994</c:v>
                </c:pt>
                <c:pt idx="20">
                  <c:v>0.253589</c:v>
                </c:pt>
                <c:pt idx="21">
                  <c:v>0.297665</c:v>
                </c:pt>
                <c:pt idx="22">
                  <c:v>0.339133</c:v>
                </c:pt>
                <c:pt idx="23">
                  <c:v>0.395379</c:v>
                </c:pt>
                <c:pt idx="24">
                  <c:v>0.460777</c:v>
                </c:pt>
                <c:pt idx="25">
                  <c:v>0.53136</c:v>
                </c:pt>
                <c:pt idx="26">
                  <c:v>0.606741</c:v>
                </c:pt>
                <c:pt idx="27">
                  <c:v>0.68566</c:v>
                </c:pt>
                <c:pt idx="28">
                  <c:v>0.761757</c:v>
                </c:pt>
                <c:pt idx="29">
                  <c:v>0.82333</c:v>
                </c:pt>
                <c:pt idx="30">
                  <c:v>0.875211</c:v>
                </c:pt>
                <c:pt idx="31">
                  <c:v>0.92381</c:v>
                </c:pt>
                <c:pt idx="32">
                  <c:v>0.961988</c:v>
                </c:pt>
                <c:pt idx="33">
                  <c:v>0.9822</c:v>
                </c:pt>
                <c:pt idx="34">
                  <c:v>0.991761</c:v>
                </c:pt>
                <c:pt idx="35">
                  <c:v>0.99911</c:v>
                </c:pt>
                <c:pt idx="36">
                  <c:v>0.99734</c:v>
                </c:pt>
                <c:pt idx="37">
                  <c:v>0.98238</c:v>
                </c:pt>
                <c:pt idx="38">
                  <c:v>0.955552</c:v>
                </c:pt>
                <c:pt idx="39">
                  <c:v>0.915175</c:v>
                </c:pt>
                <c:pt idx="40">
                  <c:v>0.868934</c:v>
                </c:pt>
                <c:pt idx="41">
                  <c:v>0.825623</c:v>
                </c:pt>
                <c:pt idx="42">
                  <c:v>0.777405</c:v>
                </c:pt>
                <c:pt idx="43">
                  <c:v>0.720353</c:v>
                </c:pt>
                <c:pt idx="44">
                  <c:v>0.658341</c:v>
                </c:pt>
                <c:pt idx="45">
                  <c:v>0.593878</c:v>
                </c:pt>
                <c:pt idx="46">
                  <c:v>0.527963</c:v>
                </c:pt>
                <c:pt idx="47">
                  <c:v>0.461834</c:v>
                </c:pt>
                <c:pt idx="48">
                  <c:v>0.398057</c:v>
                </c:pt>
                <c:pt idx="49">
                  <c:v>0.339554</c:v>
                </c:pt>
                <c:pt idx="50">
                  <c:v>0.283493</c:v>
                </c:pt>
                <c:pt idx="51">
                  <c:v>0.228254</c:v>
                </c:pt>
                <c:pt idx="52">
                  <c:v>0.179828</c:v>
                </c:pt>
                <c:pt idx="53">
                  <c:v>0.140211</c:v>
                </c:pt>
                <c:pt idx="54">
                  <c:v>0.107633</c:v>
                </c:pt>
                <c:pt idx="55">
                  <c:v>0.081187</c:v>
                </c:pt>
                <c:pt idx="56">
                  <c:v>0.060281</c:v>
                </c:pt>
                <c:pt idx="57">
                  <c:v>0.044096</c:v>
                </c:pt>
                <c:pt idx="58">
                  <c:v>0.0318004</c:v>
                </c:pt>
                <c:pt idx="59">
                  <c:v>0.0226017</c:v>
                </c:pt>
                <c:pt idx="60">
                  <c:v>0.0159051</c:v>
                </c:pt>
                <c:pt idx="61">
                  <c:v>0.0111303</c:v>
                </c:pt>
                <c:pt idx="62">
                  <c:v>0.0077488</c:v>
                </c:pt>
                <c:pt idx="63">
                  <c:v>0.0053751</c:v>
                </c:pt>
                <c:pt idx="64">
                  <c:v>0.00371774</c:v>
                </c:pt>
                <c:pt idx="65">
                  <c:v>0.00256456</c:v>
                </c:pt>
                <c:pt idx="66">
                  <c:v>0.00176847</c:v>
                </c:pt>
                <c:pt idx="67">
                  <c:v>0.00122239</c:v>
                </c:pt>
                <c:pt idx="68">
                  <c:v>0.00084619</c:v>
                </c:pt>
                <c:pt idx="69">
                  <c:v>0.00058644</c:v>
                </c:pt>
                <c:pt idx="70">
                  <c:v>0.00040741</c:v>
                </c:pt>
                <c:pt idx="71">
                  <c:v>0.000284041</c:v>
                </c:pt>
                <c:pt idx="72">
                  <c:v>0.00019873</c:v>
                </c:pt>
                <c:pt idx="73">
                  <c:v>0.00013955</c:v>
                </c:pt>
                <c:pt idx="74">
                  <c:v>9.8428e-5</c:v>
                </c:pt>
                <c:pt idx="75">
                  <c:v>6.9819e-5</c:v>
                </c:pt>
                <c:pt idx="76">
                  <c:v>4.9737e-5</c:v>
                </c:pt>
                <c:pt idx="77">
                  <c:v>3.55405e-5</c:v>
                </c:pt>
                <c:pt idx="78">
                  <c:v>2.5486e-5</c:v>
                </c:pt>
                <c:pt idx="79">
                  <c:v>1.83384e-5</c:v>
                </c:pt>
                <c:pt idx="80">
                  <c:v>1.3249e-5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'Lab value_Cal.'!$G$19</c:f>
              <c:strCache>
                <c:ptCount val="1"/>
                <c:pt idx="0">
                  <c:v>Z_bar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value_Cal.'!$G$20:$G$100</c:f>
              <c:numCache>
                <c:formatCode>General</c:formatCode>
                <c:ptCount val="81"/>
                <c:pt idx="0">
                  <c:v>0.000704776</c:v>
                </c:pt>
                <c:pt idx="1">
                  <c:v>0.0029278</c:v>
                </c:pt>
                <c:pt idx="2">
                  <c:v>0.0104822</c:v>
                </c:pt>
                <c:pt idx="3">
                  <c:v>0.032344</c:v>
                </c:pt>
                <c:pt idx="4">
                  <c:v>0.0860109</c:v>
                </c:pt>
                <c:pt idx="5">
                  <c:v>0.19712</c:v>
                </c:pt>
                <c:pt idx="6">
                  <c:v>0.389366</c:v>
                </c:pt>
                <c:pt idx="7">
                  <c:v>0.65676</c:v>
                </c:pt>
                <c:pt idx="8">
                  <c:v>0.972542</c:v>
                </c:pt>
                <c:pt idx="9">
                  <c:v>1.2825</c:v>
                </c:pt>
                <c:pt idx="10">
                  <c:v>1.55348</c:v>
                </c:pt>
                <c:pt idx="11">
                  <c:v>1.7985</c:v>
                </c:pt>
                <c:pt idx="12">
                  <c:v>1.96728</c:v>
                </c:pt>
                <c:pt idx="13">
                  <c:v>2.0273</c:v>
                </c:pt>
                <c:pt idx="14">
                  <c:v>1.9948</c:v>
                </c:pt>
                <c:pt idx="15">
                  <c:v>1.9007</c:v>
                </c:pt>
                <c:pt idx="16">
                  <c:v>1.74537</c:v>
                </c:pt>
                <c:pt idx="17">
                  <c:v>1.5549</c:v>
                </c:pt>
                <c:pt idx="18">
                  <c:v>1.31756</c:v>
                </c:pt>
                <c:pt idx="19">
                  <c:v>1.0302</c:v>
                </c:pt>
                <c:pt idx="20">
                  <c:v>0.772125</c:v>
                </c:pt>
                <c:pt idx="21">
                  <c:v>0.5706</c:v>
                </c:pt>
                <c:pt idx="22">
                  <c:v>0.415254</c:v>
                </c:pt>
                <c:pt idx="23">
                  <c:v>0.302356</c:v>
                </c:pt>
                <c:pt idx="24">
                  <c:v>0.218502</c:v>
                </c:pt>
                <c:pt idx="25">
                  <c:v>0.159249</c:v>
                </c:pt>
                <c:pt idx="26">
                  <c:v>0.112044</c:v>
                </c:pt>
                <c:pt idx="27">
                  <c:v>0.082248</c:v>
                </c:pt>
                <c:pt idx="28">
                  <c:v>0.060709</c:v>
                </c:pt>
                <c:pt idx="29">
                  <c:v>0.04305</c:v>
                </c:pt>
                <c:pt idx="30">
                  <c:v>0.030451</c:v>
                </c:pt>
                <c:pt idx="31">
                  <c:v>0.020584</c:v>
                </c:pt>
                <c:pt idx="32">
                  <c:v>0.013676</c:v>
                </c:pt>
                <c:pt idx="33">
                  <c:v>0.007918</c:v>
                </c:pt>
                <c:pt idx="34">
                  <c:v>0.003988</c:v>
                </c:pt>
                <c:pt idx="35">
                  <c:v>0.001091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120624"/>
        <c:axId val="235552192"/>
      </c:lineChart>
      <c:catAx>
        <c:axId val="170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552192"/>
        <c:crosses val="autoZero"/>
        <c:auto val="1"/>
        <c:lblAlgn val="ctr"/>
        <c:lblOffset val="100"/>
        <c:noMultiLvlLbl val="0"/>
      </c:catAx>
      <c:valAx>
        <c:axId val="2355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206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相对光谱分布</a:t>
            </a:r>
            <a:endParaRPr lang="en-US" altLang="zh-CN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0594925634296"/>
          <c:y val="0.13326352530541"/>
          <c:w val="0.862746062992126"/>
          <c:h val="0.664183259815036"/>
        </c:manualLayout>
      </c:layout>
      <c:lineChart>
        <c:grouping val="standard"/>
        <c:varyColors val="0"/>
        <c:ser>
          <c:idx val="0"/>
          <c:order val="0"/>
          <c:tx>
            <c:strRef>
              <c:f>'Lab value_Cal.'!$I$19</c:f>
              <c:strCache>
                <c:ptCount val="1"/>
                <c:pt idx="0">
                  <c:v>D65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value_Cal.'!$I$20:$I$100</c:f>
              <c:numCache>
                <c:formatCode>0.0</c:formatCode>
                <c:ptCount val="81"/>
                <c:pt idx="0">
                  <c:v>50</c:v>
                </c:pt>
                <c:pt idx="1">
                  <c:v>52.3</c:v>
                </c:pt>
                <c:pt idx="2">
                  <c:v>54.6</c:v>
                </c:pt>
                <c:pt idx="3">
                  <c:v>68.7</c:v>
                </c:pt>
                <c:pt idx="4">
                  <c:v>82.8</c:v>
                </c:pt>
                <c:pt idx="5">
                  <c:v>87.1</c:v>
                </c:pt>
                <c:pt idx="6">
                  <c:v>91.5</c:v>
                </c:pt>
                <c:pt idx="7">
                  <c:v>92.5</c:v>
                </c:pt>
                <c:pt idx="8">
                  <c:v>93.4</c:v>
                </c:pt>
                <c:pt idx="9">
                  <c:v>90.1</c:v>
                </c:pt>
                <c:pt idx="10">
                  <c:v>86.7</c:v>
                </c:pt>
                <c:pt idx="11">
                  <c:v>95.8</c:v>
                </c:pt>
                <c:pt idx="12">
                  <c:v>104.9</c:v>
                </c:pt>
                <c:pt idx="13">
                  <c:v>110.9</c:v>
                </c:pt>
                <c:pt idx="14">
                  <c:v>117</c:v>
                </c:pt>
                <c:pt idx="15">
                  <c:v>117.4</c:v>
                </c:pt>
                <c:pt idx="16">
                  <c:v>117.8</c:v>
                </c:pt>
                <c:pt idx="17">
                  <c:v>116.3</c:v>
                </c:pt>
                <c:pt idx="18">
                  <c:v>114.9</c:v>
                </c:pt>
                <c:pt idx="19">
                  <c:v>115.4</c:v>
                </c:pt>
                <c:pt idx="20">
                  <c:v>115.9</c:v>
                </c:pt>
                <c:pt idx="21">
                  <c:v>112.4</c:v>
                </c:pt>
                <c:pt idx="22">
                  <c:v>108.8</c:v>
                </c:pt>
                <c:pt idx="23">
                  <c:v>109.1</c:v>
                </c:pt>
                <c:pt idx="24">
                  <c:v>109.4</c:v>
                </c:pt>
                <c:pt idx="25">
                  <c:v>108.6</c:v>
                </c:pt>
                <c:pt idx="26">
                  <c:v>107.8</c:v>
                </c:pt>
                <c:pt idx="27">
                  <c:v>106.3</c:v>
                </c:pt>
                <c:pt idx="28">
                  <c:v>104.8</c:v>
                </c:pt>
                <c:pt idx="29">
                  <c:v>106.2</c:v>
                </c:pt>
                <c:pt idx="30">
                  <c:v>107.7</c:v>
                </c:pt>
                <c:pt idx="31">
                  <c:v>106</c:v>
                </c:pt>
                <c:pt idx="32">
                  <c:v>104.4</c:v>
                </c:pt>
                <c:pt idx="33">
                  <c:v>104.2</c:v>
                </c:pt>
                <c:pt idx="34">
                  <c:v>104</c:v>
                </c:pt>
                <c:pt idx="35">
                  <c:v>102</c:v>
                </c:pt>
                <c:pt idx="36">
                  <c:v>100</c:v>
                </c:pt>
                <c:pt idx="37">
                  <c:v>98.2</c:v>
                </c:pt>
                <c:pt idx="38">
                  <c:v>96.3</c:v>
                </c:pt>
                <c:pt idx="39">
                  <c:v>96.1</c:v>
                </c:pt>
                <c:pt idx="40">
                  <c:v>95.8</c:v>
                </c:pt>
                <c:pt idx="41">
                  <c:v>92.2</c:v>
                </c:pt>
                <c:pt idx="42">
                  <c:v>88.7</c:v>
                </c:pt>
                <c:pt idx="43">
                  <c:v>89.3</c:v>
                </c:pt>
                <c:pt idx="44">
                  <c:v>90</c:v>
                </c:pt>
                <c:pt idx="45">
                  <c:v>89.8</c:v>
                </c:pt>
                <c:pt idx="46">
                  <c:v>89.6</c:v>
                </c:pt>
                <c:pt idx="47">
                  <c:v>88.6</c:v>
                </c:pt>
                <c:pt idx="48">
                  <c:v>87.7</c:v>
                </c:pt>
                <c:pt idx="49">
                  <c:v>85.5</c:v>
                </c:pt>
                <c:pt idx="50">
                  <c:v>83.3</c:v>
                </c:pt>
                <c:pt idx="51">
                  <c:v>83.5</c:v>
                </c:pt>
                <c:pt idx="52">
                  <c:v>83.7</c:v>
                </c:pt>
                <c:pt idx="53">
                  <c:v>81.9</c:v>
                </c:pt>
                <c:pt idx="54">
                  <c:v>80</c:v>
                </c:pt>
                <c:pt idx="55">
                  <c:v>80.1</c:v>
                </c:pt>
                <c:pt idx="56">
                  <c:v>80.2</c:v>
                </c:pt>
                <c:pt idx="57">
                  <c:v>81.2</c:v>
                </c:pt>
                <c:pt idx="58">
                  <c:v>82.3</c:v>
                </c:pt>
                <c:pt idx="59">
                  <c:v>80.3</c:v>
                </c:pt>
                <c:pt idx="60">
                  <c:v>78.3</c:v>
                </c:pt>
                <c:pt idx="61">
                  <c:v>74</c:v>
                </c:pt>
                <c:pt idx="62">
                  <c:v>69.7</c:v>
                </c:pt>
                <c:pt idx="63">
                  <c:v>70.7</c:v>
                </c:pt>
                <c:pt idx="64">
                  <c:v>71.6</c:v>
                </c:pt>
                <c:pt idx="65">
                  <c:v>73</c:v>
                </c:pt>
                <c:pt idx="66">
                  <c:v>74.3</c:v>
                </c:pt>
                <c:pt idx="67">
                  <c:v>68</c:v>
                </c:pt>
                <c:pt idx="68">
                  <c:v>61.6</c:v>
                </c:pt>
                <c:pt idx="69">
                  <c:v>65.7</c:v>
                </c:pt>
                <c:pt idx="70">
                  <c:v>69.9</c:v>
                </c:pt>
                <c:pt idx="71">
                  <c:v>72.5</c:v>
                </c:pt>
                <c:pt idx="72">
                  <c:v>75.1</c:v>
                </c:pt>
                <c:pt idx="73">
                  <c:v>69.3</c:v>
                </c:pt>
                <c:pt idx="74">
                  <c:v>63.6</c:v>
                </c:pt>
                <c:pt idx="75">
                  <c:v>55</c:v>
                </c:pt>
                <c:pt idx="76">
                  <c:v>46.4</c:v>
                </c:pt>
                <c:pt idx="77">
                  <c:v>56.6</c:v>
                </c:pt>
                <c:pt idx="78">
                  <c:v>66.8</c:v>
                </c:pt>
                <c:pt idx="79">
                  <c:v>65.1</c:v>
                </c:pt>
                <c:pt idx="80">
                  <c:v>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629224"/>
        <c:axId val="169451464"/>
      </c:lineChart>
      <c:catAx>
        <c:axId val="23562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451464"/>
        <c:crosses val="autoZero"/>
        <c:auto val="1"/>
        <c:lblAlgn val="ctr"/>
        <c:lblOffset val="100"/>
        <c:noMultiLvlLbl val="0"/>
      </c:catAx>
      <c:valAx>
        <c:axId val="16945146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2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R%</a:t>
            </a:r>
            <a:endParaRPr lang="en-US" altLang="zh-CN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744389984839"/>
          <c:y val="0.201575141978691"/>
          <c:w val="0.826470608862795"/>
          <c:h val="0.612715331354196"/>
        </c:manualLayout>
      </c:layout>
      <c:lineChart>
        <c:grouping val="standard"/>
        <c:varyColors val="0"/>
        <c:ser>
          <c:idx val="0"/>
          <c:order val="0"/>
          <c:tx>
            <c:strRef>
              <c:f>'Lab value_Cal.'!$C$17</c:f>
              <c:strCache>
                <c:ptCount val="1"/>
                <c:pt idx="0">
                  <c:v>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'Lab value_Cal.'!$B$20:$B$100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'Lab value_Cal.'!$C$20:$C$100</c:f>
              <c:numCache>
                <c:formatCode>General</c:formatCode>
                <c:ptCount val="81"/>
                <c:pt idx="0">
                  <c:v>9.47</c:v>
                </c:pt>
                <c:pt idx="1">
                  <c:v>6.92</c:v>
                </c:pt>
                <c:pt idx="2">
                  <c:v>4.745</c:v>
                </c:pt>
                <c:pt idx="3">
                  <c:v>2.63</c:v>
                </c:pt>
                <c:pt idx="4">
                  <c:v>1.335</c:v>
                </c:pt>
                <c:pt idx="5">
                  <c:v>0.545</c:v>
                </c:pt>
                <c:pt idx="6">
                  <c:v>0.26</c:v>
                </c:pt>
                <c:pt idx="7">
                  <c:v>0.325</c:v>
                </c:pt>
                <c:pt idx="8">
                  <c:v>0.585</c:v>
                </c:pt>
                <c:pt idx="9">
                  <c:v>0.84</c:v>
                </c:pt>
                <c:pt idx="10">
                  <c:v>1.24</c:v>
                </c:pt>
                <c:pt idx="11">
                  <c:v>1.56</c:v>
                </c:pt>
                <c:pt idx="12">
                  <c:v>1.72</c:v>
                </c:pt>
                <c:pt idx="13">
                  <c:v>1.875</c:v>
                </c:pt>
                <c:pt idx="14">
                  <c:v>1.955</c:v>
                </c:pt>
                <c:pt idx="15">
                  <c:v>1.965</c:v>
                </c:pt>
                <c:pt idx="16">
                  <c:v>1.945</c:v>
                </c:pt>
                <c:pt idx="17">
                  <c:v>1.915</c:v>
                </c:pt>
                <c:pt idx="18">
                  <c:v>1.835</c:v>
                </c:pt>
                <c:pt idx="19">
                  <c:v>1.64</c:v>
                </c:pt>
                <c:pt idx="20">
                  <c:v>1.45</c:v>
                </c:pt>
                <c:pt idx="21">
                  <c:v>1.35</c:v>
                </c:pt>
                <c:pt idx="22">
                  <c:v>1.245</c:v>
                </c:pt>
                <c:pt idx="23">
                  <c:v>1.095</c:v>
                </c:pt>
                <c:pt idx="24">
                  <c:v>0.94</c:v>
                </c:pt>
                <c:pt idx="25">
                  <c:v>0.81</c:v>
                </c:pt>
                <c:pt idx="26">
                  <c:v>0.73</c:v>
                </c:pt>
                <c:pt idx="27">
                  <c:v>0.655</c:v>
                </c:pt>
                <c:pt idx="28">
                  <c:v>0.58</c:v>
                </c:pt>
                <c:pt idx="29">
                  <c:v>0.51</c:v>
                </c:pt>
                <c:pt idx="30">
                  <c:v>0.475</c:v>
                </c:pt>
                <c:pt idx="31">
                  <c:v>0.445</c:v>
                </c:pt>
                <c:pt idx="32">
                  <c:v>0.385</c:v>
                </c:pt>
                <c:pt idx="33">
                  <c:v>0.385</c:v>
                </c:pt>
                <c:pt idx="34">
                  <c:v>0.34</c:v>
                </c:pt>
                <c:pt idx="35">
                  <c:v>0.31</c:v>
                </c:pt>
                <c:pt idx="36">
                  <c:v>0.295</c:v>
                </c:pt>
                <c:pt idx="37">
                  <c:v>0.26</c:v>
                </c:pt>
                <c:pt idx="38">
                  <c:v>0.22</c:v>
                </c:pt>
                <c:pt idx="39">
                  <c:v>0.205</c:v>
                </c:pt>
                <c:pt idx="40">
                  <c:v>0.185</c:v>
                </c:pt>
                <c:pt idx="41">
                  <c:v>0.175</c:v>
                </c:pt>
                <c:pt idx="42">
                  <c:v>0.165</c:v>
                </c:pt>
                <c:pt idx="43">
                  <c:v>0.145</c:v>
                </c:pt>
                <c:pt idx="44">
                  <c:v>0.105</c:v>
                </c:pt>
                <c:pt idx="45">
                  <c:v>0.1</c:v>
                </c:pt>
                <c:pt idx="46">
                  <c:v>0.09</c:v>
                </c:pt>
                <c:pt idx="47">
                  <c:v>0.07</c:v>
                </c:pt>
                <c:pt idx="48">
                  <c:v>0.04</c:v>
                </c:pt>
                <c:pt idx="49">
                  <c:v>0.05</c:v>
                </c:pt>
                <c:pt idx="50">
                  <c:v>0.085</c:v>
                </c:pt>
                <c:pt idx="51">
                  <c:v>0.1</c:v>
                </c:pt>
                <c:pt idx="52">
                  <c:v>0.165</c:v>
                </c:pt>
                <c:pt idx="53">
                  <c:v>0.175</c:v>
                </c:pt>
                <c:pt idx="54">
                  <c:v>0.18</c:v>
                </c:pt>
                <c:pt idx="55">
                  <c:v>0.24</c:v>
                </c:pt>
                <c:pt idx="56">
                  <c:v>0.295</c:v>
                </c:pt>
                <c:pt idx="57">
                  <c:v>0.37</c:v>
                </c:pt>
                <c:pt idx="58">
                  <c:v>0.46</c:v>
                </c:pt>
                <c:pt idx="59">
                  <c:v>0.54</c:v>
                </c:pt>
                <c:pt idx="60">
                  <c:v>0.62</c:v>
                </c:pt>
                <c:pt idx="61">
                  <c:v>0.72</c:v>
                </c:pt>
                <c:pt idx="62">
                  <c:v>0.88</c:v>
                </c:pt>
                <c:pt idx="63">
                  <c:v>1.035</c:v>
                </c:pt>
                <c:pt idx="64">
                  <c:v>1.18</c:v>
                </c:pt>
                <c:pt idx="65">
                  <c:v>1.325</c:v>
                </c:pt>
                <c:pt idx="66">
                  <c:v>1.46</c:v>
                </c:pt>
                <c:pt idx="67">
                  <c:v>1.64</c:v>
                </c:pt>
                <c:pt idx="68">
                  <c:v>1.82</c:v>
                </c:pt>
                <c:pt idx="69">
                  <c:v>2</c:v>
                </c:pt>
                <c:pt idx="70">
                  <c:v>2.185</c:v>
                </c:pt>
                <c:pt idx="71">
                  <c:v>2.345</c:v>
                </c:pt>
                <c:pt idx="72">
                  <c:v>2.565</c:v>
                </c:pt>
                <c:pt idx="73">
                  <c:v>2.735</c:v>
                </c:pt>
                <c:pt idx="74">
                  <c:v>2.915</c:v>
                </c:pt>
                <c:pt idx="75">
                  <c:v>3.12</c:v>
                </c:pt>
                <c:pt idx="76">
                  <c:v>3.325</c:v>
                </c:pt>
                <c:pt idx="77">
                  <c:v>3.575</c:v>
                </c:pt>
                <c:pt idx="78">
                  <c:v>3.855</c:v>
                </c:pt>
                <c:pt idx="79">
                  <c:v>4.045</c:v>
                </c:pt>
                <c:pt idx="80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762112"/>
        <c:axId val="111561616"/>
      </c:lineChart>
      <c:catAx>
        <c:axId val="2357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/>
                  <a:t>λ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561616"/>
        <c:crosses val="autoZero"/>
        <c:auto val="1"/>
        <c:lblAlgn val="ctr"/>
        <c:lblOffset val="100"/>
        <c:noMultiLvlLbl val="0"/>
      </c:catAx>
      <c:valAx>
        <c:axId val="1115616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R%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62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jpeg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56029</xdr:colOff>
      <xdr:row>13</xdr:row>
      <xdr:rowOff>79562</xdr:rowOff>
    </xdr:from>
    <xdr:to>
      <xdr:col>7</xdr:col>
      <xdr:colOff>627529</xdr:colOff>
      <xdr:row>111</xdr:row>
      <xdr:rowOff>122465</xdr:rowOff>
    </xdr:to>
    <xdr:graphicFrame>
      <xdr:nvGraphicFramePr>
        <xdr:cNvPr id="5" name="图表 4"/>
        <xdr:cNvGraphicFramePr/>
      </xdr:nvGraphicFramePr>
      <xdr:xfrm>
        <a:off x="179705" y="2698750"/>
        <a:ext cx="4838700" cy="391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235327</xdr:colOff>
      <xdr:row>14</xdr:row>
      <xdr:rowOff>33619</xdr:rowOff>
    </xdr:from>
    <xdr:to>
      <xdr:col>7</xdr:col>
      <xdr:colOff>235328</xdr:colOff>
      <xdr:row>100</xdr:row>
      <xdr:rowOff>0</xdr:rowOff>
    </xdr:to>
    <xdr:cxnSp>
      <xdr:nvCxnSpPr>
        <xdr:cNvPr id="3" name="直接连接符 2"/>
        <xdr:cNvCxnSpPr/>
      </xdr:nvCxnSpPr>
      <xdr:spPr>
        <a:xfrm flipH="1" flipV="1">
          <a:off x="4625975" y="2909570"/>
          <a:ext cx="0" cy="3284855"/>
        </a:xfrm>
        <a:prstGeom prst="line">
          <a:avLst/>
        </a:prstGeom>
        <a:ln w="19050">
          <a:solidFill>
            <a:schemeClr val="tx1">
              <a:lumMod val="75000"/>
              <a:lumOff val="2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111</xdr:row>
      <xdr:rowOff>136072</xdr:rowOff>
    </xdr:from>
    <xdr:to>
      <xdr:col>4</xdr:col>
      <xdr:colOff>560294</xdr:colOff>
      <xdr:row>123</xdr:row>
      <xdr:rowOff>168088</xdr:rowOff>
    </xdr:to>
    <xdr:graphicFrame>
      <xdr:nvGraphicFramePr>
        <xdr:cNvPr id="10" name="图表 9"/>
        <xdr:cNvGraphicFramePr/>
      </xdr:nvGraphicFramePr>
      <xdr:xfrm>
        <a:off x="179705" y="6623685"/>
        <a:ext cx="2713990" cy="1865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2</xdr:row>
      <xdr:rowOff>0</xdr:rowOff>
    </xdr:from>
    <xdr:ext cx="0" cy="172227"/>
    <xdr:sp>
      <xdr:nvSpPr>
        <xdr:cNvPr id="3" name="文本框 2"/>
        <xdr:cNvSpPr txBox="1"/>
      </xdr:nvSpPr>
      <xdr:spPr>
        <a:xfrm>
          <a:off x="5362575" y="4286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59486</xdr:colOff>
      <xdr:row>0</xdr:row>
      <xdr:rowOff>44824</xdr:rowOff>
    </xdr:from>
    <xdr:to>
      <xdr:col>6</xdr:col>
      <xdr:colOff>1373280</xdr:colOff>
      <xdr:row>15</xdr:row>
      <xdr:rowOff>159124</xdr:rowOff>
    </xdr:to>
    <xdr:graphicFrame>
      <xdr:nvGraphicFramePr>
        <xdr:cNvPr id="3" name="图表 2"/>
        <xdr:cNvGraphicFramePr/>
      </xdr:nvGraphicFramePr>
      <xdr:xfrm>
        <a:off x="5497830" y="44450"/>
        <a:ext cx="411416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11206</xdr:colOff>
      <xdr:row>0</xdr:row>
      <xdr:rowOff>33617</xdr:rowOff>
    </xdr:from>
    <xdr:to>
      <xdr:col>8</xdr:col>
      <xdr:colOff>4157382</xdr:colOff>
      <xdr:row>15</xdr:row>
      <xdr:rowOff>138392</xdr:rowOff>
    </xdr:to>
    <xdr:graphicFrame>
      <xdr:nvGraphicFramePr>
        <xdr:cNvPr id="5" name="图表 4"/>
        <xdr:cNvGraphicFramePr/>
      </xdr:nvGraphicFramePr>
      <xdr:xfrm>
        <a:off x="10012045" y="33020"/>
        <a:ext cx="414655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33616</xdr:colOff>
      <xdr:row>0</xdr:row>
      <xdr:rowOff>44825</xdr:rowOff>
    </xdr:from>
    <xdr:to>
      <xdr:col>2</xdr:col>
      <xdr:colOff>4168587</xdr:colOff>
      <xdr:row>15</xdr:row>
      <xdr:rowOff>123265</xdr:rowOff>
    </xdr:to>
    <xdr:graphicFrame>
      <xdr:nvGraphicFramePr>
        <xdr:cNvPr id="4" name="图表 3"/>
        <xdr:cNvGraphicFramePr/>
      </xdr:nvGraphicFramePr>
      <xdr:xfrm>
        <a:off x="956945" y="44450"/>
        <a:ext cx="4135120" cy="268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78441</xdr:colOff>
      <xdr:row>0</xdr:row>
      <xdr:rowOff>56030</xdr:rowOff>
    </xdr:from>
    <xdr:to>
      <xdr:col>15</xdr:col>
      <xdr:colOff>647335</xdr:colOff>
      <xdr:row>17</xdr:row>
      <xdr:rowOff>44824</xdr:rowOff>
    </xdr:to>
    <xdr:pic>
      <xdr:nvPicPr>
        <xdr:cNvPr id="2" name="图片 1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5680" y="55880"/>
          <a:ext cx="5007610" cy="3036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59486</xdr:colOff>
      <xdr:row>0</xdr:row>
      <xdr:rowOff>44824</xdr:rowOff>
    </xdr:from>
    <xdr:to>
      <xdr:col>4</xdr:col>
      <xdr:colOff>1373280</xdr:colOff>
      <xdr:row>15</xdr:row>
      <xdr:rowOff>159124</xdr:rowOff>
    </xdr:to>
    <xdr:graphicFrame>
      <xdr:nvGraphicFramePr>
        <xdr:cNvPr id="10" name="图表 9"/>
        <xdr:cNvGraphicFramePr/>
      </xdr:nvGraphicFramePr>
      <xdr:xfrm>
        <a:off x="1430655" y="44450"/>
        <a:ext cx="411416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0</xdr:row>
      <xdr:rowOff>33617</xdr:rowOff>
    </xdr:from>
    <xdr:to>
      <xdr:col>6</xdr:col>
      <xdr:colOff>4157382</xdr:colOff>
      <xdr:row>15</xdr:row>
      <xdr:rowOff>138392</xdr:rowOff>
    </xdr:to>
    <xdr:graphicFrame>
      <xdr:nvGraphicFramePr>
        <xdr:cNvPr id="11" name="图表 10"/>
        <xdr:cNvGraphicFramePr/>
      </xdr:nvGraphicFramePr>
      <xdr:xfrm>
        <a:off x="5944870" y="33020"/>
        <a:ext cx="414655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44825</xdr:rowOff>
    </xdr:from>
    <xdr:to>
      <xdr:col>2</xdr:col>
      <xdr:colOff>0</xdr:colOff>
      <xdr:row>15</xdr:row>
      <xdr:rowOff>123265</xdr:rowOff>
    </xdr:to>
    <xdr:graphicFrame>
      <xdr:nvGraphicFramePr>
        <xdr:cNvPr id="12" name="图表 11"/>
        <xdr:cNvGraphicFramePr/>
      </xdr:nvGraphicFramePr>
      <xdr:xfrm>
        <a:off x="1371600" y="44450"/>
        <a:ext cx="0" cy="268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2"/>
  <sheetViews>
    <sheetView workbookViewId="0">
      <selection activeCell="K15" sqref="K15"/>
    </sheetView>
  </sheetViews>
  <sheetFormatPr defaultColWidth="9" defaultRowHeight="13.5" outlineLevelCol="5"/>
  <cols>
    <col min="1" max="1" width="9.25" style="237" customWidth="1"/>
    <col min="2" max="2" width="7.625" style="237" customWidth="1"/>
    <col min="3" max="16384" width="9" style="1"/>
  </cols>
  <sheetData>
    <row r="1" ht="18.75" spans="1:6">
      <c r="A1" s="238" t="s">
        <v>0</v>
      </c>
      <c r="B1" s="239" t="s">
        <v>1</v>
      </c>
      <c r="E1" s="240" t="s">
        <v>2</v>
      </c>
      <c r="F1" s="240" t="s">
        <v>3</v>
      </c>
    </row>
    <row r="2" spans="1:6">
      <c r="A2" s="241">
        <v>190</v>
      </c>
      <c r="B2" s="241">
        <v>14.214</v>
      </c>
      <c r="E2" s="2">
        <v>280</v>
      </c>
      <c r="F2" s="2">
        <f>VLOOKUP(E2,A:B,2,FALSE)</f>
        <v>27.4236</v>
      </c>
    </row>
    <row r="3" spans="1:6">
      <c r="A3" s="241">
        <v>191</v>
      </c>
      <c r="B3" s="241">
        <v>14.1748</v>
      </c>
      <c r="E3" s="2">
        <v>285</v>
      </c>
      <c r="F3" s="2">
        <f t="shared" ref="F3:F66" si="0">VLOOKUP(E3,A:B,2,FALSE)</f>
        <v>28.6632</v>
      </c>
    </row>
    <row r="4" spans="1:6">
      <c r="A4" s="241">
        <v>192</v>
      </c>
      <c r="B4" s="241">
        <v>13.8931</v>
      </c>
      <c r="E4" s="2">
        <v>290</v>
      </c>
      <c r="F4" s="2">
        <f t="shared" si="0"/>
        <v>29.6573</v>
      </c>
    </row>
    <row r="5" spans="1:6">
      <c r="A5" s="241">
        <v>193</v>
      </c>
      <c r="B5" s="241">
        <v>13.5551</v>
      </c>
      <c r="E5" s="2">
        <v>295</v>
      </c>
      <c r="F5" s="2">
        <f t="shared" si="0"/>
        <v>30.4294</v>
      </c>
    </row>
    <row r="6" spans="1:6">
      <c r="A6" s="241">
        <v>194</v>
      </c>
      <c r="B6" s="241">
        <v>12.9479</v>
      </c>
      <c r="E6" s="2">
        <v>300</v>
      </c>
      <c r="F6" s="2">
        <f t="shared" si="0"/>
        <v>30.8043</v>
      </c>
    </row>
    <row r="7" spans="1:6">
      <c r="A7" s="241">
        <v>195</v>
      </c>
      <c r="B7" s="241">
        <v>12.5261</v>
      </c>
      <c r="E7" s="2">
        <v>305</v>
      </c>
      <c r="F7" s="2">
        <f t="shared" si="0"/>
        <v>30.9198</v>
      </c>
    </row>
    <row r="8" spans="1:6">
      <c r="A8" s="241">
        <v>196</v>
      </c>
      <c r="B8" s="241">
        <v>12.0317</v>
      </c>
      <c r="E8" s="2">
        <v>310</v>
      </c>
      <c r="F8" s="2">
        <f t="shared" si="0"/>
        <v>30.4548</v>
      </c>
    </row>
    <row r="9" spans="1:6">
      <c r="A9" s="241">
        <v>197</v>
      </c>
      <c r="B9" s="241">
        <v>11.4524</v>
      </c>
      <c r="E9" s="2">
        <v>315</v>
      </c>
      <c r="F9" s="2">
        <f t="shared" si="0"/>
        <v>29.5231</v>
      </c>
    </row>
    <row r="10" spans="1:6">
      <c r="A10" s="241">
        <v>198</v>
      </c>
      <c r="B10" s="241">
        <v>10.9594</v>
      </c>
      <c r="E10" s="2">
        <v>320</v>
      </c>
      <c r="F10" s="2">
        <f t="shared" si="0"/>
        <v>27.8488</v>
      </c>
    </row>
    <row r="11" spans="1:6">
      <c r="A11" s="241">
        <v>199</v>
      </c>
      <c r="B11" s="241">
        <v>10.3892</v>
      </c>
      <c r="E11" s="2">
        <v>325</v>
      </c>
      <c r="F11" s="2">
        <f t="shared" si="0"/>
        <v>25.4035</v>
      </c>
    </row>
    <row r="12" spans="1:6">
      <c r="A12" s="241">
        <v>200</v>
      </c>
      <c r="B12" s="241">
        <v>9.8592</v>
      </c>
      <c r="E12" s="2">
        <v>330</v>
      </c>
      <c r="F12" s="2">
        <f t="shared" si="0"/>
        <v>22.3777</v>
      </c>
    </row>
    <row r="13" spans="1:6">
      <c r="A13" s="241">
        <v>201</v>
      </c>
      <c r="B13" s="241">
        <v>9.25</v>
      </c>
      <c r="E13" s="2">
        <v>335</v>
      </c>
      <c r="F13" s="2">
        <f t="shared" si="0"/>
        <v>19.368</v>
      </c>
    </row>
    <row r="14" spans="1:6">
      <c r="A14" s="241">
        <v>202</v>
      </c>
      <c r="B14" s="241">
        <v>8.6976</v>
      </c>
      <c r="E14" s="2">
        <v>340</v>
      </c>
      <c r="F14" s="2">
        <f t="shared" si="0"/>
        <v>16.6269</v>
      </c>
    </row>
    <row r="15" spans="1:6">
      <c r="A15" s="241">
        <v>203</v>
      </c>
      <c r="B15" s="241">
        <v>8.1605</v>
      </c>
      <c r="E15" s="2">
        <v>345</v>
      </c>
      <c r="F15" s="2">
        <f t="shared" si="0"/>
        <v>15.0387</v>
      </c>
    </row>
    <row r="16" spans="1:6">
      <c r="A16" s="241">
        <v>204</v>
      </c>
      <c r="B16" s="241">
        <v>7.6801</v>
      </c>
      <c r="E16" s="2">
        <v>350</v>
      </c>
      <c r="F16" s="2">
        <f t="shared" si="0"/>
        <v>14.3586</v>
      </c>
    </row>
    <row r="17" spans="1:6">
      <c r="A17" s="241">
        <v>205</v>
      </c>
      <c r="B17" s="241">
        <v>7.1826</v>
      </c>
      <c r="E17" s="2">
        <v>355</v>
      </c>
      <c r="F17" s="2">
        <f t="shared" si="0"/>
        <v>13.707</v>
      </c>
    </row>
    <row r="18" spans="1:6">
      <c r="A18" s="241">
        <v>206</v>
      </c>
      <c r="B18" s="241">
        <v>6.717</v>
      </c>
      <c r="E18" s="2">
        <v>360</v>
      </c>
      <c r="F18" s="2">
        <f t="shared" si="0"/>
        <v>12.7911</v>
      </c>
    </row>
    <row r="19" spans="1:6">
      <c r="A19" s="241">
        <v>207</v>
      </c>
      <c r="B19" s="241">
        <v>6.2788</v>
      </c>
      <c r="E19" s="2">
        <v>365</v>
      </c>
      <c r="F19" s="2">
        <f t="shared" si="0"/>
        <v>11.4616</v>
      </c>
    </row>
    <row r="20" spans="1:6">
      <c r="A20" s="241">
        <v>208</v>
      </c>
      <c r="B20" s="241">
        <v>5.8814</v>
      </c>
      <c r="E20" s="2">
        <v>370</v>
      </c>
      <c r="F20" s="2">
        <f t="shared" si="0"/>
        <v>9.4668</v>
      </c>
    </row>
    <row r="21" spans="1:6">
      <c r="A21" s="241">
        <v>209</v>
      </c>
      <c r="B21" s="241">
        <v>5.5715</v>
      </c>
      <c r="E21" s="2">
        <v>375</v>
      </c>
      <c r="F21" s="2">
        <f t="shared" si="0"/>
        <v>7.6754</v>
      </c>
    </row>
    <row r="22" spans="1:6">
      <c r="A22" s="241">
        <v>210</v>
      </c>
      <c r="B22" s="241">
        <v>5.1937</v>
      </c>
      <c r="E22" s="2">
        <v>380</v>
      </c>
      <c r="F22" s="2">
        <f t="shared" si="0"/>
        <v>5.6019</v>
      </c>
    </row>
    <row r="23" spans="1:6">
      <c r="A23" s="241">
        <v>211</v>
      </c>
      <c r="B23" s="241">
        <v>4.9638</v>
      </c>
      <c r="E23" s="2">
        <v>385</v>
      </c>
      <c r="F23" s="2">
        <f t="shared" si="0"/>
        <v>3.9101</v>
      </c>
    </row>
    <row r="24" spans="1:6">
      <c r="A24" s="241">
        <v>212</v>
      </c>
      <c r="B24" s="241">
        <v>4.7084</v>
      </c>
      <c r="E24" s="2">
        <v>390</v>
      </c>
      <c r="F24" s="2">
        <f t="shared" si="0"/>
        <v>2.5415</v>
      </c>
    </row>
    <row r="25" spans="1:6">
      <c r="A25" s="241">
        <v>213</v>
      </c>
      <c r="B25" s="241">
        <v>4.5058</v>
      </c>
      <c r="E25" s="2">
        <v>395</v>
      </c>
      <c r="F25" s="2">
        <f t="shared" si="0"/>
        <v>1.3669</v>
      </c>
    </row>
    <row r="26" spans="1:6">
      <c r="A26" s="241">
        <v>214</v>
      </c>
      <c r="B26" s="241">
        <v>4.3877</v>
      </c>
      <c r="E26" s="2">
        <v>400</v>
      </c>
      <c r="F26" s="2">
        <f t="shared" si="0"/>
        <v>0.8083</v>
      </c>
    </row>
    <row r="27" spans="1:6">
      <c r="A27" s="241">
        <v>215</v>
      </c>
      <c r="B27" s="241">
        <v>4.2092</v>
      </c>
      <c r="E27" s="2">
        <v>405</v>
      </c>
      <c r="F27" s="2">
        <f t="shared" si="0"/>
        <v>0.2703</v>
      </c>
    </row>
    <row r="28" spans="1:6">
      <c r="A28" s="241">
        <v>216</v>
      </c>
      <c r="B28" s="241">
        <v>4.158</v>
      </c>
      <c r="E28" s="2">
        <v>410</v>
      </c>
      <c r="F28" s="2">
        <f t="shared" si="0"/>
        <v>0.181</v>
      </c>
    </row>
    <row r="29" spans="1:6">
      <c r="A29" s="241">
        <v>217</v>
      </c>
      <c r="B29" s="241">
        <v>4.1301</v>
      </c>
      <c r="E29" s="2">
        <v>415</v>
      </c>
      <c r="F29" s="2">
        <f t="shared" si="0"/>
        <v>0.1304</v>
      </c>
    </row>
    <row r="30" spans="1:6">
      <c r="A30" s="241">
        <v>218</v>
      </c>
      <c r="B30" s="241">
        <v>4.1148</v>
      </c>
      <c r="E30" s="2">
        <v>420</v>
      </c>
      <c r="F30" s="2">
        <f t="shared" si="0"/>
        <v>0.3211</v>
      </c>
    </row>
    <row r="31" spans="1:6">
      <c r="A31" s="241">
        <v>219</v>
      </c>
      <c r="B31" s="241">
        <v>4.1867</v>
      </c>
      <c r="E31" s="2">
        <v>425</v>
      </c>
      <c r="F31" s="2">
        <f t="shared" si="0"/>
        <v>0.4521</v>
      </c>
    </row>
    <row r="32" spans="1:6">
      <c r="A32" s="241">
        <v>220</v>
      </c>
      <c r="B32" s="241">
        <v>4.2624</v>
      </c>
      <c r="E32" s="2">
        <v>430</v>
      </c>
      <c r="F32" s="2">
        <f t="shared" si="0"/>
        <v>0.61</v>
      </c>
    </row>
    <row r="33" spans="1:6">
      <c r="A33" s="241">
        <v>221</v>
      </c>
      <c r="B33" s="241">
        <v>4.3188</v>
      </c>
      <c r="E33" s="2">
        <v>435</v>
      </c>
      <c r="F33" s="2">
        <f t="shared" si="0"/>
        <v>0.9578</v>
      </c>
    </row>
    <row r="34" spans="1:6">
      <c r="A34" s="241">
        <v>222</v>
      </c>
      <c r="B34" s="241">
        <v>4.4861</v>
      </c>
      <c r="E34" s="2">
        <v>440</v>
      </c>
      <c r="F34" s="2">
        <f t="shared" si="0"/>
        <v>0.9724</v>
      </c>
    </row>
    <row r="35" spans="1:6">
      <c r="A35" s="241">
        <v>223</v>
      </c>
      <c r="B35" s="241">
        <v>4.6293</v>
      </c>
      <c r="E35" s="2">
        <v>445</v>
      </c>
      <c r="F35" s="2">
        <f t="shared" si="0"/>
        <v>1.0638</v>
      </c>
    </row>
    <row r="36" spans="1:6">
      <c r="A36" s="241">
        <v>224</v>
      </c>
      <c r="B36" s="241">
        <v>4.8114</v>
      </c>
      <c r="E36" s="2">
        <v>450</v>
      </c>
      <c r="F36" s="2">
        <f t="shared" si="0"/>
        <v>1.3478</v>
      </c>
    </row>
    <row r="37" spans="1:6">
      <c r="A37" s="241">
        <v>225</v>
      </c>
      <c r="B37" s="241">
        <v>5.0513</v>
      </c>
      <c r="E37" s="2">
        <v>455</v>
      </c>
      <c r="F37" s="2">
        <f t="shared" si="0"/>
        <v>1.2795</v>
      </c>
    </row>
    <row r="38" spans="1:6">
      <c r="A38" s="241">
        <v>226</v>
      </c>
      <c r="B38" s="241">
        <v>5.3251</v>
      </c>
      <c r="E38" s="2">
        <v>460</v>
      </c>
      <c r="F38" s="2">
        <f t="shared" si="0"/>
        <v>1.1512</v>
      </c>
    </row>
    <row r="39" spans="1:6">
      <c r="A39" s="241">
        <v>227</v>
      </c>
      <c r="B39" s="241">
        <v>5.6021</v>
      </c>
      <c r="E39" s="2">
        <v>465</v>
      </c>
      <c r="F39" s="2">
        <f t="shared" si="0"/>
        <v>1.3134</v>
      </c>
    </row>
    <row r="40" spans="1:6">
      <c r="A40" s="241">
        <v>228</v>
      </c>
      <c r="B40" s="241">
        <v>5.8987</v>
      </c>
      <c r="E40" s="2">
        <v>470</v>
      </c>
      <c r="F40" s="2">
        <f t="shared" si="0"/>
        <v>1.3019</v>
      </c>
    </row>
    <row r="41" spans="1:6">
      <c r="A41" s="241">
        <v>229</v>
      </c>
      <c r="B41" s="241">
        <v>6.2119</v>
      </c>
      <c r="E41" s="2">
        <v>475</v>
      </c>
      <c r="F41" s="2">
        <f t="shared" si="0"/>
        <v>1.0243</v>
      </c>
    </row>
    <row r="42" spans="1:6">
      <c r="A42" s="241">
        <v>230</v>
      </c>
      <c r="B42" s="241">
        <v>6.536</v>
      </c>
      <c r="E42" s="2">
        <v>480</v>
      </c>
      <c r="F42" s="2">
        <f t="shared" si="0"/>
        <v>0.9479</v>
      </c>
    </row>
    <row r="43" spans="1:6">
      <c r="A43" s="241">
        <v>231</v>
      </c>
      <c r="B43" s="241">
        <v>6.8852</v>
      </c>
      <c r="E43" s="2">
        <v>485</v>
      </c>
      <c r="F43" s="2">
        <f t="shared" si="0"/>
        <v>1.0346</v>
      </c>
    </row>
    <row r="44" spans="1:6">
      <c r="A44" s="241">
        <v>232</v>
      </c>
      <c r="B44" s="241">
        <v>7.2264</v>
      </c>
      <c r="E44" s="2">
        <v>490</v>
      </c>
      <c r="F44" s="2">
        <f t="shared" si="0"/>
        <v>0.9008</v>
      </c>
    </row>
    <row r="45" spans="1:6">
      <c r="A45" s="241">
        <v>233</v>
      </c>
      <c r="B45" s="241">
        <v>7.6304</v>
      </c>
      <c r="E45" s="2">
        <v>495</v>
      </c>
      <c r="F45" s="2">
        <f t="shared" si="0"/>
        <v>0.6452</v>
      </c>
    </row>
    <row r="46" spans="1:6">
      <c r="A46" s="241">
        <v>234</v>
      </c>
      <c r="B46" s="241">
        <v>8.0244</v>
      </c>
      <c r="E46" s="2">
        <v>500</v>
      </c>
      <c r="F46" s="2">
        <f t="shared" si="0"/>
        <v>0.5899</v>
      </c>
    </row>
    <row r="47" spans="1:6">
      <c r="A47" s="241">
        <v>235</v>
      </c>
      <c r="B47" s="241">
        <v>8.4215</v>
      </c>
      <c r="E47" s="2">
        <v>505</v>
      </c>
      <c r="F47" s="2">
        <f t="shared" si="0"/>
        <v>0.6327</v>
      </c>
    </row>
    <row r="48" spans="1:6">
      <c r="A48" s="241">
        <v>236</v>
      </c>
      <c r="B48" s="241">
        <v>8.8371</v>
      </c>
      <c r="E48" s="2">
        <v>510</v>
      </c>
      <c r="F48" s="2">
        <f t="shared" si="0"/>
        <v>0.5278</v>
      </c>
    </row>
    <row r="49" spans="1:6">
      <c r="A49" s="241">
        <v>237</v>
      </c>
      <c r="B49" s="241">
        <v>9.2356</v>
      </c>
      <c r="E49" s="2">
        <v>515</v>
      </c>
      <c r="F49" s="2">
        <f t="shared" si="0"/>
        <v>0.3508</v>
      </c>
    </row>
    <row r="50" spans="1:6">
      <c r="A50" s="241">
        <v>238</v>
      </c>
      <c r="B50" s="241">
        <v>9.6735</v>
      </c>
      <c r="E50" s="2">
        <v>520</v>
      </c>
      <c r="F50" s="2">
        <f t="shared" si="0"/>
        <v>0.3096</v>
      </c>
    </row>
    <row r="51" spans="1:6">
      <c r="A51" s="241">
        <v>239</v>
      </c>
      <c r="B51" s="241">
        <v>10.1468</v>
      </c>
      <c r="E51" s="2">
        <v>525</v>
      </c>
      <c r="F51" s="2">
        <f t="shared" si="0"/>
        <v>0.3505</v>
      </c>
    </row>
    <row r="52" spans="1:6">
      <c r="A52" s="241">
        <v>240</v>
      </c>
      <c r="B52" s="241">
        <v>10.5795</v>
      </c>
      <c r="E52" s="2">
        <v>530</v>
      </c>
      <c r="F52" s="2">
        <f t="shared" si="0"/>
        <v>0.3291</v>
      </c>
    </row>
    <row r="53" spans="1:6">
      <c r="A53" s="241">
        <v>241</v>
      </c>
      <c r="B53" s="241">
        <v>11.0385</v>
      </c>
      <c r="E53" s="2">
        <v>535</v>
      </c>
      <c r="F53" s="2">
        <f t="shared" si="0"/>
        <v>0.2185</v>
      </c>
    </row>
    <row r="54" spans="1:6">
      <c r="A54" s="241">
        <v>242</v>
      </c>
      <c r="B54" s="241">
        <v>11.4913</v>
      </c>
      <c r="E54" s="2">
        <v>540</v>
      </c>
      <c r="F54" s="2">
        <f t="shared" si="0"/>
        <v>0.1589</v>
      </c>
    </row>
    <row r="55" spans="1:6">
      <c r="A55" s="241">
        <v>243</v>
      </c>
      <c r="B55" s="241">
        <v>11.9677</v>
      </c>
      <c r="E55" s="2">
        <v>545</v>
      </c>
      <c r="F55" s="2">
        <f t="shared" si="0"/>
        <v>0.1917</v>
      </c>
    </row>
    <row r="56" spans="1:6">
      <c r="A56" s="241">
        <v>244</v>
      </c>
      <c r="B56" s="241">
        <v>12.4433</v>
      </c>
      <c r="E56" s="2">
        <v>550</v>
      </c>
      <c r="F56" s="2">
        <f t="shared" si="0"/>
        <v>0.2307</v>
      </c>
    </row>
    <row r="57" spans="1:6">
      <c r="A57" s="241">
        <v>245</v>
      </c>
      <c r="B57" s="241">
        <v>12.9213</v>
      </c>
      <c r="E57" s="2">
        <v>555</v>
      </c>
      <c r="F57" s="2">
        <f t="shared" si="0"/>
        <v>0.1982</v>
      </c>
    </row>
    <row r="58" spans="1:6">
      <c r="A58" s="241">
        <v>246</v>
      </c>
      <c r="B58" s="241">
        <v>13.4145</v>
      </c>
      <c r="E58" s="2">
        <v>560</v>
      </c>
      <c r="F58" s="2">
        <f t="shared" si="0"/>
        <v>0.1375</v>
      </c>
    </row>
    <row r="59" spans="1:6">
      <c r="A59" s="241">
        <v>247</v>
      </c>
      <c r="B59" s="241">
        <v>13.8715</v>
      </c>
      <c r="E59" s="2">
        <v>565</v>
      </c>
      <c r="F59" s="2">
        <f t="shared" si="0"/>
        <v>0.1211</v>
      </c>
    </row>
    <row r="60" spans="1:6">
      <c r="A60" s="241">
        <v>248</v>
      </c>
      <c r="B60" s="241">
        <v>14.3639</v>
      </c>
      <c r="E60" s="2">
        <v>570</v>
      </c>
      <c r="F60" s="2">
        <f t="shared" si="0"/>
        <v>0.1565</v>
      </c>
    </row>
    <row r="61" spans="1:6">
      <c r="A61" s="241">
        <v>249</v>
      </c>
      <c r="B61" s="241">
        <v>14.8554</v>
      </c>
      <c r="E61" s="2">
        <v>575</v>
      </c>
      <c r="F61" s="2">
        <f t="shared" si="0"/>
        <v>0.177</v>
      </c>
    </row>
    <row r="62" spans="1:6">
      <c r="A62" s="241">
        <v>250</v>
      </c>
      <c r="B62" s="241">
        <v>15.332</v>
      </c>
      <c r="E62" s="2">
        <v>580</v>
      </c>
      <c r="F62" s="2">
        <f t="shared" si="0"/>
        <v>0.1478</v>
      </c>
    </row>
    <row r="63" spans="1:6">
      <c r="A63" s="241">
        <v>251</v>
      </c>
      <c r="B63" s="241">
        <v>15.8605</v>
      </c>
      <c r="E63" s="2">
        <v>585</v>
      </c>
      <c r="F63" s="2">
        <f t="shared" si="0"/>
        <v>0.0991</v>
      </c>
    </row>
    <row r="64" spans="1:6">
      <c r="A64" s="241">
        <v>252</v>
      </c>
      <c r="B64" s="241">
        <v>16.3319</v>
      </c>
      <c r="E64" s="2">
        <v>590</v>
      </c>
      <c r="F64" s="2">
        <f t="shared" si="0"/>
        <v>0.0776</v>
      </c>
    </row>
    <row r="65" spans="1:6">
      <c r="A65" s="241">
        <v>253</v>
      </c>
      <c r="B65" s="241">
        <v>16.7901</v>
      </c>
      <c r="E65" s="2">
        <v>595</v>
      </c>
      <c r="F65" s="2">
        <f t="shared" si="0"/>
        <v>0.0921</v>
      </c>
    </row>
    <row r="66" spans="1:6">
      <c r="A66" s="241">
        <v>254</v>
      </c>
      <c r="B66" s="241">
        <v>17.2726</v>
      </c>
      <c r="E66" s="2">
        <v>600</v>
      </c>
      <c r="F66" s="2">
        <f t="shared" si="0"/>
        <v>0.1088</v>
      </c>
    </row>
    <row r="67" spans="1:6">
      <c r="A67" s="241">
        <v>255</v>
      </c>
      <c r="B67" s="241">
        <v>17.7729</v>
      </c>
      <c r="E67" s="2">
        <v>605</v>
      </c>
      <c r="F67" s="2">
        <f t="shared" ref="F67:F102" si="1">VLOOKUP(E67,A:B,2,FALSE)</f>
        <v>0.1077</v>
      </c>
    </row>
    <row r="68" spans="1:6">
      <c r="A68" s="241">
        <v>256</v>
      </c>
      <c r="B68" s="241">
        <v>18.2806</v>
      </c>
      <c r="E68" s="2">
        <v>610</v>
      </c>
      <c r="F68" s="2">
        <f t="shared" si="1"/>
        <v>0.0757</v>
      </c>
    </row>
    <row r="69" spans="1:6">
      <c r="A69" s="241">
        <v>257</v>
      </c>
      <c r="B69" s="241">
        <v>18.7417</v>
      </c>
      <c r="E69" s="2">
        <v>615</v>
      </c>
      <c r="F69" s="2">
        <f t="shared" si="1"/>
        <v>0.0502</v>
      </c>
    </row>
    <row r="70" spans="1:6">
      <c r="A70" s="241">
        <v>258</v>
      </c>
      <c r="B70" s="241">
        <v>19.2102</v>
      </c>
      <c r="E70" s="2">
        <v>620</v>
      </c>
      <c r="F70" s="2">
        <f t="shared" si="1"/>
        <v>0.0442</v>
      </c>
    </row>
    <row r="71" spans="1:6">
      <c r="A71" s="241">
        <v>259</v>
      </c>
      <c r="B71" s="241">
        <v>19.6549</v>
      </c>
      <c r="E71" s="2">
        <v>625</v>
      </c>
      <c r="F71" s="2">
        <f t="shared" si="1"/>
        <v>0.0532</v>
      </c>
    </row>
    <row r="72" spans="1:6">
      <c r="A72" s="241">
        <v>260</v>
      </c>
      <c r="B72" s="241">
        <v>20.0845</v>
      </c>
      <c r="E72" s="2">
        <v>630</v>
      </c>
      <c r="F72" s="2">
        <f t="shared" si="1"/>
        <v>0.0588</v>
      </c>
    </row>
    <row r="73" spans="1:6">
      <c r="A73" s="241">
        <v>261</v>
      </c>
      <c r="B73" s="241">
        <v>20.5266</v>
      </c>
      <c r="E73" s="2">
        <v>635</v>
      </c>
      <c r="F73" s="2">
        <f t="shared" si="1"/>
        <v>0.0571</v>
      </c>
    </row>
    <row r="74" spans="1:6">
      <c r="A74" s="241">
        <v>262</v>
      </c>
      <c r="B74" s="241">
        <v>20.9498</v>
      </c>
      <c r="E74" s="2">
        <v>640</v>
      </c>
      <c r="F74" s="2">
        <f t="shared" si="1"/>
        <v>0.049</v>
      </c>
    </row>
    <row r="75" spans="1:6">
      <c r="A75" s="241">
        <v>263</v>
      </c>
      <c r="B75" s="241">
        <v>21.4091</v>
      </c>
      <c r="E75" s="2">
        <v>645</v>
      </c>
      <c r="F75" s="2">
        <f t="shared" si="1"/>
        <v>0.0444</v>
      </c>
    </row>
    <row r="76" spans="1:6">
      <c r="A76" s="241">
        <v>264</v>
      </c>
      <c r="B76" s="241">
        <v>21.8008</v>
      </c>
      <c r="E76" s="2">
        <v>650</v>
      </c>
      <c r="F76" s="2">
        <f t="shared" si="1"/>
        <v>0.083</v>
      </c>
    </row>
    <row r="77" spans="1:6">
      <c r="A77" s="241">
        <v>265</v>
      </c>
      <c r="B77" s="241">
        <v>22.2323</v>
      </c>
      <c r="E77" s="2">
        <v>655</v>
      </c>
      <c r="F77" s="2">
        <f t="shared" si="1"/>
        <v>0.1172</v>
      </c>
    </row>
    <row r="78" spans="1:6">
      <c r="A78" s="241">
        <v>266</v>
      </c>
      <c r="B78" s="241">
        <v>22.6171</v>
      </c>
      <c r="E78" s="2">
        <v>660</v>
      </c>
      <c r="F78" s="2">
        <f t="shared" si="1"/>
        <v>0.1299</v>
      </c>
    </row>
    <row r="79" spans="1:6">
      <c r="A79" s="241">
        <v>267</v>
      </c>
      <c r="B79" s="241">
        <v>23.0113</v>
      </c>
      <c r="E79" s="2">
        <v>665</v>
      </c>
      <c r="F79" s="2">
        <f t="shared" si="1"/>
        <v>0.1448</v>
      </c>
    </row>
    <row r="80" spans="1:6">
      <c r="A80" s="241">
        <v>268</v>
      </c>
      <c r="B80" s="241">
        <v>23.4038</v>
      </c>
      <c r="E80" s="2">
        <v>670</v>
      </c>
      <c r="F80" s="2">
        <f t="shared" si="1"/>
        <v>0.1521</v>
      </c>
    </row>
    <row r="81" spans="1:6">
      <c r="A81" s="241">
        <v>269</v>
      </c>
      <c r="B81" s="241">
        <v>23.7616</v>
      </c>
      <c r="E81" s="2">
        <v>675</v>
      </c>
      <c r="F81" s="2">
        <f t="shared" si="1"/>
        <v>0.1628</v>
      </c>
    </row>
    <row r="82" spans="1:6">
      <c r="A82" s="241">
        <v>270</v>
      </c>
      <c r="B82" s="241">
        <v>24.1655</v>
      </c>
      <c r="E82" s="2">
        <v>680</v>
      </c>
      <c r="F82" s="2">
        <f t="shared" si="1"/>
        <v>0.2238</v>
      </c>
    </row>
    <row r="83" spans="1:6">
      <c r="A83" s="241">
        <v>271</v>
      </c>
      <c r="B83" s="241">
        <v>24.5198</v>
      </c>
      <c r="E83" s="2">
        <v>685</v>
      </c>
      <c r="F83" s="2">
        <f t="shared" si="1"/>
        <v>0.3355</v>
      </c>
    </row>
    <row r="84" spans="1:6">
      <c r="A84" s="241">
        <v>272</v>
      </c>
      <c r="B84" s="241">
        <v>24.8702</v>
      </c>
      <c r="E84" s="2">
        <v>690</v>
      </c>
      <c r="F84" s="2">
        <f t="shared" si="1"/>
        <v>0.4628</v>
      </c>
    </row>
    <row r="85" spans="1:6">
      <c r="A85" s="241">
        <v>273</v>
      </c>
      <c r="B85" s="241">
        <v>25.228</v>
      </c>
      <c r="E85" s="2">
        <v>695</v>
      </c>
      <c r="F85" s="2">
        <f t="shared" si="1"/>
        <v>0.5827</v>
      </c>
    </row>
    <row r="86" spans="1:6">
      <c r="A86" s="241">
        <v>274</v>
      </c>
      <c r="B86" s="241">
        <v>25.5671</v>
      </c>
      <c r="E86" s="2">
        <v>700</v>
      </c>
      <c r="F86" s="2">
        <f t="shared" si="1"/>
        <v>0.6495</v>
      </c>
    </row>
    <row r="87" spans="1:6">
      <c r="A87" s="241">
        <v>275</v>
      </c>
      <c r="B87" s="241">
        <v>25.8898</v>
      </c>
      <c r="E87" s="2">
        <v>705</v>
      </c>
      <c r="F87" s="2">
        <f t="shared" si="1"/>
        <v>0.6759</v>
      </c>
    </row>
    <row r="88" spans="1:6">
      <c r="A88" s="241">
        <v>276</v>
      </c>
      <c r="B88" s="241">
        <v>26.2118</v>
      </c>
      <c r="E88" s="2">
        <v>710</v>
      </c>
      <c r="F88" s="2">
        <f t="shared" si="1"/>
        <v>0.6853</v>
      </c>
    </row>
    <row r="89" spans="1:6">
      <c r="A89" s="241">
        <v>277</v>
      </c>
      <c r="B89" s="241">
        <v>26.5194</v>
      </c>
      <c r="E89" s="2">
        <v>715</v>
      </c>
      <c r="F89" s="2">
        <f t="shared" si="1"/>
        <v>0.7299</v>
      </c>
    </row>
    <row r="90" spans="1:6">
      <c r="A90" s="241">
        <v>278</v>
      </c>
      <c r="B90" s="241">
        <v>26.8133</v>
      </c>
      <c r="E90" s="2">
        <v>720</v>
      </c>
      <c r="F90" s="2">
        <f t="shared" si="1"/>
        <v>0.8635</v>
      </c>
    </row>
    <row r="91" spans="1:6">
      <c r="A91" s="241">
        <v>279</v>
      </c>
      <c r="B91" s="241">
        <v>27.1138</v>
      </c>
      <c r="E91" s="2">
        <v>725</v>
      </c>
      <c r="F91" s="2">
        <f t="shared" si="1"/>
        <v>1.0602</v>
      </c>
    </row>
    <row r="92" spans="1:6">
      <c r="A92" s="241">
        <v>280</v>
      </c>
      <c r="B92" s="241">
        <v>27.4236</v>
      </c>
      <c r="E92" s="2">
        <v>730</v>
      </c>
      <c r="F92" s="2">
        <f t="shared" si="1"/>
        <v>1.2868</v>
      </c>
    </row>
    <row r="93" spans="1:6">
      <c r="A93" s="241">
        <v>281</v>
      </c>
      <c r="B93" s="241">
        <v>27.6852</v>
      </c>
      <c r="E93" s="2">
        <v>735</v>
      </c>
      <c r="F93" s="2">
        <f t="shared" si="1"/>
        <v>1.5079</v>
      </c>
    </row>
    <row r="94" spans="1:6">
      <c r="A94" s="241">
        <v>282</v>
      </c>
      <c r="B94" s="241">
        <v>27.974</v>
      </c>
      <c r="E94" s="2">
        <v>740</v>
      </c>
      <c r="F94" s="2">
        <f t="shared" si="1"/>
        <v>1.6878</v>
      </c>
    </row>
    <row r="95" spans="1:6">
      <c r="A95" s="241">
        <v>283</v>
      </c>
      <c r="B95" s="241">
        <v>28.1822</v>
      </c>
      <c r="E95" s="2">
        <v>745</v>
      </c>
      <c r="F95" s="2">
        <f t="shared" si="1"/>
        <v>1.796</v>
      </c>
    </row>
    <row r="96" spans="1:6">
      <c r="A96" s="241">
        <v>284</v>
      </c>
      <c r="B96" s="241">
        <v>28.4607</v>
      </c>
      <c r="E96" s="2">
        <v>750</v>
      </c>
      <c r="F96" s="2">
        <f t="shared" si="1"/>
        <v>1.8607</v>
      </c>
    </row>
    <row r="97" spans="1:6">
      <c r="A97" s="241">
        <v>285</v>
      </c>
      <c r="B97" s="241">
        <v>28.6632</v>
      </c>
      <c r="E97" s="2">
        <v>755</v>
      </c>
      <c r="F97" s="2">
        <f t="shared" si="1"/>
        <v>1.9102</v>
      </c>
    </row>
    <row r="98" spans="1:6">
      <c r="A98" s="241">
        <v>286</v>
      </c>
      <c r="B98" s="241">
        <v>28.8791</v>
      </c>
      <c r="E98" s="2">
        <v>760</v>
      </c>
      <c r="F98" s="2">
        <f t="shared" si="1"/>
        <v>1.9837</v>
      </c>
    </row>
    <row r="99" spans="1:6">
      <c r="A99" s="241">
        <v>287</v>
      </c>
      <c r="B99" s="241">
        <v>29.1242</v>
      </c>
      <c r="E99" s="2">
        <v>765</v>
      </c>
      <c r="F99" s="2">
        <f t="shared" si="1"/>
        <v>2.1231</v>
      </c>
    </row>
    <row r="100" spans="1:6">
      <c r="A100" s="241">
        <v>288</v>
      </c>
      <c r="B100" s="241">
        <v>29.3095</v>
      </c>
      <c r="E100" s="2">
        <v>770</v>
      </c>
      <c r="F100" s="2">
        <f t="shared" si="1"/>
        <v>2.3568</v>
      </c>
    </row>
    <row r="101" spans="1:6">
      <c r="A101" s="241">
        <v>289</v>
      </c>
      <c r="B101" s="241">
        <v>29.4973</v>
      </c>
      <c r="E101" s="2">
        <v>775</v>
      </c>
      <c r="F101" s="2">
        <f t="shared" si="1"/>
        <v>2.6584</v>
      </c>
    </row>
    <row r="102" spans="1:6">
      <c r="A102" s="241">
        <v>290</v>
      </c>
      <c r="B102" s="241">
        <v>29.6573</v>
      </c>
      <c r="E102" s="2">
        <v>780</v>
      </c>
      <c r="F102" s="2">
        <f t="shared" si="1"/>
        <v>2.9739</v>
      </c>
    </row>
    <row r="103" spans="1:2">
      <c r="A103" s="241">
        <v>291</v>
      </c>
      <c r="B103" s="241">
        <v>29.865</v>
      </c>
    </row>
    <row r="104" spans="1:2">
      <c r="A104" s="241">
        <v>292</v>
      </c>
      <c r="B104" s="241">
        <v>30.0373</v>
      </c>
    </row>
    <row r="105" spans="1:2">
      <c r="A105" s="241">
        <v>293</v>
      </c>
      <c r="B105" s="241">
        <v>30.1805</v>
      </c>
    </row>
    <row r="106" spans="1:2">
      <c r="A106" s="241">
        <v>294</v>
      </c>
      <c r="B106" s="241">
        <v>30.3179</v>
      </c>
    </row>
    <row r="107" spans="1:2">
      <c r="A107" s="241">
        <v>295</v>
      </c>
      <c r="B107" s="241">
        <v>30.4294</v>
      </c>
    </row>
    <row r="108" spans="1:2">
      <c r="A108" s="241">
        <v>296</v>
      </c>
      <c r="B108" s="241">
        <v>30.5374</v>
      </c>
    </row>
    <row r="109" spans="1:2">
      <c r="A109" s="241">
        <v>297</v>
      </c>
      <c r="B109" s="241">
        <v>30.5846</v>
      </c>
    </row>
    <row r="110" spans="1:2">
      <c r="A110" s="241">
        <v>298</v>
      </c>
      <c r="B110" s="241">
        <v>30.6957</v>
      </c>
    </row>
    <row r="111" spans="1:2">
      <c r="A111" s="241">
        <v>299</v>
      </c>
      <c r="B111" s="241">
        <v>30.7657</v>
      </c>
    </row>
    <row r="112" spans="1:2">
      <c r="A112" s="241">
        <v>300</v>
      </c>
      <c r="B112" s="241">
        <v>30.8043</v>
      </c>
    </row>
    <row r="113" spans="1:2">
      <c r="A113" s="241">
        <v>301</v>
      </c>
      <c r="B113" s="241">
        <v>30.8644</v>
      </c>
    </row>
    <row r="114" spans="1:2">
      <c r="A114" s="241">
        <v>302</v>
      </c>
      <c r="B114" s="241">
        <v>30.9221</v>
      </c>
    </row>
    <row r="115" spans="1:2">
      <c r="A115" s="241">
        <v>303</v>
      </c>
      <c r="B115" s="241">
        <v>30.9639</v>
      </c>
    </row>
    <row r="116" spans="1:2">
      <c r="A116" s="241">
        <v>304</v>
      </c>
      <c r="B116" s="241">
        <v>30.9738</v>
      </c>
    </row>
    <row r="117" spans="1:2">
      <c r="A117" s="241">
        <v>305</v>
      </c>
      <c r="B117" s="241">
        <v>30.9198</v>
      </c>
    </row>
    <row r="118" spans="1:2">
      <c r="A118" s="241">
        <v>306</v>
      </c>
      <c r="B118" s="241">
        <v>30.8488</v>
      </c>
    </row>
    <row r="119" spans="1:2">
      <c r="A119" s="241">
        <v>307</v>
      </c>
      <c r="B119" s="241">
        <v>30.8264</v>
      </c>
    </row>
    <row r="120" spans="1:2">
      <c r="A120" s="241">
        <v>308</v>
      </c>
      <c r="B120" s="241">
        <v>30.7117</v>
      </c>
    </row>
    <row r="121" spans="1:2">
      <c r="A121" s="241">
        <v>309</v>
      </c>
      <c r="B121" s="241">
        <v>30.5875</v>
      </c>
    </row>
    <row r="122" spans="1:2">
      <c r="A122" s="241">
        <v>310</v>
      </c>
      <c r="B122" s="241">
        <v>30.4548</v>
      </c>
    </row>
    <row r="123" spans="1:2">
      <c r="A123" s="241">
        <v>311</v>
      </c>
      <c r="B123" s="241">
        <v>30.3309</v>
      </c>
    </row>
    <row r="124" spans="1:2">
      <c r="A124" s="241">
        <v>312</v>
      </c>
      <c r="B124" s="241">
        <v>30.1746</v>
      </c>
    </row>
    <row r="125" spans="1:2">
      <c r="A125" s="241">
        <v>313</v>
      </c>
      <c r="B125" s="241">
        <v>29.9667</v>
      </c>
    </row>
    <row r="126" spans="1:2">
      <c r="A126" s="241">
        <v>314</v>
      </c>
      <c r="B126" s="241">
        <v>29.7545</v>
      </c>
    </row>
    <row r="127" spans="1:2">
      <c r="A127" s="241">
        <v>315</v>
      </c>
      <c r="B127" s="241">
        <v>29.5231</v>
      </c>
    </row>
    <row r="128" spans="1:2">
      <c r="A128" s="241">
        <v>316</v>
      </c>
      <c r="B128" s="241">
        <v>29.2246</v>
      </c>
    </row>
    <row r="129" spans="1:2">
      <c r="A129" s="241">
        <v>317</v>
      </c>
      <c r="B129" s="241">
        <v>28.8987</v>
      </c>
    </row>
    <row r="130" spans="1:2">
      <c r="A130" s="241">
        <v>318</v>
      </c>
      <c r="B130" s="241">
        <v>28.6027</v>
      </c>
    </row>
    <row r="131" spans="1:2">
      <c r="A131" s="241">
        <v>319</v>
      </c>
      <c r="B131" s="241">
        <v>28.2089</v>
      </c>
    </row>
    <row r="132" spans="1:2">
      <c r="A132" s="241">
        <v>320</v>
      </c>
      <c r="B132" s="241">
        <v>27.8488</v>
      </c>
    </row>
    <row r="133" spans="1:2">
      <c r="A133" s="241">
        <v>321</v>
      </c>
      <c r="B133" s="241">
        <v>27.3835</v>
      </c>
    </row>
    <row r="134" spans="1:2">
      <c r="A134" s="241">
        <v>322</v>
      </c>
      <c r="B134" s="241">
        <v>26.9138</v>
      </c>
    </row>
    <row r="135" spans="1:2">
      <c r="A135" s="241">
        <v>323</v>
      </c>
      <c r="B135" s="241">
        <v>26.4121</v>
      </c>
    </row>
    <row r="136" spans="1:2">
      <c r="A136" s="241">
        <v>324</v>
      </c>
      <c r="B136" s="241">
        <v>25.9029</v>
      </c>
    </row>
    <row r="137" spans="1:2">
      <c r="A137" s="241">
        <v>325</v>
      </c>
      <c r="B137" s="241">
        <v>25.4035</v>
      </c>
    </row>
    <row r="138" spans="1:2">
      <c r="A138" s="241">
        <v>326</v>
      </c>
      <c r="B138" s="241">
        <v>24.8351</v>
      </c>
    </row>
    <row r="139" spans="1:2">
      <c r="A139" s="241">
        <v>327</v>
      </c>
      <c r="B139" s="241">
        <v>24.257</v>
      </c>
    </row>
    <row r="140" spans="1:2">
      <c r="A140" s="241">
        <v>328</v>
      </c>
      <c r="B140" s="241">
        <v>23.5943</v>
      </c>
    </row>
    <row r="141" spans="1:2">
      <c r="A141" s="241">
        <v>329</v>
      </c>
      <c r="B141" s="241">
        <v>22.9829</v>
      </c>
    </row>
    <row r="142" spans="1:2">
      <c r="A142" s="241">
        <v>330</v>
      </c>
      <c r="B142" s="241">
        <v>22.3777</v>
      </c>
    </row>
    <row r="143" spans="1:2">
      <c r="A143" s="241">
        <v>331</v>
      </c>
      <c r="B143" s="241">
        <v>21.7445</v>
      </c>
    </row>
    <row r="144" spans="1:2">
      <c r="A144" s="241">
        <v>332</v>
      </c>
      <c r="B144" s="241">
        <v>21.1413</v>
      </c>
    </row>
    <row r="145" spans="1:2">
      <c r="A145" s="241">
        <v>333</v>
      </c>
      <c r="B145" s="241">
        <v>20.5298</v>
      </c>
    </row>
    <row r="146" spans="1:2">
      <c r="A146" s="241">
        <v>334</v>
      </c>
      <c r="B146" s="241">
        <v>19.9874</v>
      </c>
    </row>
    <row r="147" spans="1:2">
      <c r="A147" s="241">
        <v>335</v>
      </c>
      <c r="B147" s="241">
        <v>19.368</v>
      </c>
    </row>
    <row r="148" spans="1:2">
      <c r="A148" s="241">
        <v>336</v>
      </c>
      <c r="B148" s="241">
        <v>18.7455</v>
      </c>
    </row>
    <row r="149" spans="1:2">
      <c r="A149" s="241">
        <v>337</v>
      </c>
      <c r="B149" s="241">
        <v>18.1653</v>
      </c>
    </row>
    <row r="150" spans="1:2">
      <c r="A150" s="241">
        <v>338</v>
      </c>
      <c r="B150" s="241">
        <v>17.5521</v>
      </c>
    </row>
    <row r="151" spans="1:2">
      <c r="A151" s="241">
        <v>339</v>
      </c>
      <c r="B151" s="241">
        <v>17.0374</v>
      </c>
    </row>
    <row r="152" spans="1:2">
      <c r="A152" s="241">
        <v>340</v>
      </c>
      <c r="B152" s="241">
        <v>16.6269</v>
      </c>
    </row>
    <row r="153" spans="1:2">
      <c r="A153" s="241">
        <v>341</v>
      </c>
      <c r="B153" s="241">
        <v>16.2213</v>
      </c>
    </row>
    <row r="154" spans="1:2">
      <c r="A154" s="241">
        <v>342</v>
      </c>
      <c r="B154" s="241">
        <v>15.8702</v>
      </c>
    </row>
    <row r="155" spans="1:2">
      <c r="A155" s="241">
        <v>343</v>
      </c>
      <c r="B155" s="241">
        <v>15.5752</v>
      </c>
    </row>
    <row r="156" spans="1:2">
      <c r="A156" s="241">
        <v>344</v>
      </c>
      <c r="B156" s="241">
        <v>15.2732</v>
      </c>
    </row>
    <row r="157" spans="1:2">
      <c r="A157" s="241">
        <v>345</v>
      </c>
      <c r="B157" s="241">
        <v>15.0387</v>
      </c>
    </row>
    <row r="158" spans="1:2">
      <c r="A158" s="241">
        <v>346</v>
      </c>
      <c r="B158" s="241">
        <v>14.8174</v>
      </c>
    </row>
    <row r="159" spans="1:2">
      <c r="A159" s="241">
        <v>347</v>
      </c>
      <c r="B159" s="241">
        <v>14.6872</v>
      </c>
    </row>
    <row r="160" spans="1:2">
      <c r="A160" s="241">
        <v>348</v>
      </c>
      <c r="B160" s="241">
        <v>14.5761</v>
      </c>
    </row>
    <row r="161" spans="1:2">
      <c r="A161" s="241">
        <v>349</v>
      </c>
      <c r="B161" s="241">
        <v>14.4675</v>
      </c>
    </row>
    <row r="162" spans="1:2">
      <c r="A162" s="241">
        <v>350</v>
      </c>
      <c r="B162" s="241">
        <v>14.3586</v>
      </c>
    </row>
    <row r="163" spans="1:2">
      <c r="A163" s="241">
        <v>351</v>
      </c>
      <c r="B163" s="241">
        <v>14.2051</v>
      </c>
    </row>
    <row r="164" spans="1:2">
      <c r="A164" s="241">
        <v>352</v>
      </c>
      <c r="B164" s="241">
        <v>14.0287</v>
      </c>
    </row>
    <row r="165" spans="1:2">
      <c r="A165" s="241">
        <v>353</v>
      </c>
      <c r="B165" s="241">
        <v>13.8827</v>
      </c>
    </row>
    <row r="166" spans="1:2">
      <c r="A166" s="241">
        <v>354</v>
      </c>
      <c r="B166" s="241">
        <v>13.7699</v>
      </c>
    </row>
    <row r="167" spans="1:2">
      <c r="A167" s="241">
        <v>355</v>
      </c>
      <c r="B167" s="241">
        <v>13.707</v>
      </c>
    </row>
    <row r="168" spans="1:2">
      <c r="A168" s="241">
        <v>356</v>
      </c>
      <c r="B168" s="241">
        <v>13.6497</v>
      </c>
    </row>
    <row r="169" spans="1:2">
      <c r="A169" s="241">
        <v>357</v>
      </c>
      <c r="B169" s="241">
        <v>13.5566</v>
      </c>
    </row>
    <row r="170" spans="1:2">
      <c r="A170" s="241">
        <v>358</v>
      </c>
      <c r="B170" s="241">
        <v>13.3859</v>
      </c>
    </row>
    <row r="171" spans="1:2">
      <c r="A171" s="241">
        <v>359</v>
      </c>
      <c r="B171" s="241">
        <v>13.1178</v>
      </c>
    </row>
    <row r="172" spans="1:2">
      <c r="A172" s="241">
        <v>360</v>
      </c>
      <c r="B172" s="241">
        <v>12.7911</v>
      </c>
    </row>
    <row r="173" spans="1:2">
      <c r="A173" s="241">
        <v>361</v>
      </c>
      <c r="B173" s="241">
        <v>12.4694</v>
      </c>
    </row>
    <row r="174" spans="1:2">
      <c r="A174" s="241">
        <v>362</v>
      </c>
      <c r="B174" s="241">
        <v>12.1829</v>
      </c>
    </row>
    <row r="175" spans="1:2">
      <c r="A175" s="241">
        <v>363</v>
      </c>
      <c r="B175" s="241">
        <v>11.9087</v>
      </c>
    </row>
    <row r="176" spans="1:2">
      <c r="A176" s="241">
        <v>364</v>
      </c>
      <c r="B176" s="241">
        <v>11.6702</v>
      </c>
    </row>
    <row r="177" spans="1:2">
      <c r="A177" s="241">
        <v>365</v>
      </c>
      <c r="B177" s="241">
        <v>11.4616</v>
      </c>
    </row>
    <row r="178" spans="1:2">
      <c r="A178" s="241">
        <v>366</v>
      </c>
      <c r="B178" s="241">
        <v>11.2018</v>
      </c>
    </row>
    <row r="179" spans="1:2">
      <c r="A179" s="241">
        <v>367</v>
      </c>
      <c r="B179" s="241">
        <v>10.8851</v>
      </c>
    </row>
    <row r="180" spans="1:2">
      <c r="A180" s="241">
        <v>368</v>
      </c>
      <c r="B180" s="241">
        <v>10.4453</v>
      </c>
    </row>
    <row r="181" spans="1:2">
      <c r="A181" s="241">
        <v>369</v>
      </c>
      <c r="B181" s="241">
        <v>9.9471</v>
      </c>
    </row>
    <row r="182" spans="1:2">
      <c r="A182" s="241">
        <v>370</v>
      </c>
      <c r="B182" s="241">
        <v>9.4668</v>
      </c>
    </row>
    <row r="183" spans="1:2">
      <c r="A183" s="241">
        <v>371</v>
      </c>
      <c r="B183" s="241">
        <v>9.0173</v>
      </c>
    </row>
    <row r="184" spans="1:2">
      <c r="A184" s="241">
        <v>372</v>
      </c>
      <c r="B184" s="241">
        <v>8.6142</v>
      </c>
    </row>
    <row r="185" spans="1:2">
      <c r="A185" s="241">
        <v>373</v>
      </c>
      <c r="B185" s="241">
        <v>8.2859</v>
      </c>
    </row>
    <row r="186" spans="1:2">
      <c r="A186" s="241">
        <v>374</v>
      </c>
      <c r="B186" s="241">
        <v>7.9765</v>
      </c>
    </row>
    <row r="187" spans="1:2">
      <c r="A187" s="241">
        <v>375</v>
      </c>
      <c r="B187" s="241">
        <v>7.6754</v>
      </c>
    </row>
    <row r="188" spans="1:2">
      <c r="A188" s="241">
        <v>376</v>
      </c>
      <c r="B188" s="241">
        <v>7.3561</v>
      </c>
    </row>
    <row r="189" spans="1:2">
      <c r="A189" s="241">
        <v>377</v>
      </c>
      <c r="B189" s="241">
        <v>6.9725</v>
      </c>
    </row>
    <row r="190" spans="1:2">
      <c r="A190" s="241">
        <v>378</v>
      </c>
      <c r="B190" s="241">
        <v>6.5385</v>
      </c>
    </row>
    <row r="191" spans="1:2">
      <c r="A191" s="241">
        <v>379</v>
      </c>
      <c r="B191" s="241">
        <v>6.0669</v>
      </c>
    </row>
    <row r="192" spans="1:2">
      <c r="A192" s="241">
        <v>380</v>
      </c>
      <c r="B192" s="241">
        <v>5.6019</v>
      </c>
    </row>
    <row r="193" spans="1:2">
      <c r="A193" s="241">
        <v>381</v>
      </c>
      <c r="B193" s="241">
        <v>5.1486</v>
      </c>
    </row>
    <row r="194" spans="1:2">
      <c r="A194" s="241">
        <v>382</v>
      </c>
      <c r="B194" s="241">
        <v>4.7488</v>
      </c>
    </row>
    <row r="195" spans="1:2">
      <c r="A195" s="241">
        <v>383</v>
      </c>
      <c r="B195" s="241">
        <v>4.4091</v>
      </c>
    </row>
    <row r="196" spans="1:2">
      <c r="A196" s="241">
        <v>384</v>
      </c>
      <c r="B196" s="241">
        <v>4.1422</v>
      </c>
    </row>
    <row r="197" spans="1:2">
      <c r="A197" s="241">
        <v>385</v>
      </c>
      <c r="B197" s="241">
        <v>3.9101</v>
      </c>
    </row>
    <row r="198" spans="1:2">
      <c r="A198" s="241">
        <v>386</v>
      </c>
      <c r="B198" s="241">
        <v>3.6898</v>
      </c>
    </row>
    <row r="199" spans="1:2">
      <c r="A199" s="241">
        <v>387</v>
      </c>
      <c r="B199" s="241">
        <v>3.4333</v>
      </c>
    </row>
    <row r="200" spans="1:2">
      <c r="A200" s="241">
        <v>388</v>
      </c>
      <c r="B200" s="241">
        <v>3.1571</v>
      </c>
    </row>
    <row r="201" spans="1:2">
      <c r="A201" s="241">
        <v>389</v>
      </c>
      <c r="B201" s="241">
        <v>2.8649</v>
      </c>
    </row>
    <row r="202" spans="1:2">
      <c r="A202" s="241">
        <v>390</v>
      </c>
      <c r="B202" s="241">
        <v>2.5415</v>
      </c>
    </row>
    <row r="203" spans="1:2">
      <c r="A203" s="241">
        <v>391</v>
      </c>
      <c r="B203" s="241">
        <v>2.2198</v>
      </c>
    </row>
    <row r="204" spans="1:2">
      <c r="A204" s="241">
        <v>392</v>
      </c>
      <c r="B204" s="241">
        <v>1.9293</v>
      </c>
    </row>
    <row r="205" spans="1:2">
      <c r="A205" s="241">
        <v>393</v>
      </c>
      <c r="B205" s="241">
        <v>1.6807</v>
      </c>
    </row>
    <row r="206" spans="1:2">
      <c r="A206" s="241">
        <v>394</v>
      </c>
      <c r="B206" s="241">
        <v>1.4996</v>
      </c>
    </row>
    <row r="207" spans="1:2">
      <c r="A207" s="241">
        <v>395</v>
      </c>
      <c r="B207" s="241">
        <v>1.3669</v>
      </c>
    </row>
    <row r="208" spans="1:2">
      <c r="A208" s="241">
        <v>396</v>
      </c>
      <c r="B208" s="241">
        <v>1.2459</v>
      </c>
    </row>
    <row r="209" spans="1:2">
      <c r="A209" s="241">
        <v>397</v>
      </c>
      <c r="B209" s="241">
        <v>1.1327</v>
      </c>
    </row>
    <row r="210" spans="1:2">
      <c r="A210" s="241">
        <v>398</v>
      </c>
      <c r="B210" s="241">
        <v>1.0371</v>
      </c>
    </row>
    <row r="211" spans="1:2">
      <c r="A211" s="241">
        <v>399</v>
      </c>
      <c r="B211" s="241">
        <v>0.927</v>
      </c>
    </row>
    <row r="212" spans="1:2">
      <c r="A212" s="241">
        <v>400</v>
      </c>
      <c r="B212" s="241">
        <v>0.8083</v>
      </c>
    </row>
    <row r="213" spans="1:2">
      <c r="A213" s="241">
        <v>401</v>
      </c>
      <c r="B213" s="241">
        <v>0.6895</v>
      </c>
    </row>
    <row r="214" spans="1:2">
      <c r="A214" s="241">
        <v>402</v>
      </c>
      <c r="B214" s="241">
        <v>0.564</v>
      </c>
    </row>
    <row r="215" spans="1:2">
      <c r="A215" s="241">
        <v>403</v>
      </c>
      <c r="B215" s="241">
        <v>0.4468</v>
      </c>
    </row>
    <row r="216" spans="1:2">
      <c r="A216" s="241">
        <v>404</v>
      </c>
      <c r="B216" s="241">
        <v>0.3464</v>
      </c>
    </row>
    <row r="217" spans="1:2">
      <c r="A217" s="241">
        <v>405</v>
      </c>
      <c r="B217" s="241">
        <v>0.2703</v>
      </c>
    </row>
    <row r="218" spans="1:2">
      <c r="A218" s="241">
        <v>406</v>
      </c>
      <c r="B218" s="241">
        <v>0.2281</v>
      </c>
    </row>
    <row r="219" spans="1:2">
      <c r="A219" s="241">
        <v>407</v>
      </c>
      <c r="B219" s="241">
        <v>0.207</v>
      </c>
    </row>
    <row r="220" spans="1:2">
      <c r="A220" s="241">
        <v>408</v>
      </c>
      <c r="B220" s="241">
        <v>0.1968</v>
      </c>
    </row>
    <row r="221" spans="1:2">
      <c r="A221" s="241">
        <v>409</v>
      </c>
      <c r="B221" s="241">
        <v>0.1899</v>
      </c>
    </row>
    <row r="222" spans="1:2">
      <c r="A222" s="241">
        <v>410</v>
      </c>
      <c r="B222" s="241">
        <v>0.181</v>
      </c>
    </row>
    <row r="223" spans="1:2">
      <c r="A223" s="241">
        <v>411</v>
      </c>
      <c r="B223" s="241">
        <v>0.1535</v>
      </c>
    </row>
    <row r="224" spans="1:2">
      <c r="A224" s="241">
        <v>412</v>
      </c>
      <c r="B224" s="241">
        <v>0.1385</v>
      </c>
    </row>
    <row r="225" spans="1:2">
      <c r="A225" s="241">
        <v>413</v>
      </c>
      <c r="B225" s="241">
        <v>0.1288</v>
      </c>
    </row>
    <row r="226" spans="1:2">
      <c r="A226" s="241">
        <v>414</v>
      </c>
      <c r="B226" s="241">
        <v>0.1228</v>
      </c>
    </row>
    <row r="227" spans="1:2">
      <c r="A227" s="241">
        <v>415</v>
      </c>
      <c r="B227" s="241">
        <v>0.1304</v>
      </c>
    </row>
    <row r="228" spans="1:2">
      <c r="A228" s="241">
        <v>416</v>
      </c>
      <c r="B228" s="241">
        <v>0.1491</v>
      </c>
    </row>
    <row r="229" spans="1:2">
      <c r="A229" s="241">
        <v>417</v>
      </c>
      <c r="B229" s="241">
        <v>0.1861</v>
      </c>
    </row>
    <row r="230" spans="1:2">
      <c r="A230" s="241">
        <v>418</v>
      </c>
      <c r="B230" s="241">
        <v>0.2374</v>
      </c>
    </row>
    <row r="231" spans="1:2">
      <c r="A231" s="241">
        <v>419</v>
      </c>
      <c r="B231" s="241">
        <v>0.2785</v>
      </c>
    </row>
    <row r="232" spans="1:2">
      <c r="A232" s="241">
        <v>420</v>
      </c>
      <c r="B232" s="241">
        <v>0.3211</v>
      </c>
    </row>
    <row r="233" spans="1:2">
      <c r="A233" s="241">
        <v>421</v>
      </c>
      <c r="B233" s="241">
        <v>0.3693</v>
      </c>
    </row>
    <row r="234" spans="1:2">
      <c r="A234" s="241">
        <v>422</v>
      </c>
      <c r="B234" s="241">
        <v>0.4081</v>
      </c>
    </row>
    <row r="235" spans="1:2">
      <c r="A235" s="241">
        <v>423</v>
      </c>
      <c r="B235" s="241">
        <v>0.4276</v>
      </c>
    </row>
    <row r="236" spans="1:2">
      <c r="A236" s="241">
        <v>424</v>
      </c>
      <c r="B236" s="241">
        <v>0.4385</v>
      </c>
    </row>
    <row r="237" spans="1:2">
      <c r="A237" s="241">
        <v>425</v>
      </c>
      <c r="B237" s="241">
        <v>0.4521</v>
      </c>
    </row>
    <row r="238" spans="1:2">
      <c r="A238" s="241">
        <v>426</v>
      </c>
      <c r="B238" s="241">
        <v>0.4609</v>
      </c>
    </row>
    <row r="239" spans="1:2">
      <c r="A239" s="241">
        <v>427</v>
      </c>
      <c r="B239" s="241">
        <v>0.4706</v>
      </c>
    </row>
    <row r="240" spans="1:2">
      <c r="A240" s="241">
        <v>428</v>
      </c>
      <c r="B240" s="241">
        <v>0.4982</v>
      </c>
    </row>
    <row r="241" spans="1:2">
      <c r="A241" s="241">
        <v>429</v>
      </c>
      <c r="B241" s="241">
        <v>0.5479</v>
      </c>
    </row>
    <row r="242" spans="1:2">
      <c r="A242" s="241">
        <v>430</v>
      </c>
      <c r="B242" s="241">
        <v>0.61</v>
      </c>
    </row>
    <row r="243" spans="1:2">
      <c r="A243" s="241">
        <v>431</v>
      </c>
      <c r="B243" s="241">
        <v>0.6803</v>
      </c>
    </row>
    <row r="244" spans="1:2">
      <c r="A244" s="241">
        <v>432</v>
      </c>
      <c r="B244" s="241">
        <v>0.7619</v>
      </c>
    </row>
    <row r="245" spans="1:2">
      <c r="A245" s="241">
        <v>433</v>
      </c>
      <c r="B245" s="241">
        <v>0.8378</v>
      </c>
    </row>
    <row r="246" spans="1:2">
      <c r="A246" s="241">
        <v>434</v>
      </c>
      <c r="B246" s="241">
        <v>0.9052</v>
      </c>
    </row>
    <row r="247" spans="1:2">
      <c r="A247" s="241">
        <v>435</v>
      </c>
      <c r="B247" s="241">
        <v>0.9578</v>
      </c>
    </row>
    <row r="248" spans="1:2">
      <c r="A248" s="241">
        <v>436</v>
      </c>
      <c r="B248" s="241">
        <v>0.9928</v>
      </c>
    </row>
    <row r="249" spans="1:2">
      <c r="A249" s="241">
        <v>437</v>
      </c>
      <c r="B249" s="241">
        <v>1.0095</v>
      </c>
    </row>
    <row r="250" spans="1:2">
      <c r="A250" s="241">
        <v>438</v>
      </c>
      <c r="B250" s="241">
        <v>1.0003</v>
      </c>
    </row>
    <row r="251" spans="1:2">
      <c r="A251" s="241">
        <v>439</v>
      </c>
      <c r="B251" s="241">
        <v>0.9868</v>
      </c>
    </row>
    <row r="252" spans="1:2">
      <c r="A252" s="241">
        <v>440</v>
      </c>
      <c r="B252" s="241">
        <v>0.9724</v>
      </c>
    </row>
    <row r="253" spans="1:2">
      <c r="A253" s="241">
        <v>441</v>
      </c>
      <c r="B253" s="241">
        <v>0.9626</v>
      </c>
    </row>
    <row r="254" spans="1:2">
      <c r="A254" s="241">
        <v>442</v>
      </c>
      <c r="B254" s="241">
        <v>0.9712</v>
      </c>
    </row>
    <row r="255" spans="1:2">
      <c r="A255" s="241">
        <v>443</v>
      </c>
      <c r="B255" s="241">
        <v>0.9917</v>
      </c>
    </row>
    <row r="256" spans="1:2">
      <c r="A256" s="241">
        <v>444</v>
      </c>
      <c r="B256" s="241">
        <v>1.0205</v>
      </c>
    </row>
    <row r="257" spans="1:2">
      <c r="A257" s="241">
        <v>445</v>
      </c>
      <c r="B257" s="241">
        <v>1.0638</v>
      </c>
    </row>
    <row r="258" spans="1:2">
      <c r="A258" s="241">
        <v>446</v>
      </c>
      <c r="B258" s="241">
        <v>1.1215</v>
      </c>
    </row>
    <row r="259" spans="1:2">
      <c r="A259" s="241">
        <v>447</v>
      </c>
      <c r="B259" s="241">
        <v>1.1813</v>
      </c>
    </row>
    <row r="260" spans="1:2">
      <c r="A260" s="241">
        <v>448</v>
      </c>
      <c r="B260" s="241">
        <v>1.2466</v>
      </c>
    </row>
    <row r="261" spans="1:2">
      <c r="A261" s="241">
        <v>449</v>
      </c>
      <c r="B261" s="241">
        <v>1.3072</v>
      </c>
    </row>
    <row r="262" spans="1:2">
      <c r="A262" s="241">
        <v>450</v>
      </c>
      <c r="B262" s="241">
        <v>1.3478</v>
      </c>
    </row>
    <row r="263" spans="1:2">
      <c r="A263" s="241">
        <v>451</v>
      </c>
      <c r="B263" s="241">
        <v>1.3662</v>
      </c>
    </row>
    <row r="264" spans="1:2">
      <c r="A264" s="241">
        <v>452</v>
      </c>
      <c r="B264" s="241">
        <v>1.3674</v>
      </c>
    </row>
    <row r="265" spans="1:2">
      <c r="A265" s="241">
        <v>453</v>
      </c>
      <c r="B265" s="241">
        <v>1.3526</v>
      </c>
    </row>
    <row r="266" spans="1:2">
      <c r="A266" s="241">
        <v>454</v>
      </c>
      <c r="B266" s="241">
        <v>1.3185</v>
      </c>
    </row>
    <row r="267" spans="1:2">
      <c r="A267" s="241">
        <v>455</v>
      </c>
      <c r="B267" s="241">
        <v>1.2795</v>
      </c>
    </row>
    <row r="268" spans="1:2">
      <c r="A268" s="241">
        <v>456</v>
      </c>
      <c r="B268" s="241">
        <v>1.2376</v>
      </c>
    </row>
    <row r="269" spans="1:2">
      <c r="A269" s="241">
        <v>457</v>
      </c>
      <c r="B269" s="241">
        <v>1.1969</v>
      </c>
    </row>
    <row r="270" spans="1:2">
      <c r="A270" s="241">
        <v>458</v>
      </c>
      <c r="B270" s="241">
        <v>1.1679</v>
      </c>
    </row>
    <row r="271" spans="1:2">
      <c r="A271" s="241">
        <v>459</v>
      </c>
      <c r="B271" s="241">
        <v>1.153</v>
      </c>
    </row>
    <row r="272" spans="1:2">
      <c r="A272" s="241">
        <v>460</v>
      </c>
      <c r="B272" s="241">
        <v>1.1512</v>
      </c>
    </row>
    <row r="273" spans="1:2">
      <c r="A273" s="241">
        <v>461</v>
      </c>
      <c r="B273" s="241">
        <v>1.1627</v>
      </c>
    </row>
    <row r="274" spans="1:2">
      <c r="A274" s="241">
        <v>462</v>
      </c>
      <c r="B274" s="241">
        <v>1.1884</v>
      </c>
    </row>
    <row r="275" spans="1:2">
      <c r="A275" s="241">
        <v>463</v>
      </c>
      <c r="B275" s="241">
        <v>1.229</v>
      </c>
    </row>
    <row r="276" spans="1:2">
      <c r="A276" s="241">
        <v>464</v>
      </c>
      <c r="B276" s="241">
        <v>1.2733</v>
      </c>
    </row>
    <row r="277" spans="1:2">
      <c r="A277" s="241">
        <v>465</v>
      </c>
      <c r="B277" s="241">
        <v>1.3134</v>
      </c>
    </row>
    <row r="278" spans="1:2">
      <c r="A278" s="241">
        <v>466</v>
      </c>
      <c r="B278" s="241">
        <v>1.3448</v>
      </c>
    </row>
    <row r="279" spans="1:2">
      <c r="A279" s="241">
        <v>467</v>
      </c>
      <c r="B279" s="241">
        <v>1.3574</v>
      </c>
    </row>
    <row r="280" spans="1:2">
      <c r="A280" s="241">
        <v>468</v>
      </c>
      <c r="B280" s="241">
        <v>1.3511</v>
      </c>
    </row>
    <row r="281" spans="1:2">
      <c r="A281" s="241">
        <v>469</v>
      </c>
      <c r="B281" s="241">
        <v>1.3336</v>
      </c>
    </row>
    <row r="282" spans="1:2">
      <c r="A282" s="241">
        <v>470</v>
      </c>
      <c r="B282" s="241">
        <v>1.3019</v>
      </c>
    </row>
    <row r="283" spans="1:2">
      <c r="A283" s="241">
        <v>471</v>
      </c>
      <c r="B283" s="241">
        <v>1.2547</v>
      </c>
    </row>
    <row r="284" spans="1:2">
      <c r="A284" s="241">
        <v>472</v>
      </c>
      <c r="B284" s="241">
        <v>1.1997</v>
      </c>
    </row>
    <row r="285" spans="1:2">
      <c r="A285" s="241">
        <v>473</v>
      </c>
      <c r="B285" s="241">
        <v>1.137</v>
      </c>
    </row>
    <row r="286" spans="1:2">
      <c r="A286" s="241">
        <v>474</v>
      </c>
      <c r="B286" s="241">
        <v>1.0739</v>
      </c>
    </row>
    <row r="287" spans="1:2">
      <c r="A287" s="241">
        <v>475</v>
      </c>
      <c r="B287" s="241">
        <v>1.0243</v>
      </c>
    </row>
    <row r="288" spans="1:2">
      <c r="A288" s="241">
        <v>476</v>
      </c>
      <c r="B288" s="241">
        <v>0.9834</v>
      </c>
    </row>
    <row r="289" spans="1:2">
      <c r="A289" s="241">
        <v>477</v>
      </c>
      <c r="B289" s="241">
        <v>0.9546</v>
      </c>
    </row>
    <row r="290" spans="1:2">
      <c r="A290" s="241">
        <v>478</v>
      </c>
      <c r="B290" s="241">
        <v>0.9416</v>
      </c>
    </row>
    <row r="291" spans="1:2">
      <c r="A291" s="241">
        <v>479</v>
      </c>
      <c r="B291" s="241">
        <v>0.9395</v>
      </c>
    </row>
    <row r="292" spans="1:2">
      <c r="A292" s="241">
        <v>480</v>
      </c>
      <c r="B292" s="241">
        <v>0.9479</v>
      </c>
    </row>
    <row r="293" spans="1:2">
      <c r="A293" s="241">
        <v>481</v>
      </c>
      <c r="B293" s="241">
        <v>0.9612</v>
      </c>
    </row>
    <row r="294" spans="1:2">
      <c r="A294" s="241">
        <v>482</v>
      </c>
      <c r="B294" s="241">
        <v>0.9809</v>
      </c>
    </row>
    <row r="295" spans="1:2">
      <c r="A295" s="241">
        <v>483</v>
      </c>
      <c r="B295" s="241">
        <v>1.0058</v>
      </c>
    </row>
    <row r="296" spans="1:2">
      <c r="A296" s="241">
        <v>484</v>
      </c>
      <c r="B296" s="241">
        <v>1.0286</v>
      </c>
    </row>
    <row r="297" spans="1:2">
      <c r="A297" s="241">
        <v>485</v>
      </c>
      <c r="B297" s="241">
        <v>1.0346</v>
      </c>
    </row>
    <row r="298" spans="1:2">
      <c r="A298" s="241">
        <v>486</v>
      </c>
      <c r="B298" s="241">
        <v>1.029</v>
      </c>
    </row>
    <row r="299" spans="1:2">
      <c r="A299" s="241">
        <v>487</v>
      </c>
      <c r="B299" s="241">
        <v>1.0151</v>
      </c>
    </row>
    <row r="300" spans="1:2">
      <c r="A300" s="241">
        <v>488</v>
      </c>
      <c r="B300" s="241">
        <v>0.9857</v>
      </c>
    </row>
    <row r="301" spans="1:2">
      <c r="A301" s="241">
        <v>489</v>
      </c>
      <c r="B301" s="241">
        <v>0.9474</v>
      </c>
    </row>
    <row r="302" spans="1:2">
      <c r="A302" s="241">
        <v>490</v>
      </c>
      <c r="B302" s="241">
        <v>0.9008</v>
      </c>
    </row>
    <row r="303" spans="1:2">
      <c r="A303" s="241">
        <v>491</v>
      </c>
      <c r="B303" s="241">
        <v>0.8446</v>
      </c>
    </row>
    <row r="304" spans="1:2">
      <c r="A304" s="241">
        <v>492</v>
      </c>
      <c r="B304" s="241">
        <v>0.7862</v>
      </c>
    </row>
    <row r="305" spans="1:2">
      <c r="A305" s="241">
        <v>493</v>
      </c>
      <c r="B305" s="241">
        <v>0.7355</v>
      </c>
    </row>
    <row r="306" spans="1:2">
      <c r="A306" s="241">
        <v>494</v>
      </c>
      <c r="B306" s="241">
        <v>0.6894</v>
      </c>
    </row>
    <row r="307" spans="1:2">
      <c r="A307" s="241">
        <v>495</v>
      </c>
      <c r="B307" s="241">
        <v>0.6452</v>
      </c>
    </row>
    <row r="308" spans="1:2">
      <c r="A308" s="241">
        <v>496</v>
      </c>
      <c r="B308" s="241">
        <v>0.6113</v>
      </c>
    </row>
    <row r="309" spans="1:2">
      <c r="A309" s="241">
        <v>497</v>
      </c>
      <c r="B309" s="241">
        <v>0.5933</v>
      </c>
    </row>
    <row r="310" spans="1:2">
      <c r="A310" s="241">
        <v>498</v>
      </c>
      <c r="B310" s="241">
        <v>0.5864</v>
      </c>
    </row>
    <row r="311" spans="1:2">
      <c r="A311" s="241">
        <v>499</v>
      </c>
      <c r="B311" s="241">
        <v>0.5859</v>
      </c>
    </row>
    <row r="312" spans="1:2">
      <c r="A312" s="241">
        <v>500</v>
      </c>
      <c r="B312" s="241">
        <v>0.5899</v>
      </c>
    </row>
    <row r="313" spans="1:2">
      <c r="A313" s="241">
        <v>501</v>
      </c>
      <c r="B313" s="241">
        <v>0.6017</v>
      </c>
    </row>
    <row r="314" spans="1:2">
      <c r="A314" s="241">
        <v>502</v>
      </c>
      <c r="B314" s="241">
        <v>0.6138</v>
      </c>
    </row>
    <row r="315" spans="1:2">
      <c r="A315" s="241">
        <v>503</v>
      </c>
      <c r="B315" s="241">
        <v>0.6231</v>
      </c>
    </row>
    <row r="316" spans="1:2">
      <c r="A316" s="241">
        <v>504</v>
      </c>
      <c r="B316" s="241">
        <v>0.6313</v>
      </c>
    </row>
    <row r="317" spans="1:2">
      <c r="A317" s="241">
        <v>505</v>
      </c>
      <c r="B317" s="241">
        <v>0.6327</v>
      </c>
    </row>
    <row r="318" spans="1:2">
      <c r="A318" s="241">
        <v>506</v>
      </c>
      <c r="B318" s="241">
        <v>0.6275</v>
      </c>
    </row>
    <row r="319" spans="1:2">
      <c r="A319" s="241">
        <v>507</v>
      </c>
      <c r="B319" s="241">
        <v>0.614</v>
      </c>
    </row>
    <row r="320" spans="1:2">
      <c r="A320" s="241">
        <v>508</v>
      </c>
      <c r="B320" s="241">
        <v>0.5901</v>
      </c>
    </row>
    <row r="321" spans="1:2">
      <c r="A321" s="241">
        <v>509</v>
      </c>
      <c r="B321" s="241">
        <v>0.5603</v>
      </c>
    </row>
    <row r="322" spans="1:2">
      <c r="A322" s="241">
        <v>510</v>
      </c>
      <c r="B322" s="241">
        <v>0.5278</v>
      </c>
    </row>
    <row r="323" spans="1:2">
      <c r="A323" s="241">
        <v>511</v>
      </c>
      <c r="B323" s="241">
        <v>0.4944</v>
      </c>
    </row>
    <row r="324" spans="1:2">
      <c r="A324" s="241">
        <v>512</v>
      </c>
      <c r="B324" s="241">
        <v>0.4576</v>
      </c>
    </row>
    <row r="325" spans="1:2">
      <c r="A325" s="241">
        <v>513</v>
      </c>
      <c r="B325" s="241">
        <v>0.4191</v>
      </c>
    </row>
    <row r="326" spans="1:2">
      <c r="A326" s="241">
        <v>514</v>
      </c>
      <c r="B326" s="241">
        <v>0.382</v>
      </c>
    </row>
    <row r="327" spans="1:2">
      <c r="A327" s="241">
        <v>515</v>
      </c>
      <c r="B327" s="241">
        <v>0.3508</v>
      </c>
    </row>
    <row r="328" spans="1:2">
      <c r="A328" s="241">
        <v>516</v>
      </c>
      <c r="B328" s="241">
        <v>0.3263</v>
      </c>
    </row>
    <row r="329" spans="1:2">
      <c r="A329" s="241">
        <v>517</v>
      </c>
      <c r="B329" s="241">
        <v>0.3141</v>
      </c>
    </row>
    <row r="330" spans="1:2">
      <c r="A330" s="241">
        <v>518</v>
      </c>
      <c r="B330" s="241">
        <v>0.3088</v>
      </c>
    </row>
    <row r="331" spans="1:2">
      <c r="A331" s="241">
        <v>519</v>
      </c>
      <c r="B331" s="241">
        <v>0.308</v>
      </c>
    </row>
    <row r="332" spans="1:2">
      <c r="A332" s="241">
        <v>520</v>
      </c>
      <c r="B332" s="241">
        <v>0.3096</v>
      </c>
    </row>
    <row r="333" spans="1:2">
      <c r="A333" s="241">
        <v>521</v>
      </c>
      <c r="B333" s="241">
        <v>0.3142</v>
      </c>
    </row>
    <row r="334" spans="1:2">
      <c r="A334" s="241">
        <v>522</v>
      </c>
      <c r="B334" s="241">
        <v>0.3213</v>
      </c>
    </row>
    <row r="335" spans="1:2">
      <c r="A335" s="241">
        <v>523</v>
      </c>
      <c r="B335" s="241">
        <v>0.3303</v>
      </c>
    </row>
    <row r="336" spans="1:2">
      <c r="A336" s="241">
        <v>524</v>
      </c>
      <c r="B336" s="241">
        <v>0.3413</v>
      </c>
    </row>
    <row r="337" spans="1:2">
      <c r="A337" s="241">
        <v>525</v>
      </c>
      <c r="B337" s="241">
        <v>0.3505</v>
      </c>
    </row>
    <row r="338" spans="1:2">
      <c r="A338" s="241">
        <v>526</v>
      </c>
      <c r="B338" s="241">
        <v>0.3535</v>
      </c>
    </row>
    <row r="339" spans="1:2">
      <c r="A339" s="241">
        <v>527</v>
      </c>
      <c r="B339" s="241">
        <v>0.3481</v>
      </c>
    </row>
    <row r="340" spans="1:2">
      <c r="A340" s="241">
        <v>528</v>
      </c>
      <c r="B340" s="241">
        <v>0.3457</v>
      </c>
    </row>
    <row r="341" spans="1:2">
      <c r="A341" s="241">
        <v>529</v>
      </c>
      <c r="B341" s="241">
        <v>0.3426</v>
      </c>
    </row>
    <row r="342" spans="1:2">
      <c r="A342" s="241">
        <v>530</v>
      </c>
      <c r="B342" s="241">
        <v>0.3291</v>
      </c>
    </row>
    <row r="343" spans="1:2">
      <c r="A343" s="241">
        <v>531</v>
      </c>
      <c r="B343" s="241">
        <v>0.3089</v>
      </c>
    </row>
    <row r="344" spans="1:2">
      <c r="A344" s="241">
        <v>532</v>
      </c>
      <c r="B344" s="241">
        <v>0.2842</v>
      </c>
    </row>
    <row r="345" spans="1:2">
      <c r="A345" s="241">
        <v>533</v>
      </c>
      <c r="B345" s="241">
        <v>0.2611</v>
      </c>
    </row>
    <row r="346" spans="1:2">
      <c r="A346" s="241">
        <v>534</v>
      </c>
      <c r="B346" s="241">
        <v>0.2421</v>
      </c>
    </row>
    <row r="347" spans="1:2">
      <c r="A347" s="241">
        <v>535</v>
      </c>
      <c r="B347" s="241">
        <v>0.2185</v>
      </c>
    </row>
    <row r="348" spans="1:2">
      <c r="A348" s="241">
        <v>536</v>
      </c>
      <c r="B348" s="241">
        <v>0.1972</v>
      </c>
    </row>
    <row r="349" spans="1:2">
      <c r="A349" s="241">
        <v>537</v>
      </c>
      <c r="B349" s="241">
        <v>0.1829</v>
      </c>
    </row>
    <row r="350" spans="1:2">
      <c r="A350" s="241">
        <v>538</v>
      </c>
      <c r="B350" s="241">
        <v>0.1744</v>
      </c>
    </row>
    <row r="351" spans="1:2">
      <c r="A351" s="241">
        <v>539</v>
      </c>
      <c r="B351" s="241">
        <v>0.1665</v>
      </c>
    </row>
    <row r="352" spans="1:2">
      <c r="A352" s="241">
        <v>540</v>
      </c>
      <c r="B352" s="241">
        <v>0.1589</v>
      </c>
    </row>
    <row r="353" spans="1:2">
      <c r="A353" s="241">
        <v>541</v>
      </c>
      <c r="B353" s="241">
        <v>0.1553</v>
      </c>
    </row>
    <row r="354" spans="1:2">
      <c r="A354" s="241">
        <v>542</v>
      </c>
      <c r="B354" s="241">
        <v>0.1646</v>
      </c>
    </row>
    <row r="355" spans="1:2">
      <c r="A355" s="241">
        <v>543</v>
      </c>
      <c r="B355" s="241">
        <v>0.1759</v>
      </c>
    </row>
    <row r="356" spans="1:2">
      <c r="A356" s="241">
        <v>544</v>
      </c>
      <c r="B356" s="241">
        <v>0.1842</v>
      </c>
    </row>
    <row r="357" spans="1:2">
      <c r="A357" s="241">
        <v>545</v>
      </c>
      <c r="B357" s="241">
        <v>0.1917</v>
      </c>
    </row>
    <row r="358" spans="1:2">
      <c r="A358" s="241">
        <v>546</v>
      </c>
      <c r="B358" s="241">
        <v>0.2018</v>
      </c>
    </row>
    <row r="359" spans="1:2">
      <c r="A359" s="241">
        <v>547</v>
      </c>
      <c r="B359" s="241">
        <v>0.2133</v>
      </c>
    </row>
    <row r="360" spans="1:2">
      <c r="A360" s="241">
        <v>548</v>
      </c>
      <c r="B360" s="241">
        <v>0.2225</v>
      </c>
    </row>
    <row r="361" spans="1:2">
      <c r="A361" s="241">
        <v>549</v>
      </c>
      <c r="B361" s="241">
        <v>0.228</v>
      </c>
    </row>
    <row r="362" spans="1:2">
      <c r="A362" s="241">
        <v>550</v>
      </c>
      <c r="B362" s="241">
        <v>0.2307</v>
      </c>
    </row>
    <row r="363" spans="1:2">
      <c r="A363" s="241">
        <v>551</v>
      </c>
      <c r="B363" s="241">
        <v>0.2312</v>
      </c>
    </row>
    <row r="364" spans="1:2">
      <c r="A364" s="241">
        <v>552</v>
      </c>
      <c r="B364" s="241">
        <v>0.229</v>
      </c>
    </row>
    <row r="365" spans="1:2">
      <c r="A365" s="241">
        <v>553</v>
      </c>
      <c r="B365" s="241">
        <v>0.2228</v>
      </c>
    </row>
    <row r="366" spans="1:2">
      <c r="A366" s="241">
        <v>554</v>
      </c>
      <c r="B366" s="241">
        <v>0.2116</v>
      </c>
    </row>
    <row r="367" spans="1:2">
      <c r="A367" s="241">
        <v>555</v>
      </c>
      <c r="B367" s="241">
        <v>0.1982</v>
      </c>
    </row>
    <row r="368" spans="1:2">
      <c r="A368" s="241">
        <v>556</v>
      </c>
      <c r="B368" s="241">
        <v>0.1819</v>
      </c>
    </row>
    <row r="369" spans="1:2">
      <c r="A369" s="241">
        <v>557</v>
      </c>
      <c r="B369" s="241">
        <v>0.1665</v>
      </c>
    </row>
    <row r="370" spans="1:2">
      <c r="A370" s="241">
        <v>558</v>
      </c>
      <c r="B370" s="241">
        <v>0.1567</v>
      </c>
    </row>
    <row r="371" spans="1:2">
      <c r="A371" s="241">
        <v>559</v>
      </c>
      <c r="B371" s="241">
        <v>0.1483</v>
      </c>
    </row>
    <row r="372" spans="1:2">
      <c r="A372" s="241">
        <v>560</v>
      </c>
      <c r="B372" s="241">
        <v>0.1375</v>
      </c>
    </row>
    <row r="373" spans="1:2">
      <c r="A373" s="241">
        <v>561</v>
      </c>
      <c r="B373" s="241">
        <v>0.1271</v>
      </c>
    </row>
    <row r="374" spans="1:2">
      <c r="A374" s="241">
        <v>562</v>
      </c>
      <c r="B374" s="241">
        <v>0.1211</v>
      </c>
    </row>
    <row r="375" spans="1:2">
      <c r="A375" s="241">
        <v>563</v>
      </c>
      <c r="B375" s="241">
        <v>0.1181</v>
      </c>
    </row>
    <row r="376" spans="1:2">
      <c r="A376" s="241">
        <v>564</v>
      </c>
      <c r="B376" s="241">
        <v>0.1187</v>
      </c>
    </row>
    <row r="377" spans="1:2">
      <c r="A377" s="241">
        <v>565</v>
      </c>
      <c r="B377" s="241">
        <v>0.1211</v>
      </c>
    </row>
    <row r="378" spans="1:2">
      <c r="A378" s="241">
        <v>566</v>
      </c>
      <c r="B378" s="241">
        <v>0.1241</v>
      </c>
    </row>
    <row r="379" spans="1:2">
      <c r="A379" s="241">
        <v>567</v>
      </c>
      <c r="B379" s="241">
        <v>0.1277</v>
      </c>
    </row>
    <row r="380" spans="1:2">
      <c r="A380" s="241">
        <v>568</v>
      </c>
      <c r="B380" s="241">
        <v>0.1342</v>
      </c>
    </row>
    <row r="381" spans="1:2">
      <c r="A381" s="241">
        <v>569</v>
      </c>
      <c r="B381" s="241">
        <v>0.1447</v>
      </c>
    </row>
    <row r="382" spans="1:2">
      <c r="A382" s="241">
        <v>570</v>
      </c>
      <c r="B382" s="241">
        <v>0.1565</v>
      </c>
    </row>
    <row r="383" spans="1:2">
      <c r="A383" s="241">
        <v>571</v>
      </c>
      <c r="B383" s="241">
        <v>0.1672</v>
      </c>
    </row>
    <row r="384" spans="1:2">
      <c r="A384" s="241">
        <v>572</v>
      </c>
      <c r="B384" s="241">
        <v>0.1717</v>
      </c>
    </row>
    <row r="385" spans="1:2">
      <c r="A385" s="241">
        <v>573</v>
      </c>
      <c r="B385" s="241">
        <v>0.1753</v>
      </c>
    </row>
    <row r="386" spans="1:2">
      <c r="A386" s="241">
        <v>574</v>
      </c>
      <c r="B386" s="241">
        <v>0.1769</v>
      </c>
    </row>
    <row r="387" spans="1:2">
      <c r="A387" s="241">
        <v>575</v>
      </c>
      <c r="B387" s="241">
        <v>0.177</v>
      </c>
    </row>
    <row r="388" spans="1:2">
      <c r="A388" s="241">
        <v>576</v>
      </c>
      <c r="B388" s="241">
        <v>0.1737</v>
      </c>
    </row>
    <row r="389" spans="1:2">
      <c r="A389" s="241">
        <v>577</v>
      </c>
      <c r="B389" s="241">
        <v>0.1683</v>
      </c>
    </row>
    <row r="390" spans="1:2">
      <c r="A390" s="241">
        <v>578</v>
      </c>
      <c r="B390" s="241">
        <v>0.1637</v>
      </c>
    </row>
    <row r="391" spans="1:2">
      <c r="A391" s="241">
        <v>579</v>
      </c>
      <c r="B391" s="241">
        <v>0.157</v>
      </c>
    </row>
    <row r="392" spans="1:2">
      <c r="A392" s="241">
        <v>580</v>
      </c>
      <c r="B392" s="241">
        <v>0.1478</v>
      </c>
    </row>
    <row r="393" spans="1:2">
      <c r="A393" s="241">
        <v>581</v>
      </c>
      <c r="B393" s="241">
        <v>0.1381</v>
      </c>
    </row>
    <row r="394" spans="1:2">
      <c r="A394" s="241">
        <v>582</v>
      </c>
      <c r="B394" s="241">
        <v>0.1293</v>
      </c>
    </row>
    <row r="395" spans="1:2">
      <c r="A395" s="241">
        <v>583</v>
      </c>
      <c r="B395" s="241">
        <v>0.121</v>
      </c>
    </row>
    <row r="396" spans="1:2">
      <c r="A396" s="241">
        <v>584</v>
      </c>
      <c r="B396" s="241">
        <v>0.11</v>
      </c>
    </row>
    <row r="397" spans="1:2">
      <c r="A397" s="241">
        <v>585</v>
      </c>
      <c r="B397" s="241">
        <v>0.0991</v>
      </c>
    </row>
    <row r="398" spans="1:2">
      <c r="A398" s="241">
        <v>586</v>
      </c>
      <c r="B398" s="241">
        <v>0.0903</v>
      </c>
    </row>
    <row r="399" spans="1:2">
      <c r="A399" s="241">
        <v>587</v>
      </c>
      <c r="B399" s="241">
        <v>0.0841</v>
      </c>
    </row>
    <row r="400" spans="1:2">
      <c r="A400" s="241">
        <v>588</v>
      </c>
      <c r="B400" s="241">
        <v>0.0809</v>
      </c>
    </row>
    <row r="401" spans="1:2">
      <c r="A401" s="241">
        <v>589</v>
      </c>
      <c r="B401" s="241">
        <v>0.0793</v>
      </c>
    </row>
    <row r="402" spans="1:2">
      <c r="A402" s="241">
        <v>590</v>
      </c>
      <c r="B402" s="241">
        <v>0.0776</v>
      </c>
    </row>
    <row r="403" spans="1:2">
      <c r="A403" s="241">
        <v>591</v>
      </c>
      <c r="B403" s="241">
        <v>0.0762</v>
      </c>
    </row>
    <row r="404" spans="1:2">
      <c r="A404" s="241">
        <v>592</v>
      </c>
      <c r="B404" s="241">
        <v>0.0767</v>
      </c>
    </row>
    <row r="405" spans="1:2">
      <c r="A405" s="241">
        <v>593</v>
      </c>
      <c r="B405" s="241">
        <v>0.0808</v>
      </c>
    </row>
    <row r="406" spans="1:2">
      <c r="A406" s="241">
        <v>594</v>
      </c>
      <c r="B406" s="241">
        <v>0.0858</v>
      </c>
    </row>
    <row r="407" spans="1:2">
      <c r="A407" s="241">
        <v>595</v>
      </c>
      <c r="B407" s="241">
        <v>0.0921</v>
      </c>
    </row>
    <row r="408" spans="1:2">
      <c r="A408" s="241">
        <v>596</v>
      </c>
      <c r="B408" s="241">
        <v>0.0973</v>
      </c>
    </row>
    <row r="409" spans="1:2">
      <c r="A409" s="241">
        <v>597</v>
      </c>
      <c r="B409" s="241">
        <v>0.1013</v>
      </c>
    </row>
    <row r="410" spans="1:2">
      <c r="A410" s="241">
        <v>598</v>
      </c>
      <c r="B410" s="241">
        <v>0.1049</v>
      </c>
    </row>
    <row r="411" spans="1:2">
      <c r="A411" s="241">
        <v>599</v>
      </c>
      <c r="B411" s="241">
        <v>0.1072</v>
      </c>
    </row>
    <row r="412" spans="1:2">
      <c r="A412" s="241">
        <v>600</v>
      </c>
      <c r="B412" s="241">
        <v>0.1088</v>
      </c>
    </row>
    <row r="413" spans="1:2">
      <c r="A413" s="241">
        <v>601</v>
      </c>
      <c r="B413" s="241">
        <v>0.1098</v>
      </c>
    </row>
    <row r="414" spans="1:2">
      <c r="A414" s="241">
        <v>602</v>
      </c>
      <c r="B414" s="241">
        <v>0.1117</v>
      </c>
    </row>
    <row r="415" spans="1:2">
      <c r="A415" s="241">
        <v>603</v>
      </c>
      <c r="B415" s="241">
        <v>0.1125</v>
      </c>
    </row>
    <row r="416" spans="1:2">
      <c r="A416" s="241">
        <v>604</v>
      </c>
      <c r="B416" s="241">
        <v>0.1108</v>
      </c>
    </row>
    <row r="417" spans="1:2">
      <c r="A417" s="241">
        <v>605</v>
      </c>
      <c r="B417" s="241">
        <v>0.1077</v>
      </c>
    </row>
    <row r="418" spans="1:2">
      <c r="A418" s="241">
        <v>606</v>
      </c>
      <c r="B418" s="241">
        <v>0.1033</v>
      </c>
    </row>
    <row r="419" spans="1:2">
      <c r="A419" s="241">
        <v>607</v>
      </c>
      <c r="B419" s="241">
        <v>0.0974</v>
      </c>
    </row>
    <row r="420" spans="1:2">
      <c r="A420" s="241">
        <v>608</v>
      </c>
      <c r="B420" s="241">
        <v>0.0903</v>
      </c>
    </row>
    <row r="421" spans="1:2">
      <c r="A421" s="241">
        <v>609</v>
      </c>
      <c r="B421" s="241">
        <v>0.0832</v>
      </c>
    </row>
    <row r="422" spans="1:2">
      <c r="A422" s="241">
        <v>610</v>
      </c>
      <c r="B422" s="241">
        <v>0.0757</v>
      </c>
    </row>
    <row r="423" spans="1:2">
      <c r="A423" s="241">
        <v>611</v>
      </c>
      <c r="B423" s="241">
        <v>0.0677</v>
      </c>
    </row>
    <row r="424" spans="1:2">
      <c r="A424" s="241">
        <v>612</v>
      </c>
      <c r="B424" s="241">
        <v>0.0607</v>
      </c>
    </row>
    <row r="425" spans="1:2">
      <c r="A425" s="241">
        <v>613</v>
      </c>
      <c r="B425" s="241">
        <v>0.0556</v>
      </c>
    </row>
    <row r="426" spans="1:2">
      <c r="A426" s="241">
        <v>614</v>
      </c>
      <c r="B426" s="241">
        <v>0.0517</v>
      </c>
    </row>
    <row r="427" spans="1:2">
      <c r="A427" s="241">
        <v>615</v>
      </c>
      <c r="B427" s="241">
        <v>0.0502</v>
      </c>
    </row>
    <row r="428" spans="1:2">
      <c r="A428" s="241">
        <v>616</v>
      </c>
      <c r="B428" s="241">
        <v>0.0481</v>
      </c>
    </row>
    <row r="429" spans="1:2">
      <c r="A429" s="241">
        <v>617</v>
      </c>
      <c r="B429" s="241">
        <v>0.0476</v>
      </c>
    </row>
    <row r="430" spans="1:2">
      <c r="A430" s="241">
        <v>618</v>
      </c>
      <c r="B430" s="241">
        <v>0.0472</v>
      </c>
    </row>
    <row r="431" spans="1:2">
      <c r="A431" s="241">
        <v>619</v>
      </c>
      <c r="B431" s="241">
        <v>0.0458</v>
      </c>
    </row>
    <row r="432" spans="1:2">
      <c r="A432" s="241">
        <v>620</v>
      </c>
      <c r="B432" s="241">
        <v>0.0442</v>
      </c>
    </row>
    <row r="433" spans="1:2">
      <c r="A433" s="241">
        <v>621</v>
      </c>
      <c r="B433" s="241">
        <v>0.0428</v>
      </c>
    </row>
    <row r="434" spans="1:2">
      <c r="A434" s="241">
        <v>622</v>
      </c>
      <c r="B434" s="241">
        <v>0.0433</v>
      </c>
    </row>
    <row r="435" spans="1:2">
      <c r="A435" s="241">
        <v>623</v>
      </c>
      <c r="B435" s="241">
        <v>0.0466</v>
      </c>
    </row>
    <row r="436" spans="1:2">
      <c r="A436" s="241">
        <v>624</v>
      </c>
      <c r="B436" s="241">
        <v>0.0501</v>
      </c>
    </row>
    <row r="437" spans="1:2">
      <c r="A437" s="241">
        <v>625</v>
      </c>
      <c r="B437" s="241">
        <v>0.0532</v>
      </c>
    </row>
    <row r="438" spans="1:2">
      <c r="A438" s="241">
        <v>626</v>
      </c>
      <c r="B438" s="241">
        <v>0.0559</v>
      </c>
    </row>
    <row r="439" spans="1:2">
      <c r="A439" s="241">
        <v>627</v>
      </c>
      <c r="B439" s="241">
        <v>0.0565</v>
      </c>
    </row>
    <row r="440" spans="1:2">
      <c r="A440" s="241">
        <v>628</v>
      </c>
      <c r="B440" s="241">
        <v>0.0571</v>
      </c>
    </row>
    <row r="441" spans="1:2">
      <c r="A441" s="241">
        <v>629</v>
      </c>
      <c r="B441" s="241">
        <v>0.0569</v>
      </c>
    </row>
    <row r="442" spans="1:2">
      <c r="A442" s="241">
        <v>630</v>
      </c>
      <c r="B442" s="241">
        <v>0.0588</v>
      </c>
    </row>
    <row r="443" spans="1:2">
      <c r="A443" s="241">
        <v>631</v>
      </c>
      <c r="B443" s="241">
        <v>0.061</v>
      </c>
    </row>
    <row r="444" spans="1:2">
      <c r="A444" s="241">
        <v>632</v>
      </c>
      <c r="B444" s="241">
        <v>0.0618</v>
      </c>
    </row>
    <row r="445" spans="1:2">
      <c r="A445" s="241">
        <v>633</v>
      </c>
      <c r="B445" s="241">
        <v>0.0609</v>
      </c>
    </row>
    <row r="446" spans="1:2">
      <c r="A446" s="241">
        <v>634</v>
      </c>
      <c r="B446" s="241">
        <v>0.0589</v>
      </c>
    </row>
    <row r="447" spans="1:2">
      <c r="A447" s="241">
        <v>635</v>
      </c>
      <c r="B447" s="241">
        <v>0.0571</v>
      </c>
    </row>
    <row r="448" spans="1:2">
      <c r="A448" s="241">
        <v>636</v>
      </c>
      <c r="B448" s="241">
        <v>0.0548</v>
      </c>
    </row>
    <row r="449" spans="1:2">
      <c r="A449" s="241">
        <v>637</v>
      </c>
      <c r="B449" s="241">
        <v>0.0527</v>
      </c>
    </row>
    <row r="450" spans="1:2">
      <c r="A450" s="241">
        <v>638</v>
      </c>
      <c r="B450" s="241">
        <v>0.0508</v>
      </c>
    </row>
    <row r="451" spans="1:2">
      <c r="A451" s="241">
        <v>639</v>
      </c>
      <c r="B451" s="241">
        <v>0.0498</v>
      </c>
    </row>
    <row r="452" spans="1:2">
      <c r="A452" s="241">
        <v>640</v>
      </c>
      <c r="B452" s="241">
        <v>0.049</v>
      </c>
    </row>
    <row r="453" spans="1:2">
      <c r="A453" s="241">
        <v>641</v>
      </c>
      <c r="B453" s="241">
        <v>0.0478</v>
      </c>
    </row>
    <row r="454" spans="1:2">
      <c r="A454" s="241">
        <v>642</v>
      </c>
      <c r="B454" s="241">
        <v>0.046</v>
      </c>
    </row>
    <row r="455" spans="1:2">
      <c r="A455" s="241">
        <v>643</v>
      </c>
      <c r="B455" s="241">
        <v>0.045</v>
      </c>
    </row>
    <row r="456" spans="1:2">
      <c r="A456" s="241">
        <v>644</v>
      </c>
      <c r="B456" s="241">
        <v>0.0434</v>
      </c>
    </row>
    <row r="457" spans="1:2">
      <c r="A457" s="241">
        <v>645</v>
      </c>
      <c r="B457" s="241">
        <v>0.0444</v>
      </c>
    </row>
    <row r="458" spans="1:2">
      <c r="A458" s="241">
        <v>646</v>
      </c>
      <c r="B458" s="241">
        <v>0.0478</v>
      </c>
    </row>
    <row r="459" spans="1:2">
      <c r="A459" s="241">
        <v>647</v>
      </c>
      <c r="B459" s="241">
        <v>0.0533</v>
      </c>
    </row>
    <row r="460" spans="1:2">
      <c r="A460" s="241">
        <v>648</v>
      </c>
      <c r="B460" s="241">
        <v>0.0618</v>
      </c>
    </row>
    <row r="461" spans="1:2">
      <c r="A461" s="241">
        <v>649</v>
      </c>
      <c r="B461" s="241">
        <v>0.0718</v>
      </c>
    </row>
    <row r="462" spans="1:2">
      <c r="A462" s="241">
        <v>650</v>
      </c>
      <c r="B462" s="241">
        <v>0.083</v>
      </c>
    </row>
    <row r="463" spans="1:2">
      <c r="A463" s="241">
        <v>651</v>
      </c>
      <c r="B463" s="241">
        <v>0.0939</v>
      </c>
    </row>
    <row r="464" spans="1:2">
      <c r="A464" s="241">
        <v>652</v>
      </c>
      <c r="B464" s="241">
        <v>0.1038</v>
      </c>
    </row>
    <row r="465" spans="1:2">
      <c r="A465" s="241">
        <v>653</v>
      </c>
      <c r="B465" s="241">
        <v>0.1099</v>
      </c>
    </row>
    <row r="466" spans="1:2">
      <c r="A466" s="241">
        <v>654</v>
      </c>
      <c r="B466" s="241">
        <v>0.1145</v>
      </c>
    </row>
    <row r="467" spans="1:2">
      <c r="A467" s="241">
        <v>655</v>
      </c>
      <c r="B467" s="241">
        <v>0.1172</v>
      </c>
    </row>
    <row r="468" spans="1:2">
      <c r="A468" s="241">
        <v>656</v>
      </c>
      <c r="B468" s="241">
        <v>0.1189</v>
      </c>
    </row>
    <row r="469" spans="1:2">
      <c r="A469" s="241">
        <v>657</v>
      </c>
      <c r="B469" s="241">
        <v>0.1206</v>
      </c>
    </row>
    <row r="470" spans="1:2">
      <c r="A470" s="241">
        <v>658</v>
      </c>
      <c r="B470" s="241">
        <v>0.1226</v>
      </c>
    </row>
    <row r="471" spans="1:2">
      <c r="A471" s="241">
        <v>659</v>
      </c>
      <c r="B471" s="241">
        <v>0.1255</v>
      </c>
    </row>
    <row r="472" spans="1:2">
      <c r="A472" s="241">
        <v>660</v>
      </c>
      <c r="B472" s="241">
        <v>0.1299</v>
      </c>
    </row>
    <row r="473" spans="1:2">
      <c r="A473" s="241">
        <v>661</v>
      </c>
      <c r="B473" s="241">
        <v>0.1343</v>
      </c>
    </row>
    <row r="474" spans="1:2">
      <c r="A474" s="241">
        <v>662</v>
      </c>
      <c r="B474" s="241">
        <v>0.1381</v>
      </c>
    </row>
    <row r="475" spans="1:2">
      <c r="A475" s="241">
        <v>663</v>
      </c>
      <c r="B475" s="241">
        <v>0.1422</v>
      </c>
    </row>
    <row r="476" spans="1:2">
      <c r="A476" s="241">
        <v>664</v>
      </c>
      <c r="B476" s="241">
        <v>0.1433</v>
      </c>
    </row>
    <row r="477" spans="1:2">
      <c r="A477" s="241">
        <v>665</v>
      </c>
      <c r="B477" s="241">
        <v>0.1448</v>
      </c>
    </row>
    <row r="478" spans="1:2">
      <c r="A478" s="241">
        <v>666</v>
      </c>
      <c r="B478" s="241">
        <v>0.1459</v>
      </c>
    </row>
    <row r="479" spans="1:2">
      <c r="A479" s="241">
        <v>667</v>
      </c>
      <c r="B479" s="241">
        <v>0.1479</v>
      </c>
    </row>
    <row r="480" spans="1:2">
      <c r="A480" s="241">
        <v>668</v>
      </c>
      <c r="B480" s="241">
        <v>0.1501</v>
      </c>
    </row>
    <row r="481" spans="1:2">
      <c r="A481" s="241">
        <v>669</v>
      </c>
      <c r="B481" s="241">
        <v>0.1512</v>
      </c>
    </row>
    <row r="482" spans="1:2">
      <c r="A482" s="241">
        <v>670</v>
      </c>
      <c r="B482" s="241">
        <v>0.1521</v>
      </c>
    </row>
    <row r="483" spans="1:2">
      <c r="A483" s="241">
        <v>671</v>
      </c>
      <c r="B483" s="241">
        <v>0.1535</v>
      </c>
    </row>
    <row r="484" spans="1:2">
      <c r="A484" s="241">
        <v>672</v>
      </c>
      <c r="B484" s="241">
        <v>0.1542</v>
      </c>
    </row>
    <row r="485" spans="1:2">
      <c r="A485" s="241">
        <v>673</v>
      </c>
      <c r="B485" s="241">
        <v>0.1565</v>
      </c>
    </row>
    <row r="486" spans="1:2">
      <c r="A486" s="241">
        <v>674</v>
      </c>
      <c r="B486" s="241">
        <v>0.1586</v>
      </c>
    </row>
    <row r="487" spans="1:2">
      <c r="A487" s="241">
        <v>675</v>
      </c>
      <c r="B487" s="241">
        <v>0.1628</v>
      </c>
    </row>
    <row r="488" spans="1:2">
      <c r="A488" s="241">
        <v>676</v>
      </c>
      <c r="B488" s="241">
        <v>0.171</v>
      </c>
    </row>
    <row r="489" spans="1:2">
      <c r="A489" s="241">
        <v>677</v>
      </c>
      <c r="B489" s="241">
        <v>0.181</v>
      </c>
    </row>
    <row r="490" spans="1:2">
      <c r="A490" s="241">
        <v>678</v>
      </c>
      <c r="B490" s="241">
        <v>0.1932</v>
      </c>
    </row>
    <row r="491" spans="1:2">
      <c r="A491" s="241">
        <v>679</v>
      </c>
      <c r="B491" s="241">
        <v>0.2074</v>
      </c>
    </row>
    <row r="492" spans="1:2">
      <c r="A492" s="241">
        <v>680</v>
      </c>
      <c r="B492" s="241">
        <v>0.2238</v>
      </c>
    </row>
    <row r="493" spans="1:2">
      <c r="A493" s="241">
        <v>681</v>
      </c>
      <c r="B493" s="241">
        <v>0.243</v>
      </c>
    </row>
    <row r="494" spans="1:2">
      <c r="A494" s="241">
        <v>682</v>
      </c>
      <c r="B494" s="241">
        <v>0.2659</v>
      </c>
    </row>
    <row r="495" spans="1:2">
      <c r="A495" s="241">
        <v>683</v>
      </c>
      <c r="B495" s="241">
        <v>0.2893</v>
      </c>
    </row>
    <row r="496" spans="1:2">
      <c r="A496" s="241">
        <v>684</v>
      </c>
      <c r="B496" s="241">
        <v>0.3125</v>
      </c>
    </row>
    <row r="497" spans="1:2">
      <c r="A497" s="241">
        <v>685</v>
      </c>
      <c r="B497" s="241">
        <v>0.3355</v>
      </c>
    </row>
    <row r="498" spans="1:2">
      <c r="A498" s="241">
        <v>686</v>
      </c>
      <c r="B498" s="241">
        <v>0.3571</v>
      </c>
    </row>
    <row r="499" spans="1:2">
      <c r="A499" s="241">
        <v>687</v>
      </c>
      <c r="B499" s="241">
        <v>0.3806</v>
      </c>
    </row>
    <row r="500" spans="1:2">
      <c r="A500" s="241">
        <v>688</v>
      </c>
      <c r="B500" s="241">
        <v>0.4061</v>
      </c>
    </row>
    <row r="501" spans="1:2">
      <c r="A501" s="241">
        <v>689</v>
      </c>
      <c r="B501" s="241">
        <v>0.4341</v>
      </c>
    </row>
    <row r="502" spans="1:2">
      <c r="A502" s="241">
        <v>690</v>
      </c>
      <c r="B502" s="241">
        <v>0.4628</v>
      </c>
    </row>
    <row r="503" spans="1:2">
      <c r="A503" s="241">
        <v>691</v>
      </c>
      <c r="B503" s="241">
        <v>0.4907</v>
      </c>
    </row>
    <row r="504" spans="1:2">
      <c r="A504" s="241">
        <v>692</v>
      </c>
      <c r="B504" s="241">
        <v>0.5171</v>
      </c>
    </row>
    <row r="505" spans="1:2">
      <c r="A505" s="241">
        <v>693</v>
      </c>
      <c r="B505" s="241">
        <v>0.5407</v>
      </c>
    </row>
    <row r="506" spans="1:2">
      <c r="A506" s="241">
        <v>694</v>
      </c>
      <c r="B506" s="241">
        <v>0.5623</v>
      </c>
    </row>
    <row r="507" spans="1:2">
      <c r="A507" s="241">
        <v>695</v>
      </c>
      <c r="B507" s="241">
        <v>0.5827</v>
      </c>
    </row>
    <row r="508" spans="1:2">
      <c r="A508" s="241">
        <v>696</v>
      </c>
      <c r="B508" s="241">
        <v>0.6006</v>
      </c>
    </row>
    <row r="509" spans="1:2">
      <c r="A509" s="241">
        <v>697</v>
      </c>
      <c r="B509" s="241">
        <v>0.6171</v>
      </c>
    </row>
    <row r="510" spans="1:2">
      <c r="A510" s="241">
        <v>698</v>
      </c>
      <c r="B510" s="241">
        <v>0.631</v>
      </c>
    </row>
    <row r="511" spans="1:2">
      <c r="A511" s="241">
        <v>699</v>
      </c>
      <c r="B511" s="241">
        <v>0.6414</v>
      </c>
    </row>
    <row r="512" spans="1:2">
      <c r="A512" s="241">
        <v>700</v>
      </c>
      <c r="B512" s="241">
        <v>0.6495</v>
      </c>
    </row>
    <row r="513" spans="1:2">
      <c r="A513" s="241">
        <v>701</v>
      </c>
      <c r="B513" s="241">
        <v>0.6567</v>
      </c>
    </row>
    <row r="514" spans="1:2">
      <c r="A514" s="241">
        <v>702</v>
      </c>
      <c r="B514" s="241">
        <v>0.6627</v>
      </c>
    </row>
    <row r="515" spans="1:2">
      <c r="A515" s="241">
        <v>703</v>
      </c>
      <c r="B515" s="241">
        <v>0.6681</v>
      </c>
    </row>
    <row r="516" spans="1:2">
      <c r="A516" s="241">
        <v>704</v>
      </c>
      <c r="B516" s="241">
        <v>0.6731</v>
      </c>
    </row>
    <row r="517" spans="1:2">
      <c r="A517" s="241">
        <v>705</v>
      </c>
      <c r="B517" s="241">
        <v>0.6759</v>
      </c>
    </row>
    <row r="518" spans="1:2">
      <c r="A518" s="241">
        <v>706</v>
      </c>
      <c r="B518" s="241">
        <v>0.6777</v>
      </c>
    </row>
    <row r="519" spans="1:2">
      <c r="A519" s="241">
        <v>707</v>
      </c>
      <c r="B519" s="241">
        <v>0.6795</v>
      </c>
    </row>
    <row r="520" spans="1:2">
      <c r="A520" s="241">
        <v>708</v>
      </c>
      <c r="B520" s="241">
        <v>0.681</v>
      </c>
    </row>
    <row r="521" spans="1:2">
      <c r="A521" s="241">
        <v>709</v>
      </c>
      <c r="B521" s="241">
        <v>0.6823</v>
      </c>
    </row>
    <row r="522" spans="1:2">
      <c r="A522" s="241">
        <v>710</v>
      </c>
      <c r="B522" s="241">
        <v>0.6853</v>
      </c>
    </row>
    <row r="523" spans="1:2">
      <c r="A523" s="241">
        <v>711</v>
      </c>
      <c r="B523" s="241">
        <v>0.6891</v>
      </c>
    </row>
    <row r="524" spans="1:2">
      <c r="A524" s="241">
        <v>712</v>
      </c>
      <c r="B524" s="241">
        <v>0.6941</v>
      </c>
    </row>
    <row r="525" spans="1:2">
      <c r="A525" s="241">
        <v>713</v>
      </c>
      <c r="B525" s="241">
        <v>0.7031</v>
      </c>
    </row>
    <row r="526" spans="1:2">
      <c r="A526" s="241">
        <v>714</v>
      </c>
      <c r="B526" s="241">
        <v>0.7149</v>
      </c>
    </row>
    <row r="527" spans="1:2">
      <c r="A527" s="241">
        <v>715</v>
      </c>
      <c r="B527" s="241">
        <v>0.7299</v>
      </c>
    </row>
    <row r="528" spans="1:2">
      <c r="A528" s="241">
        <v>716</v>
      </c>
      <c r="B528" s="241">
        <v>0.7499</v>
      </c>
    </row>
    <row r="529" spans="1:2">
      <c r="A529" s="241">
        <v>717</v>
      </c>
      <c r="B529" s="241">
        <v>0.7728</v>
      </c>
    </row>
    <row r="530" spans="1:2">
      <c r="A530" s="241">
        <v>718</v>
      </c>
      <c r="B530" s="241">
        <v>0.7997</v>
      </c>
    </row>
    <row r="531" spans="1:2">
      <c r="A531" s="241">
        <v>719</v>
      </c>
      <c r="B531" s="241">
        <v>0.8299</v>
      </c>
    </row>
    <row r="532" spans="1:2">
      <c r="A532" s="241">
        <v>720</v>
      </c>
      <c r="B532" s="241">
        <v>0.8635</v>
      </c>
    </row>
    <row r="533" spans="1:2">
      <c r="A533" s="241">
        <v>721</v>
      </c>
      <c r="B533" s="241">
        <v>0.9002</v>
      </c>
    </row>
    <row r="534" spans="1:2">
      <c r="A534" s="241">
        <v>722</v>
      </c>
      <c r="B534" s="241">
        <v>0.9382</v>
      </c>
    </row>
    <row r="535" spans="1:2">
      <c r="A535" s="241">
        <v>723</v>
      </c>
      <c r="B535" s="241">
        <v>0.9781</v>
      </c>
    </row>
    <row r="536" spans="1:2">
      <c r="A536" s="241">
        <v>724</v>
      </c>
      <c r="B536" s="241">
        <v>1.0187</v>
      </c>
    </row>
    <row r="537" spans="1:2">
      <c r="A537" s="241">
        <v>725</v>
      </c>
      <c r="B537" s="241">
        <v>1.0602</v>
      </c>
    </row>
    <row r="538" spans="1:2">
      <c r="A538" s="241">
        <v>726</v>
      </c>
      <c r="B538" s="241">
        <v>1.1036</v>
      </c>
    </row>
    <row r="539" spans="1:2">
      <c r="A539" s="241">
        <v>727</v>
      </c>
      <c r="B539" s="241">
        <v>1.1486</v>
      </c>
    </row>
    <row r="540" spans="1:2">
      <c r="A540" s="241">
        <v>728</v>
      </c>
      <c r="B540" s="241">
        <v>1.1936</v>
      </c>
    </row>
    <row r="541" spans="1:2">
      <c r="A541" s="241">
        <v>729</v>
      </c>
      <c r="B541" s="241">
        <v>1.2395</v>
      </c>
    </row>
    <row r="542" spans="1:2">
      <c r="A542" s="241">
        <v>730</v>
      </c>
      <c r="B542" s="241">
        <v>1.2868</v>
      </c>
    </row>
    <row r="543" spans="1:2">
      <c r="A543" s="241">
        <v>731</v>
      </c>
      <c r="B543" s="241">
        <v>1.3335</v>
      </c>
    </row>
    <row r="544" spans="1:2">
      <c r="A544" s="241">
        <v>732</v>
      </c>
      <c r="B544" s="241">
        <v>1.3803</v>
      </c>
    </row>
    <row r="545" spans="1:2">
      <c r="A545" s="241">
        <v>733</v>
      </c>
      <c r="B545" s="241">
        <v>1.4262</v>
      </c>
    </row>
    <row r="546" spans="1:2">
      <c r="A546" s="241">
        <v>734</v>
      </c>
      <c r="B546" s="241">
        <v>1.4683</v>
      </c>
    </row>
    <row r="547" spans="1:2">
      <c r="A547" s="241">
        <v>735</v>
      </c>
      <c r="B547" s="241">
        <v>1.5079</v>
      </c>
    </row>
    <row r="548" spans="1:2">
      <c r="A548" s="241">
        <v>736</v>
      </c>
      <c r="B548" s="241">
        <v>1.5456</v>
      </c>
    </row>
    <row r="549" spans="1:2">
      <c r="A549" s="241">
        <v>737</v>
      </c>
      <c r="B549" s="241">
        <v>1.583</v>
      </c>
    </row>
    <row r="550" spans="1:2">
      <c r="A550" s="241">
        <v>738</v>
      </c>
      <c r="B550" s="241">
        <v>1.6205</v>
      </c>
    </row>
    <row r="551" spans="1:2">
      <c r="A551" s="241">
        <v>739</v>
      </c>
      <c r="B551" s="241">
        <v>1.6561</v>
      </c>
    </row>
    <row r="552" spans="1:2">
      <c r="A552" s="241">
        <v>740</v>
      </c>
      <c r="B552" s="241">
        <v>1.6878</v>
      </c>
    </row>
    <row r="553" spans="1:2">
      <c r="A553" s="241">
        <v>741</v>
      </c>
      <c r="B553" s="241">
        <v>1.7164</v>
      </c>
    </row>
    <row r="554" spans="1:2">
      <c r="A554" s="241">
        <v>742</v>
      </c>
      <c r="B554" s="241">
        <v>1.7405</v>
      </c>
    </row>
    <row r="555" spans="1:2">
      <c r="A555" s="241">
        <v>743</v>
      </c>
      <c r="B555" s="241">
        <v>1.7606</v>
      </c>
    </row>
    <row r="556" spans="1:2">
      <c r="A556" s="241">
        <v>744</v>
      </c>
      <c r="B556" s="241">
        <v>1.7792</v>
      </c>
    </row>
    <row r="557" spans="1:2">
      <c r="A557" s="241">
        <v>745</v>
      </c>
      <c r="B557" s="241">
        <v>1.796</v>
      </c>
    </row>
    <row r="558" spans="1:2">
      <c r="A558" s="241">
        <v>746</v>
      </c>
      <c r="B558" s="241">
        <v>1.8107</v>
      </c>
    </row>
    <row r="559" spans="1:2">
      <c r="A559" s="241">
        <v>747</v>
      </c>
      <c r="B559" s="241">
        <v>1.8245</v>
      </c>
    </row>
    <row r="560" spans="1:2">
      <c r="A560" s="241">
        <v>748</v>
      </c>
      <c r="B560" s="241">
        <v>1.8382</v>
      </c>
    </row>
    <row r="561" spans="1:2">
      <c r="A561" s="241">
        <v>749</v>
      </c>
      <c r="B561" s="241">
        <v>1.8503</v>
      </c>
    </row>
    <row r="562" spans="1:2">
      <c r="A562" s="241">
        <v>750</v>
      </c>
      <c r="B562" s="241">
        <v>1.8607</v>
      </c>
    </row>
    <row r="563" spans="1:2">
      <c r="A563" s="241">
        <v>751</v>
      </c>
      <c r="B563" s="241">
        <v>1.8699</v>
      </c>
    </row>
    <row r="564" spans="1:2">
      <c r="A564" s="241">
        <v>752</v>
      </c>
      <c r="B564" s="241">
        <v>1.8798</v>
      </c>
    </row>
    <row r="565" spans="1:2">
      <c r="A565" s="241">
        <v>753</v>
      </c>
      <c r="B565" s="241">
        <v>1.8901</v>
      </c>
    </row>
    <row r="566" spans="1:2">
      <c r="A566" s="241">
        <v>754</v>
      </c>
      <c r="B566" s="241">
        <v>1.8998</v>
      </c>
    </row>
    <row r="567" spans="1:2">
      <c r="A567" s="241">
        <v>755</v>
      </c>
      <c r="B567" s="241">
        <v>1.9102</v>
      </c>
    </row>
    <row r="568" spans="1:2">
      <c r="A568" s="241">
        <v>756</v>
      </c>
      <c r="B568" s="241">
        <v>1.9222</v>
      </c>
    </row>
    <row r="569" spans="1:2">
      <c r="A569" s="241">
        <v>757</v>
      </c>
      <c r="B569" s="241">
        <v>1.9338</v>
      </c>
    </row>
    <row r="570" spans="1:2">
      <c r="A570" s="241">
        <v>758</v>
      </c>
      <c r="B570" s="241">
        <v>1.947</v>
      </c>
    </row>
    <row r="571" spans="1:2">
      <c r="A571" s="241">
        <v>759</v>
      </c>
      <c r="B571" s="241">
        <v>1.9637</v>
      </c>
    </row>
    <row r="572" spans="1:2">
      <c r="A572" s="241">
        <v>760</v>
      </c>
      <c r="B572" s="241">
        <v>1.9837</v>
      </c>
    </row>
    <row r="573" spans="1:2">
      <c r="A573" s="241">
        <v>761</v>
      </c>
      <c r="B573" s="241">
        <v>2.0053</v>
      </c>
    </row>
    <row r="574" spans="1:2">
      <c r="A574" s="241">
        <v>762</v>
      </c>
      <c r="B574" s="241">
        <v>2.0298</v>
      </c>
    </row>
    <row r="575" spans="1:2">
      <c r="A575" s="241">
        <v>763</v>
      </c>
      <c r="B575" s="241">
        <v>2.0572</v>
      </c>
    </row>
    <row r="576" spans="1:2">
      <c r="A576" s="241">
        <v>764</v>
      </c>
      <c r="B576" s="241">
        <v>2.0883</v>
      </c>
    </row>
    <row r="577" spans="1:2">
      <c r="A577" s="241">
        <v>765</v>
      </c>
      <c r="B577" s="241">
        <v>2.1231</v>
      </c>
    </row>
    <row r="578" spans="1:2">
      <c r="A578" s="241">
        <v>766</v>
      </c>
      <c r="B578" s="241">
        <v>2.1623</v>
      </c>
    </row>
    <row r="579" spans="1:2">
      <c r="A579" s="241">
        <v>767</v>
      </c>
      <c r="B579" s="241">
        <v>2.2051</v>
      </c>
    </row>
    <row r="580" spans="1:2">
      <c r="A580" s="241">
        <v>768</v>
      </c>
      <c r="B580" s="241">
        <v>2.2514</v>
      </c>
    </row>
    <row r="581" spans="1:2">
      <c r="A581" s="241">
        <v>769</v>
      </c>
      <c r="B581" s="241">
        <v>2.3021</v>
      </c>
    </row>
    <row r="582" spans="1:2">
      <c r="A582" s="241">
        <v>770</v>
      </c>
      <c r="B582" s="241">
        <v>2.3568</v>
      </c>
    </row>
    <row r="583" spans="1:2">
      <c r="A583" s="241">
        <v>771</v>
      </c>
      <c r="B583" s="241">
        <v>2.4142</v>
      </c>
    </row>
    <row r="584" spans="1:2">
      <c r="A584" s="241">
        <v>772</v>
      </c>
      <c r="B584" s="241">
        <v>2.4729</v>
      </c>
    </row>
    <row r="585" spans="1:2">
      <c r="A585" s="241">
        <v>773</v>
      </c>
      <c r="B585" s="241">
        <v>2.5348</v>
      </c>
    </row>
    <row r="586" spans="1:2">
      <c r="A586" s="241">
        <v>774</v>
      </c>
      <c r="B586" s="241">
        <v>2.597</v>
      </c>
    </row>
    <row r="587" spans="1:2">
      <c r="A587" s="241">
        <v>775</v>
      </c>
      <c r="B587" s="241">
        <v>2.6584</v>
      </c>
    </row>
    <row r="588" spans="1:2">
      <c r="A588" s="241">
        <v>776</v>
      </c>
      <c r="B588" s="241">
        <v>2.7215</v>
      </c>
    </row>
    <row r="589" spans="1:2">
      <c r="A589" s="241">
        <v>777</v>
      </c>
      <c r="B589" s="241">
        <v>2.7865</v>
      </c>
    </row>
    <row r="590" spans="1:2">
      <c r="A590" s="241">
        <v>778</v>
      </c>
      <c r="B590" s="241">
        <v>2.8493</v>
      </c>
    </row>
    <row r="591" spans="1:2">
      <c r="A591" s="241">
        <v>779</v>
      </c>
      <c r="B591" s="241">
        <v>2.9115</v>
      </c>
    </row>
    <row r="592" spans="1:2">
      <c r="A592" s="241">
        <v>780</v>
      </c>
      <c r="B592" s="241">
        <v>2.9739</v>
      </c>
    </row>
    <row r="593" spans="1:2">
      <c r="A593" s="241">
        <v>781</v>
      </c>
      <c r="B593" s="241">
        <v>3.0327</v>
      </c>
    </row>
    <row r="594" spans="1:2">
      <c r="A594" s="241">
        <v>782</v>
      </c>
      <c r="B594" s="241">
        <v>3.0892</v>
      </c>
    </row>
    <row r="595" spans="1:2">
      <c r="A595" s="241">
        <v>783</v>
      </c>
      <c r="B595" s="241">
        <v>3.1439</v>
      </c>
    </row>
    <row r="596" spans="1:2">
      <c r="A596" s="241">
        <v>784</v>
      </c>
      <c r="B596" s="241">
        <v>3.1965</v>
      </c>
    </row>
    <row r="597" spans="1:2">
      <c r="A597" s="241">
        <v>785</v>
      </c>
      <c r="B597" s="241">
        <v>3.2479</v>
      </c>
    </row>
    <row r="598" spans="1:2">
      <c r="A598" s="241">
        <v>786</v>
      </c>
      <c r="B598" s="241">
        <v>3.3004</v>
      </c>
    </row>
    <row r="599" spans="1:2">
      <c r="A599" s="241">
        <v>787</v>
      </c>
      <c r="B599" s="241">
        <v>3.3539</v>
      </c>
    </row>
    <row r="600" spans="1:2">
      <c r="A600" s="241">
        <v>788</v>
      </c>
      <c r="B600" s="241">
        <v>3.4062</v>
      </c>
    </row>
    <row r="601" spans="1:2">
      <c r="A601" s="241">
        <v>789</v>
      </c>
      <c r="B601" s="241">
        <v>3.4568</v>
      </c>
    </row>
    <row r="602" spans="1:2">
      <c r="A602" s="241">
        <v>790</v>
      </c>
      <c r="B602" s="241">
        <v>3.503</v>
      </c>
    </row>
    <row r="603" spans="1:2">
      <c r="A603" s="241">
        <v>791</v>
      </c>
      <c r="B603" s="241">
        <v>3.5445</v>
      </c>
    </row>
    <row r="604" spans="1:2">
      <c r="A604" s="241">
        <v>792</v>
      </c>
      <c r="B604" s="241">
        <v>3.5788</v>
      </c>
    </row>
    <row r="605" spans="1:2">
      <c r="A605" s="241">
        <v>793</v>
      </c>
      <c r="B605" s="241">
        <v>3.6098</v>
      </c>
    </row>
    <row r="606" spans="1:2">
      <c r="A606" s="241">
        <v>794</v>
      </c>
      <c r="B606" s="241">
        <v>3.6349</v>
      </c>
    </row>
    <row r="607" spans="1:2">
      <c r="A607" s="241">
        <v>795</v>
      </c>
      <c r="B607" s="241">
        <v>3.6557</v>
      </c>
    </row>
    <row r="608" spans="1:2">
      <c r="A608" s="241">
        <v>796</v>
      </c>
      <c r="B608" s="241">
        <v>3.6736</v>
      </c>
    </row>
    <row r="609" spans="1:2">
      <c r="A609" s="241">
        <v>797</v>
      </c>
      <c r="B609" s="241">
        <v>3.6899</v>
      </c>
    </row>
    <row r="610" spans="1:2">
      <c r="A610" s="241">
        <v>798</v>
      </c>
      <c r="B610" s="241">
        <v>3.7036</v>
      </c>
    </row>
    <row r="611" spans="1:2">
      <c r="A611" s="241">
        <v>799</v>
      </c>
      <c r="B611" s="241">
        <v>3.717</v>
      </c>
    </row>
    <row r="612" spans="1:2">
      <c r="A612" s="241">
        <v>800</v>
      </c>
      <c r="B612" s="241">
        <v>3.7318</v>
      </c>
    </row>
    <row r="613" spans="1:2">
      <c r="A613" s="241">
        <v>801</v>
      </c>
      <c r="B613" s="241">
        <v>3.7475</v>
      </c>
    </row>
    <row r="614" spans="1:2">
      <c r="A614" s="241">
        <v>802</v>
      </c>
      <c r="B614" s="241">
        <v>3.7629</v>
      </c>
    </row>
    <row r="615" spans="1:2">
      <c r="A615" s="241">
        <v>803</v>
      </c>
      <c r="B615" s="241">
        <v>3.7782</v>
      </c>
    </row>
    <row r="616" spans="1:2">
      <c r="A616" s="241">
        <v>804</v>
      </c>
      <c r="B616" s="241">
        <v>3.7925</v>
      </c>
    </row>
    <row r="617" spans="1:2">
      <c r="A617" s="241">
        <v>805</v>
      </c>
      <c r="B617" s="241">
        <v>3.8048</v>
      </c>
    </row>
    <row r="618" spans="1:2">
      <c r="A618" s="241">
        <v>806</v>
      </c>
      <c r="B618" s="241">
        <v>3.8145</v>
      </c>
    </row>
    <row r="619" spans="1:2">
      <c r="A619" s="241">
        <v>807</v>
      </c>
      <c r="B619" s="241">
        <v>3.8223</v>
      </c>
    </row>
    <row r="620" spans="1:2">
      <c r="A620" s="241">
        <v>808</v>
      </c>
      <c r="B620" s="241">
        <v>3.8304</v>
      </c>
    </row>
    <row r="621" spans="1:2">
      <c r="A621" s="241">
        <v>809</v>
      </c>
      <c r="B621" s="241">
        <v>3.8385</v>
      </c>
    </row>
    <row r="622" spans="1:2">
      <c r="A622" s="241">
        <v>810</v>
      </c>
      <c r="B622" s="241">
        <v>3.8507</v>
      </c>
    </row>
    <row r="623" spans="1:2">
      <c r="A623" s="241">
        <v>811</v>
      </c>
      <c r="B623" s="241">
        <v>3.866</v>
      </c>
    </row>
    <row r="624" spans="1:2">
      <c r="A624" s="241">
        <v>812</v>
      </c>
      <c r="B624" s="241">
        <v>3.8854</v>
      </c>
    </row>
    <row r="625" spans="1:2">
      <c r="A625" s="241">
        <v>813</v>
      </c>
      <c r="B625" s="241">
        <v>3.9091</v>
      </c>
    </row>
    <row r="626" spans="1:2">
      <c r="A626" s="241">
        <v>814</v>
      </c>
      <c r="B626" s="241">
        <v>3.9353</v>
      </c>
    </row>
    <row r="627" spans="1:2">
      <c r="A627" s="241">
        <v>815</v>
      </c>
      <c r="B627" s="241">
        <v>3.964</v>
      </c>
    </row>
    <row r="628" spans="1:2">
      <c r="A628" s="241">
        <v>816</v>
      </c>
      <c r="B628" s="241">
        <v>3.9958</v>
      </c>
    </row>
    <row r="629" spans="1:2">
      <c r="A629" s="241">
        <v>817</v>
      </c>
      <c r="B629" s="241">
        <v>4.0308</v>
      </c>
    </row>
    <row r="630" spans="1:2">
      <c r="A630" s="241">
        <v>818</v>
      </c>
      <c r="B630" s="241">
        <v>4.0687</v>
      </c>
    </row>
    <row r="631" spans="1:2">
      <c r="A631" s="241">
        <v>819</v>
      </c>
      <c r="B631" s="241">
        <v>4.1103</v>
      </c>
    </row>
    <row r="632" spans="1:2">
      <c r="A632" s="241">
        <v>820</v>
      </c>
      <c r="B632" s="241">
        <v>4.1556</v>
      </c>
    </row>
    <row r="633" spans="1:2">
      <c r="A633" s="241">
        <v>821</v>
      </c>
      <c r="B633" s="241">
        <v>4.2036</v>
      </c>
    </row>
    <row r="634" spans="1:2">
      <c r="A634" s="241">
        <v>822</v>
      </c>
      <c r="B634" s="241">
        <v>4.2562</v>
      </c>
    </row>
    <row r="635" spans="1:2">
      <c r="A635" s="241">
        <v>823</v>
      </c>
      <c r="B635" s="241">
        <v>4.3138</v>
      </c>
    </row>
    <row r="636" spans="1:2">
      <c r="A636" s="241">
        <v>824</v>
      </c>
      <c r="B636" s="241">
        <v>4.3744</v>
      </c>
    </row>
    <row r="637" spans="1:2">
      <c r="A637" s="241">
        <v>825</v>
      </c>
      <c r="B637" s="241">
        <v>4.4379</v>
      </c>
    </row>
    <row r="638" spans="1:2">
      <c r="A638" s="241">
        <v>826</v>
      </c>
      <c r="B638" s="241">
        <v>4.506</v>
      </c>
    </row>
    <row r="639" spans="1:2">
      <c r="A639" s="241">
        <v>827</v>
      </c>
      <c r="B639" s="241">
        <v>4.5756</v>
      </c>
    </row>
    <row r="640" spans="1:2">
      <c r="A640" s="241">
        <v>828</v>
      </c>
      <c r="B640" s="241">
        <v>4.6432</v>
      </c>
    </row>
    <row r="641" spans="1:2">
      <c r="A641" s="241">
        <v>829</v>
      </c>
      <c r="B641" s="241">
        <v>4.7085</v>
      </c>
    </row>
    <row r="642" spans="1:2">
      <c r="A642" s="241">
        <v>830</v>
      </c>
      <c r="B642" s="241">
        <v>4.774</v>
      </c>
    </row>
    <row r="643" spans="1:2">
      <c r="A643" s="241">
        <v>831</v>
      </c>
      <c r="B643" s="241">
        <v>4.839</v>
      </c>
    </row>
    <row r="644" spans="1:2">
      <c r="A644" s="241">
        <v>832</v>
      </c>
      <c r="B644" s="241">
        <v>4.9045</v>
      </c>
    </row>
    <row r="645" spans="1:2">
      <c r="A645" s="241">
        <v>833</v>
      </c>
      <c r="B645" s="241">
        <v>4.9714</v>
      </c>
    </row>
    <row r="646" spans="1:2">
      <c r="A646" s="241">
        <v>834</v>
      </c>
      <c r="B646" s="241">
        <v>5.0408</v>
      </c>
    </row>
    <row r="647" spans="1:2">
      <c r="A647" s="241">
        <v>835</v>
      </c>
      <c r="B647" s="241">
        <v>5.1119</v>
      </c>
    </row>
    <row r="648" spans="1:2">
      <c r="A648" s="241">
        <v>836</v>
      </c>
      <c r="B648" s="241">
        <v>5.1848</v>
      </c>
    </row>
    <row r="649" spans="1:2">
      <c r="A649" s="241">
        <v>837</v>
      </c>
      <c r="B649" s="241">
        <v>5.2583</v>
      </c>
    </row>
    <row r="650" spans="1:2">
      <c r="A650" s="241">
        <v>838</v>
      </c>
      <c r="B650" s="241">
        <v>5.3306</v>
      </c>
    </row>
    <row r="651" spans="1:2">
      <c r="A651" s="241">
        <v>839</v>
      </c>
      <c r="B651" s="241">
        <v>5.4017</v>
      </c>
    </row>
    <row r="652" spans="1:2">
      <c r="A652" s="241">
        <v>840</v>
      </c>
      <c r="B652" s="241">
        <v>5.4724</v>
      </c>
    </row>
    <row r="653" spans="1:2">
      <c r="A653" s="241">
        <v>841</v>
      </c>
      <c r="B653" s="241">
        <v>5.5377</v>
      </c>
    </row>
    <row r="654" spans="1:2">
      <c r="A654" s="241">
        <v>842</v>
      </c>
      <c r="B654" s="241">
        <v>5.5968</v>
      </c>
    </row>
    <row r="655" spans="1:2">
      <c r="A655" s="241">
        <v>843</v>
      </c>
      <c r="B655" s="241">
        <v>5.6513</v>
      </c>
    </row>
    <row r="656" spans="1:2">
      <c r="A656" s="241">
        <v>844</v>
      </c>
      <c r="B656" s="241">
        <v>5.7019</v>
      </c>
    </row>
    <row r="657" spans="1:2">
      <c r="A657" s="241">
        <v>845</v>
      </c>
      <c r="B657" s="241">
        <v>5.7489</v>
      </c>
    </row>
    <row r="658" spans="1:2">
      <c r="A658" s="241">
        <v>846</v>
      </c>
      <c r="B658" s="241">
        <v>5.792</v>
      </c>
    </row>
    <row r="659" spans="1:2">
      <c r="A659" s="241">
        <v>847</v>
      </c>
      <c r="B659" s="241">
        <v>5.8357</v>
      </c>
    </row>
    <row r="660" spans="1:2">
      <c r="A660" s="241">
        <v>848</v>
      </c>
      <c r="B660" s="241">
        <v>5.8786</v>
      </c>
    </row>
    <row r="661" spans="1:2">
      <c r="A661" s="241">
        <v>849</v>
      </c>
      <c r="B661" s="241">
        <v>5.919</v>
      </c>
    </row>
    <row r="662" spans="1:2">
      <c r="A662" s="241">
        <v>850</v>
      </c>
      <c r="B662" s="241">
        <v>5.9574</v>
      </c>
    </row>
    <row r="663" spans="1:2">
      <c r="A663" s="241">
        <v>851</v>
      </c>
      <c r="B663" s="241">
        <v>5.9916</v>
      </c>
    </row>
    <row r="664" spans="1:2">
      <c r="A664" s="241">
        <v>852</v>
      </c>
      <c r="B664" s="241">
        <v>6.0216</v>
      </c>
    </row>
    <row r="665" spans="1:2">
      <c r="A665" s="241">
        <v>853</v>
      </c>
      <c r="B665" s="241">
        <v>6.0449</v>
      </c>
    </row>
    <row r="666" spans="1:2">
      <c r="A666" s="241">
        <v>854</v>
      </c>
      <c r="B666" s="241">
        <v>6.0648</v>
      </c>
    </row>
    <row r="667" spans="1:2">
      <c r="A667" s="241">
        <v>855</v>
      </c>
      <c r="B667" s="241">
        <v>6.0818</v>
      </c>
    </row>
    <row r="668" spans="1:2">
      <c r="A668" s="241">
        <v>856</v>
      </c>
      <c r="B668" s="241">
        <v>6.0961</v>
      </c>
    </row>
    <row r="669" spans="1:2">
      <c r="A669" s="241">
        <v>857</v>
      </c>
      <c r="B669" s="241">
        <v>6.1117</v>
      </c>
    </row>
    <row r="670" spans="1:2">
      <c r="A670" s="241">
        <v>858</v>
      </c>
      <c r="B670" s="241">
        <v>6.1268</v>
      </c>
    </row>
    <row r="671" spans="1:2">
      <c r="A671" s="241">
        <v>859</v>
      </c>
      <c r="B671" s="241">
        <v>6.1406</v>
      </c>
    </row>
    <row r="672" spans="1:2">
      <c r="A672" s="241">
        <v>860</v>
      </c>
      <c r="B672" s="241">
        <v>6.1569</v>
      </c>
    </row>
    <row r="673" spans="1:2">
      <c r="A673" s="241">
        <v>861</v>
      </c>
      <c r="B673" s="241">
        <v>6.1723</v>
      </c>
    </row>
    <row r="674" spans="1:2">
      <c r="A674" s="241">
        <v>862</v>
      </c>
      <c r="B674" s="241">
        <v>6.1861</v>
      </c>
    </row>
    <row r="675" spans="1:2">
      <c r="A675" s="241">
        <v>863</v>
      </c>
      <c r="B675" s="241">
        <v>6.1961</v>
      </c>
    </row>
    <row r="676" spans="1:2">
      <c r="A676" s="241">
        <v>864</v>
      </c>
      <c r="B676" s="241">
        <v>6.2037</v>
      </c>
    </row>
    <row r="677" spans="1:2">
      <c r="A677" s="241">
        <v>865</v>
      </c>
      <c r="B677" s="241">
        <v>6.2132</v>
      </c>
    </row>
    <row r="678" spans="1:2">
      <c r="A678" s="241">
        <v>866</v>
      </c>
      <c r="B678" s="241">
        <v>6.2188</v>
      </c>
    </row>
    <row r="679" spans="1:2">
      <c r="A679" s="241">
        <v>867</v>
      </c>
      <c r="B679" s="241">
        <v>6.2237</v>
      </c>
    </row>
    <row r="680" spans="1:2">
      <c r="A680" s="241">
        <v>868</v>
      </c>
      <c r="B680" s="241">
        <v>6.2293</v>
      </c>
    </row>
    <row r="681" spans="1:2">
      <c r="A681" s="241">
        <v>869</v>
      </c>
      <c r="B681" s="241">
        <v>6.2335</v>
      </c>
    </row>
    <row r="682" spans="1:2">
      <c r="A682" s="241">
        <v>870</v>
      </c>
      <c r="B682" s="241">
        <v>6.2374</v>
      </c>
    </row>
    <row r="683" spans="1:2">
      <c r="A683" s="241">
        <v>871</v>
      </c>
      <c r="B683" s="241">
        <v>6.2431</v>
      </c>
    </row>
    <row r="684" spans="1:2">
      <c r="A684" s="241">
        <v>872</v>
      </c>
      <c r="B684" s="241">
        <v>6.2507</v>
      </c>
    </row>
    <row r="685" spans="1:2">
      <c r="A685" s="241">
        <v>873</v>
      </c>
      <c r="B685" s="241">
        <v>6.2612</v>
      </c>
    </row>
    <row r="686" spans="1:2">
      <c r="A686" s="241">
        <v>874</v>
      </c>
      <c r="B686" s="241">
        <v>6.274</v>
      </c>
    </row>
    <row r="687" spans="1:2">
      <c r="A687" s="241">
        <v>875</v>
      </c>
      <c r="B687" s="241">
        <v>6.288</v>
      </c>
    </row>
    <row r="688" spans="1:2">
      <c r="A688" s="241">
        <v>876</v>
      </c>
      <c r="B688" s="241">
        <v>6.305</v>
      </c>
    </row>
    <row r="689" spans="1:2">
      <c r="A689" s="241">
        <v>877</v>
      </c>
      <c r="B689" s="241">
        <v>6.3242</v>
      </c>
    </row>
    <row r="690" spans="1:2">
      <c r="A690" s="241">
        <v>878</v>
      </c>
      <c r="B690" s="241">
        <v>6.3468</v>
      </c>
    </row>
    <row r="691" spans="1:2">
      <c r="A691" s="241">
        <v>879</v>
      </c>
      <c r="B691" s="241">
        <v>6.3738</v>
      </c>
    </row>
    <row r="692" spans="1:2">
      <c r="A692" s="241">
        <v>880</v>
      </c>
      <c r="B692" s="241">
        <v>6.4044</v>
      </c>
    </row>
    <row r="693" spans="1:2">
      <c r="A693" s="241">
        <v>881</v>
      </c>
      <c r="B693" s="241">
        <v>6.4398</v>
      </c>
    </row>
    <row r="694" spans="1:2">
      <c r="A694" s="241">
        <v>882</v>
      </c>
      <c r="B694" s="241">
        <v>6.4805</v>
      </c>
    </row>
    <row r="695" spans="1:2">
      <c r="A695" s="241">
        <v>883</v>
      </c>
      <c r="B695" s="241">
        <v>6.5244</v>
      </c>
    </row>
    <row r="696" spans="1:2">
      <c r="A696" s="241">
        <v>884</v>
      </c>
      <c r="B696" s="241">
        <v>6.5693</v>
      </c>
    </row>
    <row r="697" spans="1:2">
      <c r="A697" s="241">
        <v>885</v>
      </c>
      <c r="B697" s="241">
        <v>6.6167</v>
      </c>
    </row>
    <row r="698" spans="1:2">
      <c r="A698" s="241">
        <v>886</v>
      </c>
      <c r="B698" s="241">
        <v>6.6652</v>
      </c>
    </row>
    <row r="699" spans="1:2">
      <c r="A699" s="241">
        <v>887</v>
      </c>
      <c r="B699" s="241">
        <v>6.7138</v>
      </c>
    </row>
    <row r="700" spans="1:2">
      <c r="A700" s="241">
        <v>888</v>
      </c>
      <c r="B700" s="241">
        <v>6.7653</v>
      </c>
    </row>
    <row r="701" spans="1:2">
      <c r="A701" s="241">
        <v>889</v>
      </c>
      <c r="B701" s="241">
        <v>6.8213</v>
      </c>
    </row>
    <row r="702" spans="1:2">
      <c r="A702" s="241">
        <v>890</v>
      </c>
      <c r="B702" s="241">
        <v>6.8816</v>
      </c>
    </row>
    <row r="703" spans="1:2">
      <c r="A703" s="241">
        <v>891</v>
      </c>
      <c r="B703" s="241">
        <v>6.9427</v>
      </c>
    </row>
    <row r="704" spans="1:2">
      <c r="A704" s="241">
        <v>892</v>
      </c>
      <c r="B704" s="241">
        <v>7.0039</v>
      </c>
    </row>
    <row r="705" spans="1:2">
      <c r="A705" s="241">
        <v>893</v>
      </c>
      <c r="B705" s="241">
        <v>7.066</v>
      </c>
    </row>
    <row r="706" spans="1:2">
      <c r="A706" s="241">
        <v>894</v>
      </c>
      <c r="B706" s="241">
        <v>7.1282</v>
      </c>
    </row>
    <row r="707" spans="1:2">
      <c r="A707" s="241">
        <v>895</v>
      </c>
      <c r="B707" s="241">
        <v>7.1907</v>
      </c>
    </row>
    <row r="708" spans="1:2">
      <c r="A708" s="241">
        <v>896</v>
      </c>
      <c r="B708" s="241">
        <v>7.2531</v>
      </c>
    </row>
    <row r="709" spans="1:2">
      <c r="A709" s="241">
        <v>897</v>
      </c>
      <c r="B709" s="241">
        <v>7.3169</v>
      </c>
    </row>
    <row r="710" spans="1:2">
      <c r="A710" s="241">
        <v>898</v>
      </c>
      <c r="B710" s="241">
        <v>7.3819</v>
      </c>
    </row>
    <row r="711" spans="1:2">
      <c r="A711" s="241">
        <v>899</v>
      </c>
      <c r="B711" s="241">
        <v>7.4475</v>
      </c>
    </row>
    <row r="712" spans="1:2">
      <c r="A712" s="241">
        <v>900</v>
      </c>
      <c r="B712" s="241">
        <v>7.5161</v>
      </c>
    </row>
    <row r="713" spans="1:2">
      <c r="A713" s="241">
        <v>901</v>
      </c>
      <c r="B713" s="241">
        <v>7.5856</v>
      </c>
    </row>
    <row r="714" spans="1:2">
      <c r="A714" s="241">
        <v>902</v>
      </c>
      <c r="B714" s="241">
        <v>7.6521</v>
      </c>
    </row>
    <row r="715" spans="1:2">
      <c r="A715" s="241">
        <v>903</v>
      </c>
      <c r="B715" s="241">
        <v>7.7147</v>
      </c>
    </row>
    <row r="716" spans="1:2">
      <c r="A716" s="241">
        <v>904</v>
      </c>
      <c r="B716" s="241">
        <v>7.7754</v>
      </c>
    </row>
    <row r="717" spans="1:2">
      <c r="A717" s="241">
        <v>905</v>
      </c>
      <c r="B717" s="241">
        <v>7.8346</v>
      </c>
    </row>
    <row r="718" spans="1:2">
      <c r="A718" s="241">
        <v>906</v>
      </c>
      <c r="B718" s="241">
        <v>7.8887</v>
      </c>
    </row>
    <row r="719" spans="1:2">
      <c r="A719" s="241">
        <v>907</v>
      </c>
      <c r="B719" s="241">
        <v>7.9368</v>
      </c>
    </row>
    <row r="720" spans="1:2">
      <c r="A720" s="241">
        <v>908</v>
      </c>
      <c r="B720" s="241">
        <v>7.9815</v>
      </c>
    </row>
    <row r="721" spans="1:2">
      <c r="A721" s="241">
        <v>909</v>
      </c>
      <c r="B721" s="241">
        <v>8.0263</v>
      </c>
    </row>
    <row r="722" spans="1:2">
      <c r="A722" s="241">
        <v>910</v>
      </c>
      <c r="B722" s="241">
        <v>8.07</v>
      </c>
    </row>
    <row r="723" spans="1:2">
      <c r="A723" s="241">
        <v>911</v>
      </c>
      <c r="B723" s="241">
        <v>8.1124</v>
      </c>
    </row>
    <row r="724" spans="1:2">
      <c r="A724" s="241">
        <v>912</v>
      </c>
      <c r="B724" s="241">
        <v>8.1556</v>
      </c>
    </row>
    <row r="725" spans="1:2">
      <c r="A725" s="241">
        <v>913</v>
      </c>
      <c r="B725" s="241">
        <v>8.201</v>
      </c>
    </row>
    <row r="726" spans="1:2">
      <c r="A726" s="241">
        <v>914</v>
      </c>
      <c r="B726" s="241">
        <v>8.2449</v>
      </c>
    </row>
    <row r="727" spans="1:2">
      <c r="A727" s="241">
        <v>915</v>
      </c>
      <c r="B727" s="241">
        <v>8.2867</v>
      </c>
    </row>
    <row r="728" spans="1:2">
      <c r="A728" s="241">
        <v>916</v>
      </c>
      <c r="B728" s="241">
        <v>8.3273</v>
      </c>
    </row>
    <row r="729" spans="1:2">
      <c r="A729" s="241">
        <v>917</v>
      </c>
      <c r="B729" s="241">
        <v>8.3679</v>
      </c>
    </row>
    <row r="730" spans="1:2">
      <c r="A730" s="241">
        <v>918</v>
      </c>
      <c r="B730" s="241">
        <v>8.4084</v>
      </c>
    </row>
    <row r="731" spans="1:2">
      <c r="A731" s="241">
        <v>919</v>
      </c>
      <c r="B731" s="241">
        <v>8.445</v>
      </c>
    </row>
    <row r="732" spans="1:2">
      <c r="A732" s="241">
        <v>920</v>
      </c>
      <c r="B732" s="241">
        <v>8.4772</v>
      </c>
    </row>
    <row r="733" spans="1:2">
      <c r="A733" s="241">
        <v>921</v>
      </c>
      <c r="B733" s="241">
        <v>8.5074</v>
      </c>
    </row>
    <row r="734" spans="1:2">
      <c r="A734" s="241">
        <v>922</v>
      </c>
      <c r="B734" s="241">
        <v>8.5373</v>
      </c>
    </row>
    <row r="735" spans="1:2">
      <c r="A735" s="241">
        <v>923</v>
      </c>
      <c r="B735" s="241">
        <v>8.5625</v>
      </c>
    </row>
    <row r="736" spans="1:2">
      <c r="A736" s="241">
        <v>924</v>
      </c>
      <c r="B736" s="241">
        <v>8.5847</v>
      </c>
    </row>
    <row r="737" spans="1:2">
      <c r="A737" s="241">
        <v>925</v>
      </c>
      <c r="B737" s="241">
        <v>8.6029</v>
      </c>
    </row>
    <row r="738" spans="1:2">
      <c r="A738" s="241">
        <v>926</v>
      </c>
      <c r="B738" s="241">
        <v>8.6183</v>
      </c>
    </row>
    <row r="739" spans="1:2">
      <c r="A739" s="241">
        <v>927</v>
      </c>
      <c r="B739" s="241">
        <v>8.6275</v>
      </c>
    </row>
    <row r="740" spans="1:2">
      <c r="A740" s="241">
        <v>928</v>
      </c>
      <c r="B740" s="241">
        <v>8.634</v>
      </c>
    </row>
    <row r="741" spans="1:2">
      <c r="A741" s="241">
        <v>929</v>
      </c>
      <c r="B741" s="241">
        <v>8.6385</v>
      </c>
    </row>
    <row r="742" spans="1:2">
      <c r="A742" s="241">
        <v>930</v>
      </c>
      <c r="B742" s="241">
        <v>8.6421</v>
      </c>
    </row>
    <row r="743" spans="1:2">
      <c r="A743" s="241">
        <v>931</v>
      </c>
      <c r="B743" s="241">
        <v>8.6427</v>
      </c>
    </row>
    <row r="744" spans="1:2">
      <c r="A744" s="241">
        <v>932</v>
      </c>
      <c r="B744" s="241">
        <v>8.642</v>
      </c>
    </row>
    <row r="745" spans="1:2">
      <c r="A745" s="241">
        <v>933</v>
      </c>
      <c r="B745" s="241">
        <v>8.6416</v>
      </c>
    </row>
    <row r="746" spans="1:2">
      <c r="A746" s="241">
        <v>934</v>
      </c>
      <c r="B746" s="241">
        <v>8.6412</v>
      </c>
    </row>
    <row r="747" spans="1:2">
      <c r="A747" s="241">
        <v>935</v>
      </c>
      <c r="B747" s="241">
        <v>8.6419</v>
      </c>
    </row>
    <row r="748" spans="1:2">
      <c r="A748" s="241">
        <v>936</v>
      </c>
      <c r="B748" s="241">
        <v>8.6428</v>
      </c>
    </row>
    <row r="749" spans="1:2">
      <c r="A749" s="241">
        <v>937</v>
      </c>
      <c r="B749" s="241">
        <v>8.6434</v>
      </c>
    </row>
    <row r="750" spans="1:2">
      <c r="A750" s="241">
        <v>938</v>
      </c>
      <c r="B750" s="241">
        <v>8.6428</v>
      </c>
    </row>
    <row r="751" spans="1:2">
      <c r="A751" s="241">
        <v>939</v>
      </c>
      <c r="B751" s="241">
        <v>8.6418</v>
      </c>
    </row>
    <row r="752" spans="1:2">
      <c r="A752" s="241">
        <v>940</v>
      </c>
      <c r="B752" s="241">
        <v>8.6351</v>
      </c>
    </row>
    <row r="753" spans="1:2">
      <c r="A753" s="241">
        <v>941</v>
      </c>
      <c r="B753" s="241">
        <v>8.6316</v>
      </c>
    </row>
    <row r="754" spans="1:2">
      <c r="A754" s="241">
        <v>942</v>
      </c>
      <c r="B754" s="241">
        <v>8.6324</v>
      </c>
    </row>
    <row r="755" spans="1:2">
      <c r="A755" s="241">
        <v>943</v>
      </c>
      <c r="B755" s="241">
        <v>8.634</v>
      </c>
    </row>
    <row r="756" spans="1:2">
      <c r="A756" s="241">
        <v>944</v>
      </c>
      <c r="B756" s="241">
        <v>8.6385</v>
      </c>
    </row>
    <row r="757" spans="1:2">
      <c r="A757" s="241">
        <v>945</v>
      </c>
      <c r="B757" s="241">
        <v>8.6429</v>
      </c>
    </row>
    <row r="758" spans="1:2">
      <c r="A758" s="241">
        <v>946</v>
      </c>
      <c r="B758" s="241">
        <v>8.6503</v>
      </c>
    </row>
    <row r="759" spans="1:2">
      <c r="A759" s="241">
        <v>947</v>
      </c>
      <c r="B759" s="241">
        <v>8.6584</v>
      </c>
    </row>
    <row r="760" spans="1:2">
      <c r="A760" s="241">
        <v>948</v>
      </c>
      <c r="B760" s="241">
        <v>8.6692</v>
      </c>
    </row>
    <row r="761" spans="1:2">
      <c r="A761" s="241">
        <v>949</v>
      </c>
      <c r="B761" s="241">
        <v>8.6795</v>
      </c>
    </row>
    <row r="762" spans="1:2">
      <c r="A762" s="241">
        <v>950</v>
      </c>
      <c r="B762" s="241">
        <v>8.6909</v>
      </c>
    </row>
    <row r="763" spans="1:2">
      <c r="A763" s="241">
        <v>951</v>
      </c>
      <c r="B763" s="241">
        <v>8.7025</v>
      </c>
    </row>
    <row r="764" spans="1:2">
      <c r="A764" s="241">
        <v>952</v>
      </c>
      <c r="B764" s="241">
        <v>8.7162</v>
      </c>
    </row>
    <row r="765" spans="1:2">
      <c r="A765" s="241">
        <v>953</v>
      </c>
      <c r="B765" s="241">
        <v>8.7306</v>
      </c>
    </row>
    <row r="766" spans="1:2">
      <c r="A766" s="241">
        <v>954</v>
      </c>
      <c r="B766" s="241">
        <v>8.7485</v>
      </c>
    </row>
    <row r="767" spans="1:2">
      <c r="A767" s="241">
        <v>955</v>
      </c>
      <c r="B767" s="241">
        <v>8.7671</v>
      </c>
    </row>
    <row r="768" spans="1:2">
      <c r="A768" s="241">
        <v>956</v>
      </c>
      <c r="B768" s="241">
        <v>8.7883</v>
      </c>
    </row>
    <row r="769" spans="1:2">
      <c r="A769" s="241">
        <v>957</v>
      </c>
      <c r="B769" s="241">
        <v>8.8136</v>
      </c>
    </row>
    <row r="770" spans="1:2">
      <c r="A770" s="241">
        <v>958</v>
      </c>
      <c r="B770" s="241">
        <v>8.842</v>
      </c>
    </row>
    <row r="771" spans="1:2">
      <c r="A771" s="241">
        <v>959</v>
      </c>
      <c r="B771" s="241">
        <v>8.8752</v>
      </c>
    </row>
    <row r="772" spans="1:2">
      <c r="A772" s="241">
        <v>960</v>
      </c>
      <c r="B772" s="241">
        <v>8.9115</v>
      </c>
    </row>
    <row r="773" spans="1:2">
      <c r="A773" s="241">
        <v>961</v>
      </c>
      <c r="B773" s="241">
        <v>8.9494</v>
      </c>
    </row>
    <row r="774" spans="1:2">
      <c r="A774" s="241">
        <v>962</v>
      </c>
      <c r="B774" s="241">
        <v>8.9919</v>
      </c>
    </row>
    <row r="775" spans="1:2">
      <c r="A775" s="241">
        <v>963</v>
      </c>
      <c r="B775" s="241">
        <v>9.041</v>
      </c>
    </row>
    <row r="776" spans="1:2">
      <c r="A776" s="241">
        <v>964</v>
      </c>
      <c r="B776" s="241">
        <v>9.0917</v>
      </c>
    </row>
    <row r="777" spans="1:2">
      <c r="A777" s="241">
        <v>965</v>
      </c>
      <c r="B777" s="241">
        <v>9.144</v>
      </c>
    </row>
    <row r="778" spans="1:2">
      <c r="A778" s="241">
        <v>966</v>
      </c>
      <c r="B778" s="241">
        <v>9.1992</v>
      </c>
    </row>
    <row r="779" spans="1:2">
      <c r="A779" s="241">
        <v>967</v>
      </c>
      <c r="B779" s="241">
        <v>9.2558</v>
      </c>
    </row>
    <row r="780" spans="1:2">
      <c r="A780" s="241">
        <v>968</v>
      </c>
      <c r="B780" s="241">
        <v>9.3123</v>
      </c>
    </row>
    <row r="781" spans="1:2">
      <c r="A781" s="241">
        <v>969</v>
      </c>
      <c r="B781" s="241">
        <v>9.3704</v>
      </c>
    </row>
    <row r="782" spans="1:2">
      <c r="A782" s="241">
        <v>970</v>
      </c>
      <c r="B782" s="241">
        <v>9.4274</v>
      </c>
    </row>
    <row r="783" spans="1:2">
      <c r="A783" s="241">
        <v>971</v>
      </c>
      <c r="B783" s="241">
        <v>9.4849</v>
      </c>
    </row>
    <row r="784" spans="1:2">
      <c r="A784" s="241">
        <v>972</v>
      </c>
      <c r="B784" s="241">
        <v>9.5438</v>
      </c>
    </row>
    <row r="785" spans="1:2">
      <c r="A785" s="241">
        <v>973</v>
      </c>
      <c r="B785" s="241">
        <v>9.6016</v>
      </c>
    </row>
    <row r="786" spans="1:2">
      <c r="A786" s="241">
        <v>974</v>
      </c>
      <c r="B786" s="241">
        <v>9.6557</v>
      </c>
    </row>
    <row r="787" spans="1:2">
      <c r="A787" s="241">
        <v>975</v>
      </c>
      <c r="B787" s="241">
        <v>9.7099</v>
      </c>
    </row>
    <row r="788" spans="1:2">
      <c r="A788" s="241">
        <v>976</v>
      </c>
      <c r="B788" s="241">
        <v>9.7668</v>
      </c>
    </row>
    <row r="789" spans="1:2">
      <c r="A789" s="241">
        <v>977</v>
      </c>
      <c r="B789" s="241">
        <v>9.8233</v>
      </c>
    </row>
    <row r="790" spans="1:2">
      <c r="A790" s="241">
        <v>978</v>
      </c>
      <c r="B790" s="241">
        <v>9.8782</v>
      </c>
    </row>
    <row r="791" spans="1:2">
      <c r="A791" s="241">
        <v>979</v>
      </c>
      <c r="B791" s="241">
        <v>9.9295</v>
      </c>
    </row>
    <row r="792" spans="1:2">
      <c r="A792" s="241">
        <v>980</v>
      </c>
      <c r="B792" s="241">
        <v>9.979</v>
      </c>
    </row>
    <row r="793" spans="1:2">
      <c r="A793" s="241">
        <v>981</v>
      </c>
      <c r="B793" s="241">
        <v>10.0255</v>
      </c>
    </row>
    <row r="794" spans="1:2">
      <c r="A794" s="241">
        <v>982</v>
      </c>
      <c r="B794" s="241">
        <v>10.0733</v>
      </c>
    </row>
    <row r="795" spans="1:2">
      <c r="A795" s="241">
        <v>983</v>
      </c>
      <c r="B795" s="241">
        <v>10.1208</v>
      </c>
    </row>
    <row r="796" spans="1:2">
      <c r="A796" s="241">
        <v>984</v>
      </c>
      <c r="B796" s="241">
        <v>10.1676</v>
      </c>
    </row>
    <row r="797" spans="1:2">
      <c r="A797" s="241">
        <v>985</v>
      </c>
      <c r="B797" s="241">
        <v>10.2114</v>
      </c>
    </row>
    <row r="798" spans="1:2">
      <c r="A798" s="241">
        <v>986</v>
      </c>
      <c r="B798" s="241">
        <v>10.255</v>
      </c>
    </row>
    <row r="799" spans="1:2">
      <c r="A799" s="241">
        <v>987</v>
      </c>
      <c r="B799" s="241">
        <v>10.297</v>
      </c>
    </row>
    <row r="800" spans="1:2">
      <c r="A800" s="241">
        <v>988</v>
      </c>
      <c r="B800" s="241">
        <v>10.3359</v>
      </c>
    </row>
    <row r="801" spans="1:2">
      <c r="A801" s="241">
        <v>989</v>
      </c>
      <c r="B801" s="241">
        <v>10.3772</v>
      </c>
    </row>
    <row r="802" spans="1:2">
      <c r="A802" s="241">
        <v>990</v>
      </c>
      <c r="B802" s="241">
        <v>10.4161</v>
      </c>
    </row>
    <row r="803" spans="1:2">
      <c r="A803" s="241">
        <v>991</v>
      </c>
      <c r="B803" s="241">
        <v>10.4491</v>
      </c>
    </row>
    <row r="804" spans="1:2">
      <c r="A804" s="241">
        <v>992</v>
      </c>
      <c r="B804" s="241">
        <v>10.477</v>
      </c>
    </row>
    <row r="805" spans="1:2">
      <c r="A805" s="241">
        <v>993</v>
      </c>
      <c r="B805" s="241">
        <v>10.5054</v>
      </c>
    </row>
    <row r="806" spans="1:2">
      <c r="A806" s="241">
        <v>994</v>
      </c>
      <c r="B806" s="241">
        <v>10.5312</v>
      </c>
    </row>
    <row r="807" spans="1:2">
      <c r="A807" s="241">
        <v>995</v>
      </c>
      <c r="B807" s="241">
        <v>10.5532</v>
      </c>
    </row>
    <row r="808" spans="1:2">
      <c r="A808" s="241">
        <v>996</v>
      </c>
      <c r="B808" s="241">
        <v>10.5739</v>
      </c>
    </row>
    <row r="809" spans="1:2">
      <c r="A809" s="241">
        <v>997</v>
      </c>
      <c r="B809" s="241">
        <v>10.5923</v>
      </c>
    </row>
    <row r="810" spans="1:2">
      <c r="A810" s="241">
        <v>998</v>
      </c>
      <c r="B810" s="241">
        <v>10.6079</v>
      </c>
    </row>
    <row r="811" spans="1:2">
      <c r="A811" s="241">
        <v>999</v>
      </c>
      <c r="B811" s="241">
        <v>10.6241</v>
      </c>
    </row>
    <row r="812" spans="1:2">
      <c r="A812" s="241">
        <v>1000</v>
      </c>
      <c r="B812" s="241">
        <v>10.6377</v>
      </c>
    </row>
    <row r="813" spans="1:2">
      <c r="A813" s="241">
        <v>1001</v>
      </c>
      <c r="B813" s="241">
        <v>10.6505</v>
      </c>
    </row>
    <row r="814" spans="1:2">
      <c r="A814" s="241">
        <v>1002</v>
      </c>
      <c r="B814" s="241">
        <v>10.6587</v>
      </c>
    </row>
    <row r="815" spans="1:2">
      <c r="A815" s="241">
        <v>1003</v>
      </c>
      <c r="B815" s="241">
        <v>10.6686</v>
      </c>
    </row>
    <row r="816" spans="1:2">
      <c r="A816" s="241">
        <v>1004</v>
      </c>
      <c r="B816" s="241">
        <v>10.6775</v>
      </c>
    </row>
    <row r="817" spans="1:2">
      <c r="A817" s="241">
        <v>1005</v>
      </c>
      <c r="B817" s="241">
        <v>10.6813</v>
      </c>
    </row>
    <row r="818" spans="1:2">
      <c r="A818" s="241">
        <v>1006</v>
      </c>
      <c r="B818" s="241">
        <v>10.6893</v>
      </c>
    </row>
    <row r="819" spans="1:2">
      <c r="A819" s="241">
        <v>1007</v>
      </c>
      <c r="B819" s="241">
        <v>10.6952</v>
      </c>
    </row>
    <row r="820" spans="1:2">
      <c r="A820" s="241">
        <v>1008</v>
      </c>
      <c r="B820" s="241">
        <v>10.7044</v>
      </c>
    </row>
    <row r="821" spans="1:2">
      <c r="A821" s="241">
        <v>1009</v>
      </c>
      <c r="B821" s="241">
        <v>10.7073</v>
      </c>
    </row>
    <row r="822" spans="1:2">
      <c r="A822" s="241">
        <v>1010</v>
      </c>
      <c r="B822" s="241">
        <v>10.7075</v>
      </c>
    </row>
    <row r="823" spans="1:2">
      <c r="A823" s="241">
        <v>1011</v>
      </c>
      <c r="B823" s="241">
        <v>10.7072</v>
      </c>
    </row>
    <row r="824" spans="1:2">
      <c r="A824" s="241">
        <v>1012</v>
      </c>
      <c r="B824" s="241">
        <v>10.7056</v>
      </c>
    </row>
    <row r="825" spans="1:2">
      <c r="A825" s="241">
        <v>1013</v>
      </c>
      <c r="B825" s="241">
        <v>10.7048</v>
      </c>
    </row>
    <row r="826" spans="1:2">
      <c r="A826" s="241">
        <v>1014</v>
      </c>
      <c r="B826" s="241">
        <v>10.7027</v>
      </c>
    </row>
    <row r="827" spans="1:2">
      <c r="A827" s="241">
        <v>1015</v>
      </c>
      <c r="B827" s="241">
        <v>10.6942</v>
      </c>
    </row>
    <row r="828" spans="1:2">
      <c r="A828" s="241">
        <v>1016</v>
      </c>
      <c r="B828" s="241">
        <v>10.685</v>
      </c>
    </row>
    <row r="829" spans="1:2">
      <c r="A829" s="241">
        <v>1017</v>
      </c>
      <c r="B829" s="241">
        <v>10.6767</v>
      </c>
    </row>
    <row r="830" spans="1:2">
      <c r="A830" s="241">
        <v>1018</v>
      </c>
      <c r="B830" s="241">
        <v>10.6709</v>
      </c>
    </row>
    <row r="831" spans="1:2">
      <c r="A831" s="241">
        <v>1019</v>
      </c>
      <c r="B831" s="241">
        <v>10.6619</v>
      </c>
    </row>
    <row r="832" spans="1:2">
      <c r="A832" s="241">
        <v>1020</v>
      </c>
      <c r="B832" s="241">
        <v>10.6506</v>
      </c>
    </row>
    <row r="833" spans="1:2">
      <c r="A833" s="241">
        <v>1021</v>
      </c>
      <c r="B833" s="241">
        <v>10.6419</v>
      </c>
    </row>
    <row r="834" spans="1:2">
      <c r="A834" s="241">
        <v>1022</v>
      </c>
      <c r="B834" s="241">
        <v>10.635</v>
      </c>
    </row>
    <row r="835" spans="1:2">
      <c r="A835" s="241">
        <v>1023</v>
      </c>
      <c r="B835" s="241">
        <v>10.6268</v>
      </c>
    </row>
    <row r="836" spans="1:2">
      <c r="A836" s="241">
        <v>1024</v>
      </c>
      <c r="B836" s="241">
        <v>10.6178</v>
      </c>
    </row>
    <row r="837" spans="1:2">
      <c r="A837" s="241">
        <v>1025</v>
      </c>
      <c r="B837" s="241">
        <v>10.6119</v>
      </c>
    </row>
    <row r="838" spans="1:2">
      <c r="A838" s="241">
        <v>1026</v>
      </c>
      <c r="B838" s="241">
        <v>10.6075</v>
      </c>
    </row>
    <row r="839" spans="1:2">
      <c r="A839" s="241">
        <v>1027</v>
      </c>
      <c r="B839" s="241">
        <v>10.6083</v>
      </c>
    </row>
    <row r="840" spans="1:2">
      <c r="A840" s="241">
        <v>1028</v>
      </c>
      <c r="B840" s="241">
        <v>10.612</v>
      </c>
    </row>
    <row r="841" spans="1:2">
      <c r="A841" s="241">
        <v>1029</v>
      </c>
      <c r="B841" s="241">
        <v>10.6159</v>
      </c>
    </row>
    <row r="842" spans="1:2">
      <c r="A842" s="241">
        <v>1030</v>
      </c>
      <c r="B842" s="241">
        <v>10.6137</v>
      </c>
    </row>
    <row r="843" spans="1:2">
      <c r="A843" s="241">
        <v>1031</v>
      </c>
      <c r="B843" s="241">
        <v>10.6025</v>
      </c>
    </row>
    <row r="844" spans="1:2">
      <c r="A844" s="241">
        <v>1032</v>
      </c>
      <c r="B844" s="241">
        <v>10.5971</v>
      </c>
    </row>
    <row r="845" spans="1:2">
      <c r="A845" s="241">
        <v>1033</v>
      </c>
      <c r="B845" s="241">
        <v>10.5913</v>
      </c>
    </row>
    <row r="846" spans="1:2">
      <c r="A846" s="241">
        <v>1034</v>
      </c>
      <c r="B846" s="241">
        <v>10.5851</v>
      </c>
    </row>
    <row r="847" spans="1:2">
      <c r="A847" s="241">
        <v>1035</v>
      </c>
      <c r="B847" s="241">
        <v>10.5773</v>
      </c>
    </row>
    <row r="848" spans="1:2">
      <c r="A848" s="241">
        <v>1036</v>
      </c>
      <c r="B848" s="241">
        <v>10.5662</v>
      </c>
    </row>
    <row r="849" spans="1:2">
      <c r="A849" s="241">
        <v>1037</v>
      </c>
      <c r="B849" s="241">
        <v>10.5584</v>
      </c>
    </row>
    <row r="850" spans="1:2">
      <c r="A850" s="241">
        <v>1038</v>
      </c>
      <c r="B850" s="241">
        <v>10.5449</v>
      </c>
    </row>
    <row r="851" spans="1:2">
      <c r="A851" s="241">
        <v>1039</v>
      </c>
      <c r="B851" s="241">
        <v>10.5373</v>
      </c>
    </row>
    <row r="852" spans="1:2">
      <c r="A852" s="241">
        <v>1040</v>
      </c>
      <c r="B852" s="241">
        <v>10.5439</v>
      </c>
    </row>
    <row r="853" spans="1:2">
      <c r="A853" s="241">
        <v>1041</v>
      </c>
      <c r="B853" s="241">
        <v>10.5493</v>
      </c>
    </row>
    <row r="854" spans="1:2">
      <c r="A854" s="241">
        <v>1042</v>
      </c>
      <c r="B854" s="241">
        <v>10.5576</v>
      </c>
    </row>
    <row r="855" spans="1:2">
      <c r="A855" s="241">
        <v>1043</v>
      </c>
      <c r="B855" s="241">
        <v>10.5622</v>
      </c>
    </row>
    <row r="856" spans="1:2">
      <c r="A856" s="241">
        <v>1044</v>
      </c>
      <c r="B856" s="241">
        <v>10.5707</v>
      </c>
    </row>
    <row r="857" spans="1:2">
      <c r="A857" s="241">
        <v>1045</v>
      </c>
      <c r="B857" s="241">
        <v>10.587</v>
      </c>
    </row>
    <row r="858" spans="1:2">
      <c r="A858" s="241">
        <v>1046</v>
      </c>
      <c r="B858" s="241">
        <v>10.6035</v>
      </c>
    </row>
    <row r="859" spans="1:2">
      <c r="A859" s="241">
        <v>1047</v>
      </c>
      <c r="B859" s="241">
        <v>10.6309</v>
      </c>
    </row>
    <row r="860" spans="1:2">
      <c r="A860" s="241">
        <v>1048</v>
      </c>
      <c r="B860" s="241">
        <v>10.6645</v>
      </c>
    </row>
    <row r="861" spans="1:2">
      <c r="A861" s="241">
        <v>1049</v>
      </c>
      <c r="B861" s="241">
        <v>10.691</v>
      </c>
    </row>
    <row r="862" spans="1:2">
      <c r="A862" s="241">
        <v>1050</v>
      </c>
      <c r="B862" s="241">
        <v>10.7148</v>
      </c>
    </row>
    <row r="863" spans="1:2">
      <c r="A863" s="241">
        <v>1051</v>
      </c>
      <c r="B863" s="241">
        <v>10.7378</v>
      </c>
    </row>
    <row r="864" spans="1:2">
      <c r="A864" s="241">
        <v>1052</v>
      </c>
      <c r="B864" s="241">
        <v>10.7661</v>
      </c>
    </row>
    <row r="865" spans="1:2">
      <c r="A865" s="241">
        <v>1053</v>
      </c>
      <c r="B865" s="241">
        <v>10.7984</v>
      </c>
    </row>
    <row r="866" spans="1:2">
      <c r="A866" s="241">
        <v>1054</v>
      </c>
      <c r="B866" s="241">
        <v>10.8275</v>
      </c>
    </row>
    <row r="867" spans="1:2">
      <c r="A867" s="241">
        <v>1055</v>
      </c>
      <c r="B867" s="241">
        <v>10.855</v>
      </c>
    </row>
    <row r="868" spans="1:2">
      <c r="A868" s="241">
        <v>1056</v>
      </c>
      <c r="B868" s="241">
        <v>10.8905</v>
      </c>
    </row>
    <row r="869" spans="1:2">
      <c r="A869" s="241">
        <v>1057</v>
      </c>
      <c r="B869" s="241">
        <v>10.9203</v>
      </c>
    </row>
    <row r="870" spans="1:2">
      <c r="A870" s="241">
        <v>1058</v>
      </c>
      <c r="B870" s="241">
        <v>10.9549</v>
      </c>
    </row>
    <row r="871" spans="1:2">
      <c r="A871" s="241">
        <v>1059</v>
      </c>
      <c r="B871" s="241">
        <v>10.9919</v>
      </c>
    </row>
    <row r="872" spans="1:2">
      <c r="A872" s="241">
        <v>1060</v>
      </c>
      <c r="B872" s="241">
        <v>11.0393</v>
      </c>
    </row>
    <row r="873" spans="1:2">
      <c r="A873" s="241">
        <v>1061</v>
      </c>
      <c r="B873" s="241">
        <v>11.0861</v>
      </c>
    </row>
    <row r="874" spans="1:2">
      <c r="A874" s="241">
        <v>1062</v>
      </c>
      <c r="B874" s="241">
        <v>11.1376</v>
      </c>
    </row>
    <row r="875" spans="1:2">
      <c r="A875" s="241">
        <v>1063</v>
      </c>
      <c r="B875" s="241">
        <v>11.1878</v>
      </c>
    </row>
    <row r="876" spans="1:2">
      <c r="A876" s="241">
        <v>1064</v>
      </c>
      <c r="B876" s="241">
        <v>11.2399</v>
      </c>
    </row>
    <row r="877" spans="1:2">
      <c r="A877" s="241">
        <v>1065</v>
      </c>
      <c r="B877" s="241">
        <v>11.2793</v>
      </c>
    </row>
    <row r="878" spans="1:2">
      <c r="A878" s="241">
        <v>1066</v>
      </c>
      <c r="B878" s="241">
        <v>11.3151</v>
      </c>
    </row>
    <row r="879" spans="1:2">
      <c r="A879" s="241">
        <v>1067</v>
      </c>
      <c r="B879" s="241">
        <v>11.3528</v>
      </c>
    </row>
    <row r="880" spans="1:2">
      <c r="A880" s="241">
        <v>1068</v>
      </c>
      <c r="B880" s="241">
        <v>11.397</v>
      </c>
    </row>
    <row r="881" spans="1:2">
      <c r="A881" s="241">
        <v>1069</v>
      </c>
      <c r="B881" s="241">
        <v>11.4417</v>
      </c>
    </row>
    <row r="882" spans="1:2">
      <c r="A882" s="241">
        <v>1070</v>
      </c>
      <c r="B882" s="241">
        <v>11.4883</v>
      </c>
    </row>
    <row r="883" spans="1:2">
      <c r="A883" s="241">
        <v>1071</v>
      </c>
      <c r="B883" s="241">
        <v>11.527</v>
      </c>
    </row>
    <row r="884" spans="1:2">
      <c r="A884" s="241">
        <v>1072</v>
      </c>
      <c r="B884" s="241">
        <v>11.5619</v>
      </c>
    </row>
    <row r="885" spans="1:2">
      <c r="A885" s="241">
        <v>1073</v>
      </c>
      <c r="B885" s="241">
        <v>11.5923</v>
      </c>
    </row>
    <row r="886" spans="1:2">
      <c r="A886" s="241">
        <v>1074</v>
      </c>
      <c r="B886" s="241">
        <v>11.6303</v>
      </c>
    </row>
    <row r="887" spans="1:2">
      <c r="A887" s="241">
        <v>1075</v>
      </c>
      <c r="B887" s="241">
        <v>11.6682</v>
      </c>
    </row>
    <row r="888" spans="1:2">
      <c r="A888" s="241">
        <v>1076</v>
      </c>
      <c r="B888" s="241">
        <v>11.7066</v>
      </c>
    </row>
    <row r="889" spans="1:2">
      <c r="A889" s="241">
        <v>1077</v>
      </c>
      <c r="B889" s="241">
        <v>11.7467</v>
      </c>
    </row>
    <row r="890" spans="1:2">
      <c r="A890" s="241">
        <v>1078</v>
      </c>
      <c r="B890" s="241">
        <v>11.7863</v>
      </c>
    </row>
    <row r="891" spans="1:2">
      <c r="A891" s="241">
        <v>1079</v>
      </c>
      <c r="B891" s="241">
        <v>11.7979</v>
      </c>
    </row>
    <row r="892" spans="1:2">
      <c r="A892" s="241">
        <v>1080</v>
      </c>
      <c r="B892" s="241">
        <v>11.8158</v>
      </c>
    </row>
    <row r="893" spans="1:2">
      <c r="A893" s="241">
        <v>1081</v>
      </c>
      <c r="B893" s="241">
        <v>11.8353</v>
      </c>
    </row>
    <row r="894" spans="1:2">
      <c r="A894" s="241">
        <v>1082</v>
      </c>
      <c r="B894" s="241">
        <v>11.8619</v>
      </c>
    </row>
    <row r="895" spans="1:2">
      <c r="A895" s="241">
        <v>1083</v>
      </c>
      <c r="B895" s="241">
        <v>11.8886</v>
      </c>
    </row>
    <row r="896" spans="1:2">
      <c r="A896" s="241">
        <v>1084</v>
      </c>
      <c r="B896" s="241">
        <v>11.9184</v>
      </c>
    </row>
    <row r="897" spans="1:2">
      <c r="A897" s="241">
        <v>1085</v>
      </c>
      <c r="B897" s="241">
        <v>11.9498</v>
      </c>
    </row>
    <row r="898" spans="1:2">
      <c r="A898" s="241">
        <v>1086</v>
      </c>
      <c r="B898" s="241">
        <v>11.985</v>
      </c>
    </row>
    <row r="899" spans="1:2">
      <c r="A899" s="241">
        <v>1087</v>
      </c>
      <c r="B899" s="241">
        <v>11.9936</v>
      </c>
    </row>
    <row r="900" spans="1:2">
      <c r="A900" s="241">
        <v>1088</v>
      </c>
      <c r="B900" s="241">
        <v>12.0166</v>
      </c>
    </row>
    <row r="901" spans="1:2">
      <c r="A901" s="241">
        <v>1089</v>
      </c>
      <c r="B901" s="241">
        <v>12.0559</v>
      </c>
    </row>
    <row r="902" spans="1:2">
      <c r="A902" s="241">
        <v>1090</v>
      </c>
      <c r="B902" s="241">
        <v>12.0852</v>
      </c>
    </row>
    <row r="903" spans="1:2">
      <c r="A903" s="241">
        <v>1091</v>
      </c>
      <c r="B903" s="241">
        <v>12.1186</v>
      </c>
    </row>
    <row r="904" spans="1:2">
      <c r="A904" s="241">
        <v>1092</v>
      </c>
      <c r="B904" s="241">
        <v>12.1461</v>
      </c>
    </row>
    <row r="905" spans="1:2">
      <c r="A905" s="241">
        <v>1093</v>
      </c>
      <c r="B905" s="241">
        <v>12.179</v>
      </c>
    </row>
    <row r="906" spans="1:2">
      <c r="A906" s="241">
        <v>1094</v>
      </c>
      <c r="B906" s="241">
        <v>12.209</v>
      </c>
    </row>
    <row r="907" spans="1:2">
      <c r="A907" s="241">
        <v>1095</v>
      </c>
      <c r="B907" s="241">
        <v>12.2141</v>
      </c>
    </row>
    <row r="908" spans="1:2">
      <c r="A908" s="241">
        <v>1096</v>
      </c>
      <c r="B908" s="241">
        <v>12.2235</v>
      </c>
    </row>
    <row r="909" spans="1:2">
      <c r="A909" s="241">
        <v>1097</v>
      </c>
      <c r="B909" s="241">
        <v>12.2405</v>
      </c>
    </row>
    <row r="910" spans="1:2">
      <c r="A910" s="241">
        <v>1098</v>
      </c>
      <c r="B910" s="241">
        <v>12.2496</v>
      </c>
    </row>
    <row r="911" spans="1:2">
      <c r="A911" s="241">
        <v>1099</v>
      </c>
      <c r="B911" s="241">
        <v>12.2548</v>
      </c>
    </row>
    <row r="912" spans="1:2">
      <c r="A912" s="241">
        <v>1100</v>
      </c>
      <c r="B912" s="241">
        <v>12.2564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topLeftCell="A4" workbookViewId="0">
      <selection activeCell="I32" sqref="I32"/>
    </sheetView>
  </sheetViews>
  <sheetFormatPr defaultColWidth="9" defaultRowHeight="13.5"/>
  <cols>
    <col min="6" max="7" width="9.375"/>
    <col min="12" max="12" width="22.625" customWidth="1"/>
  </cols>
  <sheetData>
    <row r="1" ht="12.95" customHeight="1" spans="1:16">
      <c r="A1" s="2" t="s">
        <v>207</v>
      </c>
      <c r="B1" s="2" t="s">
        <v>208</v>
      </c>
      <c r="C1" s="2" t="s">
        <v>160</v>
      </c>
      <c r="D1" s="2"/>
      <c r="E1" s="2"/>
      <c r="F1" s="2"/>
      <c r="G1" s="2"/>
      <c r="H1" s="2"/>
      <c r="I1" s="2"/>
      <c r="J1" s="2"/>
      <c r="K1" s="2"/>
      <c r="L1" s="7" t="s">
        <v>223</v>
      </c>
      <c r="M1" s="7" t="s">
        <v>224</v>
      </c>
      <c r="N1" s="15"/>
      <c r="O1" s="15"/>
      <c r="P1" s="15"/>
    </row>
    <row r="2" ht="12.95" customHeight="1" spans="1:16">
      <c r="A2" s="2">
        <v>2</v>
      </c>
      <c r="B2" s="2">
        <v>30</v>
      </c>
      <c r="C2" s="2">
        <v>43</v>
      </c>
      <c r="D2" s="2"/>
      <c r="E2" s="2"/>
      <c r="F2" s="2"/>
      <c r="G2" s="2"/>
      <c r="H2" s="2"/>
      <c r="I2" s="2"/>
      <c r="J2" s="2"/>
      <c r="K2" s="2"/>
      <c r="L2" s="7"/>
      <c r="M2" s="7"/>
      <c r="N2" s="15"/>
      <c r="O2" s="15"/>
      <c r="P2" s="15"/>
    </row>
    <row r="3" ht="12.95" customHeigh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16" t="s">
        <v>206</v>
      </c>
      <c r="M3" s="6" t="s">
        <v>25</v>
      </c>
      <c r="N3" s="7">
        <v>0.4124564</v>
      </c>
      <c r="O3" s="7">
        <v>0.3575761</v>
      </c>
      <c r="P3" s="7">
        <v>0.1804375</v>
      </c>
    </row>
    <row r="4" ht="12.95" customHeight="1" spans="1:16">
      <c r="A4" s="2" t="s">
        <v>225</v>
      </c>
      <c r="B4" s="2" t="s">
        <v>226</v>
      </c>
      <c r="C4" s="2" t="s">
        <v>227</v>
      </c>
      <c r="D4" s="2"/>
      <c r="E4" s="2"/>
      <c r="F4" s="2"/>
      <c r="G4" s="2"/>
      <c r="H4" s="2"/>
      <c r="I4" s="2"/>
      <c r="J4" s="2"/>
      <c r="K4" s="2"/>
      <c r="L4" s="16"/>
      <c r="M4" s="6"/>
      <c r="N4" s="7">
        <v>0.2126729</v>
      </c>
      <c r="O4" s="7">
        <v>0.7151522</v>
      </c>
      <c r="P4" s="7">
        <v>0.072175</v>
      </c>
    </row>
    <row r="5" ht="12.95" customHeight="1" spans="1:16">
      <c r="A5" s="3">
        <f>A2/255</f>
        <v>0.00784313725490196</v>
      </c>
      <c r="B5" s="3">
        <f t="shared" ref="B5:C5" si="0">B2/255</f>
        <v>0.117647058823529</v>
      </c>
      <c r="C5" s="3">
        <f t="shared" si="0"/>
        <v>0.168627450980392</v>
      </c>
      <c r="D5" s="2"/>
      <c r="E5" s="2"/>
      <c r="F5" s="2"/>
      <c r="G5" s="2"/>
      <c r="H5" s="2"/>
      <c r="I5" s="2"/>
      <c r="J5" s="2"/>
      <c r="K5" s="2"/>
      <c r="L5" s="16"/>
      <c r="M5" s="6"/>
      <c r="N5" s="7">
        <v>0.0193339</v>
      </c>
      <c r="O5" s="7">
        <v>0.119192</v>
      </c>
      <c r="P5" s="7">
        <v>0.9503041</v>
      </c>
    </row>
    <row r="6" ht="12.95" customHeigh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7"/>
      <c r="M6" s="7"/>
      <c r="N6" s="7"/>
      <c r="O6" s="7"/>
      <c r="P6" s="7"/>
    </row>
    <row r="7" ht="12.95" customHeight="1" spans="1:16">
      <c r="A7" s="2" t="s">
        <v>228</v>
      </c>
      <c r="B7" s="2"/>
      <c r="C7" s="2"/>
      <c r="D7" s="2"/>
      <c r="E7" s="2"/>
      <c r="F7" s="2"/>
      <c r="G7" s="2"/>
      <c r="H7" s="2"/>
      <c r="I7" s="2"/>
      <c r="J7" s="2"/>
      <c r="K7" s="2"/>
      <c r="L7" s="16" t="s">
        <v>209</v>
      </c>
      <c r="M7" s="6" t="s">
        <v>25</v>
      </c>
      <c r="N7" s="7">
        <v>0.430619</v>
      </c>
      <c r="O7" s="7">
        <v>0.3415419</v>
      </c>
      <c r="P7" s="7">
        <v>0.1783091</v>
      </c>
    </row>
    <row r="8" ht="12.95" customHeight="1" spans="1:16">
      <c r="A8" s="4" t="s">
        <v>214</v>
      </c>
      <c r="B8" s="4" t="s">
        <v>215</v>
      </c>
      <c r="C8" s="4" t="s">
        <v>216</v>
      </c>
      <c r="D8" s="2"/>
      <c r="E8" s="2"/>
      <c r="F8" s="2"/>
      <c r="G8" s="2"/>
      <c r="H8" s="2"/>
      <c r="I8" s="2"/>
      <c r="J8" s="2"/>
      <c r="K8" s="2"/>
      <c r="L8" s="16"/>
      <c r="M8" s="6"/>
      <c r="N8" s="7">
        <v>0.2220379</v>
      </c>
      <c r="O8" s="7">
        <v>0.7066384</v>
      </c>
      <c r="P8" s="7">
        <v>0.0713236</v>
      </c>
    </row>
    <row r="9" ht="12.95" customHeight="1" spans="1:16">
      <c r="A9" s="3">
        <f>IF(A5&gt;0.04045,((A5+0.055)/1.055)^2.4,A5/12.92)</f>
        <v>0.000607053967097675</v>
      </c>
      <c r="B9" s="3">
        <f t="shared" ref="B9:C9" si="1">IF(B5&gt;0.04045,((B5+0.055)/1.055)^2.4,B5/12.92)</f>
        <v>0.012983032342173</v>
      </c>
      <c r="C9" s="3">
        <f t="shared" si="1"/>
        <v>0.0241576324485048</v>
      </c>
      <c r="D9" s="2"/>
      <c r="E9" s="2"/>
      <c r="F9" s="2"/>
      <c r="G9" s="2"/>
      <c r="H9" s="2"/>
      <c r="I9" s="2"/>
      <c r="J9" s="2"/>
      <c r="K9" s="2"/>
      <c r="L9" s="16"/>
      <c r="M9" s="6"/>
      <c r="N9" s="7">
        <v>0.0201853</v>
      </c>
      <c r="O9" s="7">
        <v>0.1295504</v>
      </c>
      <c r="P9" s="7">
        <v>0.9390944</v>
      </c>
    </row>
    <row r="10" ht="12.95" customHeigh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M10" s="7"/>
      <c r="N10" s="7"/>
      <c r="O10" s="7"/>
      <c r="P10" s="7"/>
    </row>
    <row r="11" ht="12.95" customHeight="1" spans="1:16">
      <c r="A11" s="2" t="s">
        <v>229</v>
      </c>
      <c r="B11" s="2"/>
      <c r="C11" s="2"/>
      <c r="D11" s="2"/>
      <c r="E11" s="2"/>
      <c r="F11" s="5" t="s">
        <v>230</v>
      </c>
      <c r="G11" s="5"/>
      <c r="H11" s="5"/>
      <c r="I11" s="5"/>
      <c r="J11" s="2"/>
      <c r="K11" s="2"/>
      <c r="L11" s="6" t="s">
        <v>217</v>
      </c>
      <c r="M11" s="6" t="s">
        <v>25</v>
      </c>
      <c r="N11" s="7">
        <v>0.4497288</v>
      </c>
      <c r="O11" s="7">
        <v>0.3162486</v>
      </c>
      <c r="P11" s="7">
        <v>0.1844926</v>
      </c>
    </row>
    <row r="12" ht="12.95" customHeight="1" spans="1:16">
      <c r="A12" s="2" t="s">
        <v>231</v>
      </c>
      <c r="B12" s="2"/>
      <c r="C12" s="2"/>
      <c r="D12" s="2"/>
      <c r="E12" s="2"/>
      <c r="F12" s="5"/>
      <c r="G12" s="5"/>
      <c r="H12" s="5"/>
      <c r="I12" s="5"/>
      <c r="J12" s="2"/>
      <c r="K12" s="2"/>
      <c r="L12" s="6"/>
      <c r="M12" s="6"/>
      <c r="N12" s="7">
        <v>0.2446525</v>
      </c>
      <c r="O12" s="7">
        <v>0.6720283</v>
      </c>
      <c r="P12" s="7">
        <v>0.0833192</v>
      </c>
    </row>
    <row r="13" ht="12.95" customHeight="1" spans="4:16">
      <c r="D13" s="2"/>
      <c r="E13" s="2"/>
      <c r="F13" s="6" t="s">
        <v>213</v>
      </c>
      <c r="G13" s="7">
        <v>0.5767309</v>
      </c>
      <c r="H13" s="7">
        <v>0.185554</v>
      </c>
      <c r="I13" s="7">
        <v>0.1881852</v>
      </c>
      <c r="J13" s="2"/>
      <c r="K13" s="2"/>
      <c r="L13" s="6"/>
      <c r="M13" s="6"/>
      <c r="N13" s="7">
        <v>0.0251848</v>
      </c>
      <c r="O13" s="7">
        <v>0.1411824</v>
      </c>
      <c r="P13" s="7">
        <v>0.9224628</v>
      </c>
    </row>
    <row r="14" ht="12.95" customHeight="1" spans="1:16">
      <c r="A14" s="8" t="s">
        <v>183</v>
      </c>
      <c r="B14" s="8" t="s">
        <v>10</v>
      </c>
      <c r="C14" s="8" t="s">
        <v>184</v>
      </c>
      <c r="D14" s="2"/>
      <c r="E14" s="2"/>
      <c r="F14" s="6"/>
      <c r="G14" s="7">
        <v>0.2973769</v>
      </c>
      <c r="H14" s="7">
        <v>0.6273491</v>
      </c>
      <c r="I14" s="7">
        <v>0.0752741</v>
      </c>
      <c r="J14" s="2"/>
      <c r="K14" s="2"/>
      <c r="L14" s="7"/>
      <c r="M14" s="7"/>
      <c r="N14" s="7"/>
      <c r="O14" s="7"/>
      <c r="P14" s="7"/>
    </row>
    <row r="15" ht="12.95" customHeight="1" spans="1:16">
      <c r="A15" s="2">
        <f>100*(G13*A9+H13*B9+I13*C9)</f>
        <v>0.730526925786074</v>
      </c>
      <c r="B15" s="2">
        <f>100*(G14*A9+H14*B9+I14*C9)</f>
        <v>1.01438615226933</v>
      </c>
      <c r="C15" s="2">
        <f>100*(G15*A9+H15*B9+I15*C9)</f>
        <v>2.48769803424292</v>
      </c>
      <c r="D15" s="2"/>
      <c r="E15" s="2"/>
      <c r="F15" s="6"/>
      <c r="G15" s="7">
        <v>0.0270343</v>
      </c>
      <c r="H15" s="7">
        <v>0.0706872</v>
      </c>
      <c r="I15" s="7">
        <v>0.9911085</v>
      </c>
      <c r="J15" s="2"/>
      <c r="K15" s="2"/>
      <c r="L15" s="6" t="s">
        <v>218</v>
      </c>
      <c r="M15" s="6" t="s">
        <v>25</v>
      </c>
      <c r="N15" s="7">
        <v>0.5767309</v>
      </c>
      <c r="O15" s="7">
        <v>0.185554</v>
      </c>
      <c r="P15" s="7">
        <v>0.1881852</v>
      </c>
    </row>
    <row r="16" ht="12.95" customHeight="1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6"/>
      <c r="M16" s="6"/>
      <c r="N16" s="7">
        <v>0.2973769</v>
      </c>
      <c r="O16" s="7">
        <v>0.6273491</v>
      </c>
      <c r="P16" s="7">
        <v>0.0752741</v>
      </c>
    </row>
    <row r="17" ht="12.95" customHeight="1" spans="1:16">
      <c r="A17" s="2" t="s">
        <v>179</v>
      </c>
      <c r="B17" s="2" t="s">
        <v>180</v>
      </c>
      <c r="C17" s="2" t="s">
        <v>181</v>
      </c>
      <c r="D17" s="2"/>
      <c r="E17" s="2"/>
      <c r="F17" s="2"/>
      <c r="G17" s="2"/>
      <c r="H17" s="2"/>
      <c r="I17" s="2"/>
      <c r="J17" s="2"/>
      <c r="K17" s="2"/>
      <c r="L17" s="6"/>
      <c r="M17" s="6"/>
      <c r="N17" s="7">
        <v>0.0270343</v>
      </c>
      <c r="O17" s="7">
        <v>0.0706872</v>
      </c>
      <c r="P17" s="7">
        <v>0.9911085</v>
      </c>
    </row>
    <row r="18" ht="12.95" customHeight="1" spans="1:16">
      <c r="A18" s="2">
        <v>94.8121141532067</v>
      </c>
      <c r="B18" s="2">
        <v>100</v>
      </c>
      <c r="C18" s="2">
        <v>107.336939932085</v>
      </c>
      <c r="D18" s="2"/>
      <c r="E18" s="2"/>
      <c r="F18" s="2"/>
      <c r="G18" s="2"/>
      <c r="H18" s="2"/>
      <c r="I18" s="2"/>
      <c r="J18" s="2"/>
      <c r="K18" s="2"/>
      <c r="L18" s="7"/>
      <c r="M18" s="7"/>
      <c r="N18" s="7"/>
      <c r="O18" s="7"/>
      <c r="P18" s="7"/>
    </row>
    <row r="19" ht="12.95" customHeight="1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6" t="s">
        <v>219</v>
      </c>
      <c r="M19" s="6" t="s">
        <v>220</v>
      </c>
      <c r="N19" s="7">
        <v>0.488718</v>
      </c>
      <c r="O19" s="7">
        <v>0.3106803</v>
      </c>
      <c r="P19" s="7">
        <v>0.2006017</v>
      </c>
    </row>
    <row r="20" ht="12.95" customHeight="1" spans="1:16">
      <c r="A20" s="9" t="s">
        <v>188</v>
      </c>
      <c r="B20" s="10" t="s">
        <v>189</v>
      </c>
      <c r="C20" s="10" t="s">
        <v>190</v>
      </c>
      <c r="D20" s="2"/>
      <c r="E20" s="2"/>
      <c r="F20" s="11" t="s">
        <v>232</v>
      </c>
      <c r="G20" s="11"/>
      <c r="H20" s="11"/>
      <c r="I20" s="11"/>
      <c r="J20" s="2"/>
      <c r="K20" s="2"/>
      <c r="L20" s="6"/>
      <c r="M20" s="6"/>
      <c r="N20" s="7">
        <v>0.1762044</v>
      </c>
      <c r="O20" s="7">
        <v>0.8129847</v>
      </c>
      <c r="P20" s="7">
        <v>0.0108109</v>
      </c>
    </row>
    <row r="21" ht="12.95" customHeight="1" spans="1:16">
      <c r="A21" s="12">
        <f>A15/A18</f>
        <v>0.00770499563595446</v>
      </c>
      <c r="B21" s="12">
        <f t="shared" ref="B21:C21" si="2">B15/B18</f>
        <v>0.0101438615226933</v>
      </c>
      <c r="C21" s="12">
        <f t="shared" si="2"/>
        <v>0.0231765321036444</v>
      </c>
      <c r="D21" s="2"/>
      <c r="E21" s="2"/>
      <c r="F21" s="13"/>
      <c r="G21" s="11">
        <v>0.412453</v>
      </c>
      <c r="H21" s="11">
        <v>0.35758</v>
      </c>
      <c r="I21" s="11">
        <v>0.180423</v>
      </c>
      <c r="J21" s="2"/>
      <c r="K21" s="2"/>
      <c r="L21" s="6"/>
      <c r="M21" s="6"/>
      <c r="N21" s="7">
        <v>0</v>
      </c>
      <c r="O21" s="7">
        <v>0.0102048</v>
      </c>
      <c r="P21" s="7">
        <v>0.9897952</v>
      </c>
    </row>
    <row r="22" ht="12.95" customHeight="1" spans="1:16">
      <c r="A22" s="9" t="s">
        <v>191</v>
      </c>
      <c r="B22" s="10" t="s">
        <v>192</v>
      </c>
      <c r="C22" s="10" t="s">
        <v>193</v>
      </c>
      <c r="D22" s="2"/>
      <c r="E22" s="2"/>
      <c r="F22" s="11"/>
      <c r="G22" s="11">
        <v>0.212671</v>
      </c>
      <c r="H22" s="11">
        <v>0.71516</v>
      </c>
      <c r="I22" s="11">
        <v>0.072169</v>
      </c>
      <c r="J22" s="2"/>
      <c r="K22" s="2"/>
      <c r="L22" s="7"/>
      <c r="M22" s="7"/>
      <c r="N22" s="7"/>
      <c r="O22" s="7"/>
      <c r="P22" s="7"/>
    </row>
    <row r="23" ht="12.95" customHeight="1" spans="1:16">
      <c r="A23" s="12">
        <f>IF(A21&gt;0.008856,A21^(1/3),7.787*A21+16/116)</f>
        <v>0.197929835499936</v>
      </c>
      <c r="B23" s="12">
        <f>IF(B21&gt;0.008856,B21^(1/3),7.787*B21+16/116)</f>
        <v>0.216471688131759</v>
      </c>
      <c r="C23" s="12">
        <f>IF(C21&gt;0.008856,C21^(1/3),7.787*C21+16/116)</f>
        <v>0.285112429648749</v>
      </c>
      <c r="D23" s="2"/>
      <c r="E23" s="2"/>
      <c r="F23" s="11"/>
      <c r="G23" s="11">
        <v>0.019334</v>
      </c>
      <c r="H23" s="11">
        <v>0.119193</v>
      </c>
      <c r="I23" s="11">
        <v>0.950227</v>
      </c>
      <c r="J23" s="2"/>
      <c r="K23" s="2"/>
      <c r="L23" s="16" t="s">
        <v>221</v>
      </c>
      <c r="M23" s="6" t="s">
        <v>25</v>
      </c>
      <c r="N23" s="7">
        <v>0.3935891</v>
      </c>
      <c r="O23" s="7">
        <v>0.3652497</v>
      </c>
      <c r="P23" s="7">
        <v>0.1916313</v>
      </c>
    </row>
    <row r="24" ht="12.95" customHeight="1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6"/>
      <c r="M24" s="6"/>
      <c r="N24" s="7">
        <v>0.2124132</v>
      </c>
      <c r="O24" s="7">
        <v>0.7010437</v>
      </c>
      <c r="P24" s="7">
        <v>0.0865432</v>
      </c>
    </row>
    <row r="25" ht="12.95" customHeight="1" spans="1:16">
      <c r="A25" s="9" t="s">
        <v>27</v>
      </c>
      <c r="B25" s="9" t="s">
        <v>28</v>
      </c>
      <c r="C25" s="9" t="s">
        <v>29</v>
      </c>
      <c r="D25" s="2"/>
      <c r="E25" s="2"/>
      <c r="F25" s="2"/>
      <c r="G25" s="2"/>
      <c r="H25" s="2"/>
      <c r="I25" s="2"/>
      <c r="J25" s="2"/>
      <c r="K25" s="2"/>
      <c r="L25" s="16"/>
      <c r="M25" s="6"/>
      <c r="N25" s="7">
        <v>0.0187423</v>
      </c>
      <c r="O25" s="7">
        <v>0.1119313</v>
      </c>
      <c r="P25" s="7">
        <v>0.9581563</v>
      </c>
    </row>
    <row r="26" ht="12.95" customHeight="1" spans="1:16">
      <c r="A26" s="14">
        <f>IF(B21&gt;0.008856,116*B21^(1/3)-16,903.3*B21)</f>
        <v>9.1107158232841</v>
      </c>
      <c r="B26" s="14">
        <f>500*(A23-B23)</f>
        <v>-9.2709263159117</v>
      </c>
      <c r="C26" s="14">
        <f>200*(B23-C23)</f>
        <v>-13.728148303398</v>
      </c>
      <c r="D26" s="2"/>
      <c r="E26" s="2"/>
      <c r="F26" s="2"/>
      <c r="G26" s="2"/>
      <c r="H26" s="2"/>
      <c r="I26" s="2"/>
      <c r="J26" s="2"/>
      <c r="K26" s="2"/>
      <c r="L26" s="7"/>
      <c r="M26" s="7"/>
      <c r="N26" s="7"/>
      <c r="O26" s="7"/>
      <c r="P26" s="7"/>
    </row>
    <row r="27" ht="12.95" customHeight="1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6" t="s">
        <v>222</v>
      </c>
      <c r="M27" s="6" t="s">
        <v>25</v>
      </c>
      <c r="N27" s="17">
        <v>0.4674162</v>
      </c>
      <c r="O27" s="7">
        <v>0.2944512</v>
      </c>
      <c r="P27" s="7">
        <v>0.1886026</v>
      </c>
    </row>
    <row r="28" ht="12.95" customHeight="1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6"/>
      <c r="M28" s="6"/>
      <c r="N28" s="17">
        <v>0.2410115</v>
      </c>
      <c r="O28" s="7">
        <v>0.6835475</v>
      </c>
      <c r="P28" s="7">
        <v>0.075441</v>
      </c>
    </row>
    <row r="29" ht="12.95" customHeight="1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6"/>
      <c r="M29" s="6"/>
      <c r="N29" s="17">
        <v>0.0219101</v>
      </c>
      <c r="O29" s="7">
        <v>0.0736128</v>
      </c>
      <c r="P29" s="7">
        <v>0.9933071</v>
      </c>
    </row>
  </sheetData>
  <mergeCells count="21">
    <mergeCell ref="A7:C7"/>
    <mergeCell ref="A11:C11"/>
    <mergeCell ref="A12:C12"/>
    <mergeCell ref="F13:F15"/>
    <mergeCell ref="L1:L2"/>
    <mergeCell ref="L3:L5"/>
    <mergeCell ref="L7:L9"/>
    <mergeCell ref="L11:L13"/>
    <mergeCell ref="L15:L17"/>
    <mergeCell ref="L19:L21"/>
    <mergeCell ref="L23:L25"/>
    <mergeCell ref="L27:L29"/>
    <mergeCell ref="M1:M2"/>
    <mergeCell ref="M3:M5"/>
    <mergeCell ref="M7:M9"/>
    <mergeCell ref="M11:M13"/>
    <mergeCell ref="M15:M17"/>
    <mergeCell ref="M19:M21"/>
    <mergeCell ref="M23:M25"/>
    <mergeCell ref="M27:M29"/>
    <mergeCell ref="F11:I12"/>
  </mergeCells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2"/>
  <sheetViews>
    <sheetView workbookViewId="0">
      <selection activeCell="E7" sqref="E7:E12"/>
    </sheetView>
  </sheetViews>
  <sheetFormatPr defaultColWidth="9" defaultRowHeight="13.5" outlineLevelCol="4"/>
  <sheetData>
    <row r="1" spans="3:5">
      <c r="C1" t="s">
        <v>175</v>
      </c>
      <c r="E1" t="s">
        <v>233</v>
      </c>
    </row>
    <row r="2" spans="2:5">
      <c r="B2" s="1">
        <v>295</v>
      </c>
      <c r="C2" s="1">
        <v>30.4294</v>
      </c>
      <c r="D2" s="1">
        <f>C2*E2</f>
        <v>0.003347234</v>
      </c>
      <c r="E2" s="1">
        <v>0.00011</v>
      </c>
    </row>
    <row r="3" spans="2:5">
      <c r="B3" s="1">
        <v>300</v>
      </c>
      <c r="C3" s="1">
        <v>30.8043</v>
      </c>
      <c r="D3" s="1">
        <f t="shared" ref="D3:D19" si="0">C3*E3</f>
        <v>0.74854449</v>
      </c>
      <c r="E3" s="1">
        <v>0.0243</v>
      </c>
    </row>
    <row r="4" spans="2:5">
      <c r="B4" s="1">
        <v>305</v>
      </c>
      <c r="C4" s="1">
        <v>30.9198</v>
      </c>
      <c r="D4" s="1">
        <f t="shared" si="0"/>
        <v>3.555777</v>
      </c>
      <c r="E4" s="1">
        <v>0.115</v>
      </c>
    </row>
    <row r="5" spans="2:5">
      <c r="B5" s="1">
        <v>310</v>
      </c>
      <c r="C5" s="1">
        <v>30.4548</v>
      </c>
      <c r="D5" s="1">
        <f t="shared" si="0"/>
        <v>5.025042</v>
      </c>
      <c r="E5" s="1">
        <v>0.165</v>
      </c>
    </row>
    <row r="6" spans="2:5">
      <c r="B6" s="1">
        <v>315</v>
      </c>
      <c r="C6" s="1">
        <v>29.5231</v>
      </c>
      <c r="D6" s="1">
        <f t="shared" si="0"/>
        <v>2.657079</v>
      </c>
      <c r="E6" s="1">
        <v>0.09</v>
      </c>
    </row>
    <row r="7" spans="2:5">
      <c r="B7" s="1">
        <v>320</v>
      </c>
      <c r="C7" s="1">
        <v>27.8488</v>
      </c>
      <c r="D7" s="1">
        <f t="shared" si="0"/>
        <v>1.5038352</v>
      </c>
      <c r="E7" s="1">
        <v>0.054</v>
      </c>
    </row>
    <row r="8" spans="2:5">
      <c r="B8" s="1">
        <v>325</v>
      </c>
      <c r="C8" s="1">
        <v>25.4035</v>
      </c>
      <c r="D8" s="1">
        <f t="shared" si="0"/>
        <v>1.01614</v>
      </c>
      <c r="E8" s="1">
        <v>0.04</v>
      </c>
    </row>
    <row r="9" spans="2:5">
      <c r="B9" s="1">
        <v>330</v>
      </c>
      <c r="C9" s="1">
        <v>22.3777</v>
      </c>
      <c r="D9" s="1">
        <f t="shared" si="0"/>
        <v>0.9174857</v>
      </c>
      <c r="E9" s="1">
        <v>0.041</v>
      </c>
    </row>
    <row r="10" spans="2:5">
      <c r="B10" s="1">
        <v>335</v>
      </c>
      <c r="C10" s="1">
        <v>19.368</v>
      </c>
      <c r="D10" s="1">
        <f t="shared" si="0"/>
        <v>0.852192</v>
      </c>
      <c r="E10" s="1">
        <v>0.044</v>
      </c>
    </row>
    <row r="11" spans="2:5">
      <c r="B11" s="1">
        <v>340</v>
      </c>
      <c r="C11" s="1">
        <v>16.6269</v>
      </c>
      <c r="D11" s="1">
        <f t="shared" si="0"/>
        <v>0.6983298</v>
      </c>
      <c r="E11" s="1">
        <v>0.042</v>
      </c>
    </row>
    <row r="12" spans="2:5">
      <c r="B12" s="1">
        <v>345</v>
      </c>
      <c r="C12" s="1">
        <v>15.0387</v>
      </c>
      <c r="D12" s="1">
        <f t="shared" si="0"/>
        <v>0.6165867</v>
      </c>
      <c r="E12" s="1">
        <v>0.041</v>
      </c>
    </row>
    <row r="13" spans="2:5">
      <c r="B13" s="1">
        <v>350</v>
      </c>
      <c r="C13" s="1">
        <v>14.3586</v>
      </c>
      <c r="D13" s="1">
        <f t="shared" si="0"/>
        <v>0.5456268</v>
      </c>
      <c r="E13" s="1">
        <v>0.038</v>
      </c>
    </row>
    <row r="14" spans="2:5">
      <c r="B14" s="1">
        <v>355</v>
      </c>
      <c r="C14" s="1">
        <v>13.707</v>
      </c>
      <c r="D14" s="1">
        <f t="shared" si="0"/>
        <v>0.466038</v>
      </c>
      <c r="E14" s="1">
        <v>0.034</v>
      </c>
    </row>
    <row r="15" spans="2:5">
      <c r="B15" s="1">
        <v>360</v>
      </c>
      <c r="C15" s="1">
        <v>12.7911</v>
      </c>
      <c r="D15" s="1">
        <f t="shared" si="0"/>
        <v>0.383733</v>
      </c>
      <c r="E15" s="1">
        <v>0.03</v>
      </c>
    </row>
    <row r="16" spans="2:5">
      <c r="B16" s="1">
        <v>365</v>
      </c>
      <c r="C16" s="1">
        <v>11.4616</v>
      </c>
      <c r="D16" s="1">
        <f t="shared" si="0"/>
        <v>0.3209248</v>
      </c>
      <c r="E16" s="1">
        <v>0.028</v>
      </c>
    </row>
    <row r="17" spans="2:5">
      <c r="B17" s="1">
        <v>370</v>
      </c>
      <c r="C17" s="1">
        <v>9.4668</v>
      </c>
      <c r="D17" s="1">
        <f t="shared" si="0"/>
        <v>0.2461368</v>
      </c>
      <c r="E17" s="1">
        <v>0.026</v>
      </c>
    </row>
    <row r="18" spans="2:5">
      <c r="B18" s="1">
        <v>375</v>
      </c>
      <c r="C18" s="1">
        <v>7.6754</v>
      </c>
      <c r="D18" s="1">
        <f t="shared" si="0"/>
        <v>0.1842096</v>
      </c>
      <c r="E18" s="1">
        <v>0.024</v>
      </c>
    </row>
    <row r="19" spans="2:5">
      <c r="B19" s="1">
        <v>380</v>
      </c>
      <c r="C19" s="1">
        <v>5.6019</v>
      </c>
      <c r="D19" s="1">
        <f t="shared" si="0"/>
        <v>0.1232418</v>
      </c>
      <c r="E19" s="1">
        <v>0.022</v>
      </c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 t="s">
        <v>23</v>
      </c>
      <c r="D22" s="1">
        <f>SUM(D2:D19)/SUM(E2:E19)</f>
        <v>23.1407718036835</v>
      </c>
      <c r="E22" s="1"/>
    </row>
  </sheetData>
  <sheetProtection algorithmName="SHA-512" hashValue="8uYwpqUsCmwbtmDVeDvId2/2nffJFLSb6F6AoQ0OvYDrSs+7eM8GFq7ZK6c2CTVx6G3dX3ZocWx5pdMJUS0tBg==" saltValue="VIg+U5xi8bnODM+fGJHdog==" spinCount="100000" sheet="1" objects="1" scenarios="1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125"/>
  <sheetViews>
    <sheetView showGridLines="0" view="pageBreakPreview" zoomScale="70" zoomScaleNormal="100" zoomScaleSheetLayoutView="70" workbookViewId="0">
      <selection activeCell="J143" sqref="J143"/>
    </sheetView>
  </sheetViews>
  <sheetFormatPr defaultColWidth="9" defaultRowHeight="13.5"/>
  <cols>
    <col min="1" max="1" width="1.625" style="124" customWidth="1"/>
    <col min="2" max="2" width="11" style="124" customWidth="1"/>
    <col min="3" max="8" width="9" style="124" customWidth="1"/>
    <col min="9" max="9" width="1.625" style="124" customWidth="1"/>
    <col min="10" max="10" width="15.375" style="124" customWidth="1"/>
    <col min="11" max="34" width="6.25" style="124" customWidth="1"/>
    <col min="35" max="37" width="0.125" style="127" customWidth="1"/>
    <col min="38" max="38" width="1.625" style="124" customWidth="1"/>
    <col min="39" max="42" width="8.75" style="124" customWidth="1"/>
    <col min="43" max="45" width="8" style="124" customWidth="1"/>
    <col min="46" max="16384" width="9" style="124"/>
  </cols>
  <sheetData>
    <row r="1" ht="32.25" spans="2:33">
      <c r="B1" s="128" t="s">
        <v>4</v>
      </c>
      <c r="C1" s="129" t="s">
        <v>5</v>
      </c>
      <c r="D1" s="129"/>
      <c r="E1" s="129" t="s">
        <v>6</v>
      </c>
      <c r="F1" s="129"/>
      <c r="G1" s="129" t="s">
        <v>7</v>
      </c>
      <c r="H1" s="129"/>
      <c r="I1" s="160" t="s">
        <v>8</v>
      </c>
      <c r="J1" s="160"/>
      <c r="K1" s="160"/>
      <c r="L1" s="160"/>
      <c r="M1" s="160"/>
      <c r="N1" s="160"/>
      <c r="O1" s="160"/>
      <c r="P1" s="160"/>
      <c r="Q1" s="184" t="s">
        <v>9</v>
      </c>
      <c r="R1" s="185" t="s">
        <v>10</v>
      </c>
      <c r="S1" s="186" t="s">
        <v>11</v>
      </c>
      <c r="T1" s="186" t="s">
        <v>12</v>
      </c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ht="9" customHeight="1"/>
    <row r="3" ht="21.75" spans="2:12">
      <c r="B3" s="130" t="s">
        <v>13</v>
      </c>
      <c r="C3" s="131" t="s">
        <v>14</v>
      </c>
      <c r="D3" s="132" t="s">
        <v>15</v>
      </c>
      <c r="E3" s="133" t="s">
        <v>16</v>
      </c>
      <c r="F3" s="134"/>
      <c r="G3" s="135" t="s">
        <v>17</v>
      </c>
      <c r="H3" s="136"/>
      <c r="J3" s="161" t="s">
        <v>18</v>
      </c>
      <c r="K3" s="162"/>
      <c r="L3" s="163"/>
    </row>
    <row r="4" ht="20.25" spans="2:34">
      <c r="B4" s="137"/>
      <c r="C4" s="138">
        <v>1</v>
      </c>
      <c r="D4" s="139"/>
      <c r="E4" s="140"/>
      <c r="F4" s="112"/>
      <c r="G4" s="112"/>
      <c r="H4" s="113"/>
      <c r="J4" s="164" t="s">
        <v>19</v>
      </c>
      <c r="K4" s="165">
        <v>1</v>
      </c>
      <c r="L4" s="166"/>
      <c r="M4" s="166"/>
      <c r="N4" s="166"/>
      <c r="O4" s="166"/>
      <c r="P4" s="166"/>
      <c r="Q4" s="166"/>
      <c r="R4" s="166"/>
      <c r="S4" s="166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91"/>
    </row>
    <row r="5" ht="14.25" spans="2:34">
      <c r="B5" s="141" t="str">
        <f>HLOOKUP($B$3,'Product Material'!$C$2:$L$11,'Product Material'!$B3+1,FALSE)</f>
        <v>\</v>
      </c>
      <c r="C5" s="142" t="str">
        <f>IFERROR(IF(IF($B5="\","\",HLOOKUP(C$4,$K$4:$AH$13,2,FALSE))="","",IF($B5="\","\",HLOOKUP(C$4,$K$4:$AH$13,2,FALSE))),"")</f>
        <v>\</v>
      </c>
      <c r="D5" s="143" t="str">
        <f>IFERROR(IF(IF($B5="\","\",HLOOKUP(D$4,$K$4:$AH$13,2,FALSE))="","",IF($B5="\","\",HLOOKUP(D$4,$K$4:$AH$13,2,FALSE))),"")</f>
        <v>\</v>
      </c>
      <c r="E5" s="144" t="str">
        <f>IFERROR(IF(B5="\","\",D5-C5),"")</f>
        <v>\</v>
      </c>
      <c r="F5" s="144"/>
      <c r="G5" s="145" t="str">
        <f>IFERROR(IF(B5="\","\",D5/C5-1),"")</f>
        <v>\</v>
      </c>
      <c r="H5" s="146"/>
      <c r="J5" s="167" t="str">
        <f>B5</f>
        <v>\</v>
      </c>
      <c r="K5" s="168"/>
      <c r="L5" s="37"/>
      <c r="M5" s="37"/>
      <c r="N5" s="37"/>
      <c r="O5" s="37"/>
      <c r="P5" s="37"/>
      <c r="Q5" s="37"/>
      <c r="R5" s="37"/>
      <c r="S5" s="37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192"/>
    </row>
    <row r="6" spans="2:34">
      <c r="B6" s="141" t="str">
        <f>HLOOKUP($B$3,'Product Material'!$C$2:$L$11,'Product Material'!$B4+1,FALSE)</f>
        <v>\</v>
      </c>
      <c r="C6" s="147" t="str">
        <f t="shared" ref="C6:D6" si="0">IFERROR(IF(IF($B6="\","\",HLOOKUP(C$4,$K$4:$AH$13,3,FALSE))="","",IF($B6="\","\",HLOOKUP(C$4,$K$4:$AH$13,3,FALSE))),"")</f>
        <v>\</v>
      </c>
      <c r="D6" s="143" t="str">
        <f t="shared" si="0"/>
        <v>\</v>
      </c>
      <c r="E6" s="144" t="str">
        <f t="shared" ref="E6:E13" si="1">IFERROR(IF(B6="\","\",D6-C6),"")</f>
        <v>\</v>
      </c>
      <c r="F6" s="144"/>
      <c r="G6" s="145" t="str">
        <f t="shared" ref="G6:G13" si="2">IFERROR(IF(B6="\","\",D6/C6-1),"")</f>
        <v>\</v>
      </c>
      <c r="H6" s="146"/>
      <c r="J6" s="169" t="str">
        <f t="shared" ref="J6:J13" si="3">B6</f>
        <v>\</v>
      </c>
      <c r="K6" s="170"/>
      <c r="L6" s="42"/>
      <c r="M6" s="42"/>
      <c r="N6" s="42"/>
      <c r="O6" s="42"/>
      <c r="P6" s="42"/>
      <c r="Q6" s="42"/>
      <c r="R6" s="42"/>
      <c r="S6" s="42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193"/>
    </row>
    <row r="7" spans="2:34">
      <c r="B7" s="141" t="str">
        <f>HLOOKUP($B$3,'Product Material'!$C$2:$L$11,'Product Material'!$B5+1,FALSE)</f>
        <v>\</v>
      </c>
      <c r="C7" s="147" t="str">
        <f>IFERROR(IF(IF($B7="\","\",HLOOKUP(C$4,$K$4:$AH$13,4,FALSE))="","",IF($B7="\","\",HLOOKUP(C$4,$K$4:$AH$13,4,FALSE))),"")</f>
        <v>\</v>
      </c>
      <c r="D7" s="143" t="str">
        <f>IFERROR(IF(IF($B7="\","\",HLOOKUP(D$4,$K$4:$AH$13,4,FALSE))="","",IF($B7="\","\",HLOOKUP(D$4,$K$4:$AH$13,4,FALSE))),"")</f>
        <v>\</v>
      </c>
      <c r="E7" s="144" t="str">
        <f t="shared" si="1"/>
        <v>\</v>
      </c>
      <c r="F7" s="144"/>
      <c r="G7" s="145" t="str">
        <f t="shared" si="2"/>
        <v>\</v>
      </c>
      <c r="H7" s="146"/>
      <c r="J7" s="169" t="str">
        <f t="shared" si="3"/>
        <v>\</v>
      </c>
      <c r="K7" s="170"/>
      <c r="L7" s="42"/>
      <c r="M7" s="42"/>
      <c r="N7" s="42"/>
      <c r="O7" s="42"/>
      <c r="P7" s="42"/>
      <c r="Q7" s="42"/>
      <c r="R7" s="42"/>
      <c r="S7" s="42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193"/>
    </row>
    <row r="8" spans="2:34">
      <c r="B8" s="141" t="str">
        <f>HLOOKUP($B$3,'Product Material'!$C$2:$L$11,'Product Material'!$B6+1,FALSE)</f>
        <v>\</v>
      </c>
      <c r="C8" s="147" t="str">
        <f>IFERROR(IF(IF($B8="\","\",HLOOKUP(C$4,$K$4:$AH$13,5,FALSE))="","",IF($B8="\","\",HLOOKUP(C$4,$K$4:$AH$13,5,FALSE))),"")</f>
        <v>\</v>
      </c>
      <c r="D8" s="143" t="str">
        <f>IFERROR(IF(IF($B8="\","\",HLOOKUP(D$4,$K$4:$AH$13,5,FALSE))="","",IF($B8="\","\",HLOOKUP(D$4,$K$4:$AH$13,5,FALSE))),"")</f>
        <v>\</v>
      </c>
      <c r="E8" s="144" t="str">
        <f t="shared" si="1"/>
        <v>\</v>
      </c>
      <c r="F8" s="144"/>
      <c r="G8" s="145" t="str">
        <f t="shared" si="2"/>
        <v>\</v>
      </c>
      <c r="H8" s="146"/>
      <c r="J8" s="169" t="str">
        <f t="shared" si="3"/>
        <v>\</v>
      </c>
      <c r="K8" s="170"/>
      <c r="L8" s="42"/>
      <c r="M8" s="42"/>
      <c r="N8" s="42"/>
      <c r="O8" s="42"/>
      <c r="P8" s="42"/>
      <c r="Q8" s="42"/>
      <c r="R8" s="42"/>
      <c r="S8" s="42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193"/>
    </row>
    <row r="9" spans="2:39">
      <c r="B9" s="141" t="str">
        <f>HLOOKUP($B$3,'Product Material'!$C$2:$L$11,'Product Material'!$B7+1,FALSE)</f>
        <v>\</v>
      </c>
      <c r="C9" s="147" t="str">
        <f>IFERROR(IF(IF($B9="\","\",HLOOKUP(C$4,$K$4:$AH$13,6,FALSE))="","",IF($B9="\","\",HLOOKUP(C$4,$K$4:$AH$13,6,FALSE))),"")</f>
        <v>\</v>
      </c>
      <c r="D9" s="143" t="str">
        <f>IFERROR(IF(IF($B9="\","\",HLOOKUP(D$4,$K$4:$AH$13,6,FALSE))="","",IF($B9="\","\",HLOOKUP(D$4,$K$4:$AH$13,6,FALSE))),"")</f>
        <v>\</v>
      </c>
      <c r="E9" s="144" t="str">
        <f t="shared" si="1"/>
        <v>\</v>
      </c>
      <c r="F9" s="144"/>
      <c r="G9" s="145" t="str">
        <f t="shared" si="2"/>
        <v>\</v>
      </c>
      <c r="H9" s="146"/>
      <c r="J9" s="169" t="str">
        <f t="shared" si="3"/>
        <v>\</v>
      </c>
      <c r="K9" s="170"/>
      <c r="L9" s="42"/>
      <c r="M9" s="42"/>
      <c r="N9" s="42"/>
      <c r="O9" s="42"/>
      <c r="P9" s="42"/>
      <c r="Q9" s="42"/>
      <c r="R9" s="42"/>
      <c r="S9" s="42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193"/>
      <c r="AM9" s="194"/>
    </row>
    <row r="10" spans="2:34">
      <c r="B10" s="141" t="str">
        <f>HLOOKUP($B$3,'Product Material'!$C$2:$L$11,'Product Material'!$B8+1,FALSE)</f>
        <v>\</v>
      </c>
      <c r="C10" s="147" t="str">
        <f>IFERROR(IF(IF($B10="\","\",HLOOKUP(C$4,$K$4:$AH$13,7,FALSE))="","",IF($B10="\","\",HLOOKUP(C$4,$K$4:$AH$13,7,FALSE))),"")</f>
        <v>\</v>
      </c>
      <c r="D10" s="143" t="str">
        <f>IFERROR(IF(IF($B10="\","\",HLOOKUP(D$4,$K$4:$AH$13,7,FALSE))="","",IF($B10="\","\",HLOOKUP(D$4,$K$4:$AH$13,7,FALSE))),"")</f>
        <v>\</v>
      </c>
      <c r="E10" s="144" t="str">
        <f t="shared" si="1"/>
        <v>\</v>
      </c>
      <c r="F10" s="144"/>
      <c r="G10" s="145" t="str">
        <f t="shared" si="2"/>
        <v>\</v>
      </c>
      <c r="H10" s="146"/>
      <c r="J10" s="169" t="str">
        <f t="shared" si="3"/>
        <v>\</v>
      </c>
      <c r="K10" s="170"/>
      <c r="L10" s="42"/>
      <c r="M10" s="42"/>
      <c r="N10" s="42"/>
      <c r="O10" s="42"/>
      <c r="P10" s="42"/>
      <c r="Q10" s="42"/>
      <c r="R10" s="42"/>
      <c r="S10" s="42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193"/>
    </row>
    <row r="11" spans="2:34">
      <c r="B11" s="141" t="str">
        <f>HLOOKUP($B$3,'Product Material'!$C$2:$L$11,'Product Material'!$B9+1,FALSE)</f>
        <v>\</v>
      </c>
      <c r="C11" s="147" t="str">
        <f>IFERROR(IF(IF($B11="\","\",HLOOKUP(C$4,$K$4:$AH$13,8,FALSE))="","",IF($B11="\","\",HLOOKUP(C$4,$K$4:$AH$13,8,FALSE))),"")</f>
        <v>\</v>
      </c>
      <c r="D11" s="143" t="str">
        <f>IFERROR(IF(IF($B11="\","\",HLOOKUP(D$4,$K$4:$AH$13,8,FALSE))="","",IF($B11="\","\",HLOOKUP(D$4,$K$4:$AH$13,8,FALSE))),"")</f>
        <v>\</v>
      </c>
      <c r="E11" s="144" t="str">
        <f t="shared" si="1"/>
        <v>\</v>
      </c>
      <c r="F11" s="144"/>
      <c r="G11" s="145" t="str">
        <f t="shared" si="2"/>
        <v>\</v>
      </c>
      <c r="H11" s="146"/>
      <c r="J11" s="169" t="str">
        <f t="shared" si="3"/>
        <v>\</v>
      </c>
      <c r="K11" s="170"/>
      <c r="L11" s="42"/>
      <c r="M11" s="42"/>
      <c r="N11" s="42"/>
      <c r="O11" s="42"/>
      <c r="P11" s="42"/>
      <c r="Q11" s="42"/>
      <c r="R11" s="42"/>
      <c r="S11" s="42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193"/>
    </row>
    <row r="12" spans="2:34">
      <c r="B12" s="141" t="str">
        <f>HLOOKUP($B$3,'Product Material'!$C$2:$L$11,'Product Material'!$B10+1,FALSE)</f>
        <v>\</v>
      </c>
      <c r="C12" s="147" t="str">
        <f>IFERROR(IF(IF($B12="\","\",HLOOKUP(C$4,$K$4:$AH$13,9,FALSE))="","",IF($B12="\","\",HLOOKUP(C$4,$K$4:$AH$13,9,FALSE))),"")</f>
        <v>\</v>
      </c>
      <c r="D12" s="143" t="str">
        <f>IFERROR(IF(IF($B12="\","\",HLOOKUP(D$4,$K$4:$AH$13,9,FALSE))="","",IF($B12="\","\",HLOOKUP(D$4,$K$4:$AH$13,9,FALSE))),"")</f>
        <v>\</v>
      </c>
      <c r="E12" s="144" t="str">
        <f t="shared" si="1"/>
        <v>\</v>
      </c>
      <c r="F12" s="144"/>
      <c r="G12" s="145" t="str">
        <f t="shared" si="2"/>
        <v>\</v>
      </c>
      <c r="H12" s="146"/>
      <c r="J12" s="169" t="str">
        <f t="shared" si="3"/>
        <v>\</v>
      </c>
      <c r="K12" s="170"/>
      <c r="L12" s="42"/>
      <c r="M12" s="42"/>
      <c r="N12" s="42"/>
      <c r="O12" s="42"/>
      <c r="P12" s="42"/>
      <c r="Q12" s="42"/>
      <c r="R12" s="42"/>
      <c r="S12" s="42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193"/>
    </row>
    <row r="13" ht="14.25" spans="2:34">
      <c r="B13" s="148" t="str">
        <f>HLOOKUP($B$3,'Product Material'!$C$2:$L$11,'Product Material'!$B11+1,FALSE)</f>
        <v>\</v>
      </c>
      <c r="C13" s="149" t="str">
        <f>IFERROR(IF(IF($B13="\","\",HLOOKUP(C$4,$K$4:$AH$13,10,FALSE))="","",IF($B13="\","\",HLOOKUP(C$4,$K$4:$AH$13,10,FALSE))),"")</f>
        <v>\</v>
      </c>
      <c r="D13" s="150" t="str">
        <f>IFERROR(IF(IF($B13="\","\",HLOOKUP(D$4,$K$4:$AH$13,10,FALSE))="","",IF($B13="\","\",HLOOKUP(D$4,$K$4:$AH$13,10,FALSE))),"")</f>
        <v>\</v>
      </c>
      <c r="E13" s="151" t="str">
        <f t="shared" si="1"/>
        <v>\</v>
      </c>
      <c r="F13" s="151"/>
      <c r="G13" s="152" t="str">
        <f t="shared" si="2"/>
        <v>\</v>
      </c>
      <c r="H13" s="153"/>
      <c r="J13" s="169" t="str">
        <f t="shared" si="3"/>
        <v>\</v>
      </c>
      <c r="K13" s="170"/>
      <c r="L13" s="42"/>
      <c r="M13" s="42"/>
      <c r="N13" s="42"/>
      <c r="O13" s="42"/>
      <c r="P13" s="42"/>
      <c r="Q13" s="188"/>
      <c r="R13" s="42"/>
      <c r="S13" s="42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193"/>
    </row>
    <row r="14" ht="20.25" customHeight="1" spans="2:34">
      <c r="B14" s="154"/>
      <c r="C14" s="155"/>
      <c r="D14" s="155"/>
      <c r="E14" s="156"/>
      <c r="F14" s="156"/>
      <c r="G14" s="157"/>
      <c r="H14" s="158"/>
      <c r="J14" s="171" t="s">
        <v>20</v>
      </c>
      <c r="K14" s="172"/>
      <c r="L14" s="173"/>
      <c r="M14" s="173"/>
      <c r="N14" s="173"/>
      <c r="O14" s="173"/>
      <c r="P14" s="173"/>
      <c r="Q14" s="173"/>
      <c r="R14" s="173"/>
      <c r="S14" s="173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95"/>
    </row>
    <row r="15" ht="6" customHeight="1" spans="2:17">
      <c r="B15" s="154"/>
      <c r="C15" s="155"/>
      <c r="D15" s="155"/>
      <c r="E15" s="155"/>
      <c r="F15" s="155"/>
      <c r="G15" s="155"/>
      <c r="H15" s="159"/>
      <c r="Q15" s="190"/>
    </row>
    <row r="16" ht="21" spans="2:12">
      <c r="B16" s="154"/>
      <c r="C16" s="155"/>
      <c r="D16" s="155"/>
      <c r="E16" s="155"/>
      <c r="F16" s="155"/>
      <c r="G16" s="155"/>
      <c r="H16" s="159"/>
      <c r="J16" s="174" t="s">
        <v>21</v>
      </c>
      <c r="K16" s="175"/>
      <c r="L16" s="176"/>
    </row>
    <row r="17" ht="20.25" spans="2:37">
      <c r="B17" s="154"/>
      <c r="C17" s="155"/>
      <c r="D17" s="155"/>
      <c r="E17" s="155"/>
      <c r="F17" s="155"/>
      <c r="G17" s="155"/>
      <c r="H17" s="159"/>
      <c r="J17" s="177" t="s">
        <v>13</v>
      </c>
      <c r="K17" s="86">
        <f t="shared" ref="K17:T17" si="4">IF(K4="","",K4)</f>
        <v>1</v>
      </c>
      <c r="L17" s="86" t="str">
        <f t="shared" si="4"/>
        <v/>
      </c>
      <c r="M17" s="86" t="str">
        <f t="shared" si="4"/>
        <v/>
      </c>
      <c r="N17" s="86" t="str">
        <f t="shared" si="4"/>
        <v/>
      </c>
      <c r="O17" s="86" t="str">
        <f t="shared" si="4"/>
        <v/>
      </c>
      <c r="P17" s="86" t="str">
        <f t="shared" si="4"/>
        <v/>
      </c>
      <c r="Q17" s="86" t="str">
        <f t="shared" si="4"/>
        <v/>
      </c>
      <c r="R17" s="86" t="str">
        <f t="shared" si="4"/>
        <v/>
      </c>
      <c r="S17" s="86" t="str">
        <f t="shared" si="4"/>
        <v/>
      </c>
      <c r="T17" s="86" t="str">
        <f t="shared" si="4"/>
        <v/>
      </c>
      <c r="U17" s="86" t="str">
        <f t="shared" ref="U17:AH17" si="5">IF(U4="","",U4)</f>
        <v/>
      </c>
      <c r="V17" s="86" t="str">
        <f t="shared" si="5"/>
        <v/>
      </c>
      <c r="W17" s="86" t="str">
        <f t="shared" si="5"/>
        <v/>
      </c>
      <c r="X17" s="86" t="str">
        <f t="shared" si="5"/>
        <v/>
      </c>
      <c r="Y17" s="86" t="str">
        <f t="shared" si="5"/>
        <v/>
      </c>
      <c r="Z17" s="86" t="str">
        <f t="shared" si="5"/>
        <v/>
      </c>
      <c r="AA17" s="86" t="str">
        <f t="shared" si="5"/>
        <v/>
      </c>
      <c r="AB17" s="86" t="str">
        <f t="shared" si="5"/>
        <v/>
      </c>
      <c r="AC17" s="86" t="str">
        <f t="shared" si="5"/>
        <v/>
      </c>
      <c r="AD17" s="86" t="str">
        <f t="shared" si="5"/>
        <v/>
      </c>
      <c r="AE17" s="86" t="str">
        <f t="shared" si="5"/>
        <v/>
      </c>
      <c r="AF17" s="86" t="str">
        <f t="shared" si="5"/>
        <v/>
      </c>
      <c r="AG17" s="86" t="str">
        <f t="shared" si="5"/>
        <v/>
      </c>
      <c r="AH17" s="86" t="str">
        <f t="shared" si="5"/>
        <v/>
      </c>
      <c r="AI17" s="196" t="s">
        <v>14</v>
      </c>
      <c r="AJ17" s="197" t="s">
        <v>15</v>
      </c>
      <c r="AK17" s="198" t="s">
        <v>22</v>
      </c>
    </row>
    <row r="18" ht="21.95" customHeight="1" spans="2:37">
      <c r="B18" s="154"/>
      <c r="C18" s="155"/>
      <c r="D18" s="155"/>
      <c r="E18" s="155"/>
      <c r="F18" s="155"/>
      <c r="G18" s="155"/>
      <c r="H18" s="159"/>
      <c r="J18" s="178">
        <v>280</v>
      </c>
      <c r="K18" s="179">
        <v>27.4236</v>
      </c>
      <c r="L18" s="180"/>
      <c r="M18" s="180"/>
      <c r="N18" s="180"/>
      <c r="O18" s="180"/>
      <c r="P18" s="181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99"/>
      <c r="AI18" s="200">
        <f>HLOOKUP(C$4,$K$17:$AH$118,($J18-270)/5,FALSE)</f>
        <v>27.4236</v>
      </c>
      <c r="AJ18" s="201" t="e">
        <f>HLOOKUP(D$4,$K$17:$AH$118,($J18-270)/5,FALSE)</f>
        <v>#N/A</v>
      </c>
      <c r="AK18" s="202">
        <f>HLOOKUP($J$17,'MCS standard curve'!$B$3:$T$104,($J18-270)/5,FALSE)</f>
        <v>0</v>
      </c>
    </row>
    <row r="19" ht="2.1" customHeight="1" spans="2:37">
      <c r="B19" s="154"/>
      <c r="C19" s="155"/>
      <c r="D19" s="155"/>
      <c r="E19" s="155"/>
      <c r="F19" s="155"/>
      <c r="G19" s="155"/>
      <c r="H19" s="159"/>
      <c r="J19" s="154">
        <v>285</v>
      </c>
      <c r="K19" s="182">
        <v>28.6632</v>
      </c>
      <c r="L19" s="117"/>
      <c r="M19" s="117"/>
      <c r="N19" s="117"/>
      <c r="O19" s="117"/>
      <c r="P19" s="18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203"/>
      <c r="AI19" s="200">
        <f t="shared" ref="AI19:AI82" si="6">HLOOKUP(C$4,$K$17:$AH$118,($J19-270)/5,FALSE)</f>
        <v>28.6632</v>
      </c>
      <c r="AJ19" s="201" t="e">
        <f t="shared" ref="AJ19:AJ82" si="7">HLOOKUP(D$4,$K$17:$AH$118,($J19-270)/5,FALSE)</f>
        <v>#N/A</v>
      </c>
      <c r="AK19" s="202">
        <f>HLOOKUP($J$17,'MCS standard curve'!$B$3:$T$104,($J19-270)/5,FALSE)</f>
        <v>0</v>
      </c>
    </row>
    <row r="20" ht="2.1" customHeight="1" spans="2:37">
      <c r="B20" s="154"/>
      <c r="C20" s="155"/>
      <c r="D20" s="155"/>
      <c r="E20" s="155"/>
      <c r="F20" s="155"/>
      <c r="G20" s="155"/>
      <c r="H20" s="159"/>
      <c r="J20" s="154">
        <v>290</v>
      </c>
      <c r="K20" s="182">
        <v>29.6573</v>
      </c>
      <c r="L20" s="117"/>
      <c r="M20" s="117"/>
      <c r="N20" s="117"/>
      <c r="O20" s="117"/>
      <c r="P20" s="18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203"/>
      <c r="AI20" s="200">
        <f t="shared" si="6"/>
        <v>29.6573</v>
      </c>
      <c r="AJ20" s="201" t="e">
        <f t="shared" si="7"/>
        <v>#N/A</v>
      </c>
      <c r="AK20" s="202">
        <f>HLOOKUP($J$17,'MCS standard curve'!$B$3:$T$104,($J20-270)/5,FALSE)</f>
        <v>0</v>
      </c>
    </row>
    <row r="21" ht="2.1" customHeight="1" spans="2:37">
      <c r="B21" s="154"/>
      <c r="C21" s="155"/>
      <c r="D21" s="155"/>
      <c r="E21" s="155"/>
      <c r="F21" s="155"/>
      <c r="G21" s="155"/>
      <c r="H21" s="159"/>
      <c r="J21" s="154">
        <v>295</v>
      </c>
      <c r="K21" s="182">
        <v>30.4294</v>
      </c>
      <c r="L21" s="117"/>
      <c r="M21" s="117"/>
      <c r="N21" s="117"/>
      <c r="O21" s="117"/>
      <c r="P21" s="18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203"/>
      <c r="AI21" s="200">
        <f t="shared" si="6"/>
        <v>30.4294</v>
      </c>
      <c r="AJ21" s="201" t="e">
        <f t="shared" si="7"/>
        <v>#N/A</v>
      </c>
      <c r="AK21" s="202">
        <f>HLOOKUP($J$17,'MCS standard curve'!$B$3:$T$104,($J21-270)/5,FALSE)</f>
        <v>0</v>
      </c>
    </row>
    <row r="22" ht="2.1" customHeight="1" spans="2:37">
      <c r="B22" s="154"/>
      <c r="C22" s="155"/>
      <c r="D22" s="155"/>
      <c r="E22" s="155"/>
      <c r="F22" s="155"/>
      <c r="G22" s="155"/>
      <c r="H22" s="159"/>
      <c r="J22" s="154">
        <v>300</v>
      </c>
      <c r="K22" s="182">
        <v>30.8043</v>
      </c>
      <c r="L22" s="117"/>
      <c r="M22" s="117"/>
      <c r="N22" s="117"/>
      <c r="O22" s="117"/>
      <c r="P22" s="18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203"/>
      <c r="AI22" s="200">
        <f t="shared" si="6"/>
        <v>30.8043</v>
      </c>
      <c r="AJ22" s="201" t="e">
        <f t="shared" si="7"/>
        <v>#N/A</v>
      </c>
      <c r="AK22" s="202">
        <f>HLOOKUP($J$17,'MCS standard curve'!$B$3:$T$104,($J22-270)/5,FALSE)</f>
        <v>0</v>
      </c>
    </row>
    <row r="23" ht="2.1" customHeight="1" spans="2:37">
      <c r="B23" s="154"/>
      <c r="C23" s="155"/>
      <c r="D23" s="155"/>
      <c r="E23" s="155"/>
      <c r="F23" s="155"/>
      <c r="G23" s="155"/>
      <c r="H23" s="159"/>
      <c r="J23" s="154">
        <v>305</v>
      </c>
      <c r="K23" s="182">
        <v>30.9198</v>
      </c>
      <c r="L23" s="117"/>
      <c r="M23" s="117"/>
      <c r="N23" s="117"/>
      <c r="O23" s="117"/>
      <c r="P23" s="18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203"/>
      <c r="AI23" s="200">
        <f t="shared" si="6"/>
        <v>30.9198</v>
      </c>
      <c r="AJ23" s="201" t="e">
        <f t="shared" si="7"/>
        <v>#N/A</v>
      </c>
      <c r="AK23" s="202">
        <f>HLOOKUP($J$17,'MCS standard curve'!$B$3:$T$104,($J23-270)/5,FALSE)</f>
        <v>0</v>
      </c>
    </row>
    <row r="24" ht="2.1" customHeight="1" spans="2:37">
      <c r="B24" s="154"/>
      <c r="C24" s="155"/>
      <c r="D24" s="155"/>
      <c r="E24" s="155"/>
      <c r="F24" s="155"/>
      <c r="G24" s="155"/>
      <c r="H24" s="159"/>
      <c r="J24" s="154">
        <v>310</v>
      </c>
      <c r="K24" s="182">
        <v>30.4548</v>
      </c>
      <c r="L24" s="117"/>
      <c r="M24" s="117"/>
      <c r="N24" s="117"/>
      <c r="O24" s="117"/>
      <c r="P24" s="18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203"/>
      <c r="AI24" s="200">
        <f t="shared" si="6"/>
        <v>30.4548</v>
      </c>
      <c r="AJ24" s="201" t="e">
        <f t="shared" si="7"/>
        <v>#N/A</v>
      </c>
      <c r="AK24" s="202">
        <f>HLOOKUP($J$17,'MCS standard curve'!$B$3:$T$104,($J24-270)/5,FALSE)</f>
        <v>0</v>
      </c>
    </row>
    <row r="25" ht="2.1" customHeight="1" spans="2:37">
      <c r="B25" s="154"/>
      <c r="C25" s="155"/>
      <c r="D25" s="155"/>
      <c r="E25" s="155"/>
      <c r="F25" s="155"/>
      <c r="G25" s="155"/>
      <c r="H25" s="159"/>
      <c r="J25" s="154">
        <v>315</v>
      </c>
      <c r="K25" s="182">
        <v>29.5231</v>
      </c>
      <c r="L25" s="117"/>
      <c r="M25" s="117"/>
      <c r="N25" s="117"/>
      <c r="O25" s="117"/>
      <c r="P25" s="18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203"/>
      <c r="AI25" s="200">
        <f t="shared" si="6"/>
        <v>29.5231</v>
      </c>
      <c r="AJ25" s="201" t="e">
        <f t="shared" si="7"/>
        <v>#N/A</v>
      </c>
      <c r="AK25" s="202">
        <f>HLOOKUP($J$17,'MCS standard curve'!$B$3:$T$104,($J25-270)/5,FALSE)</f>
        <v>0</v>
      </c>
    </row>
    <row r="26" ht="2.1" customHeight="1" spans="2:37">
      <c r="B26" s="154"/>
      <c r="C26" s="155"/>
      <c r="D26" s="155"/>
      <c r="E26" s="155"/>
      <c r="F26" s="155"/>
      <c r="G26" s="155"/>
      <c r="H26" s="159"/>
      <c r="J26" s="154">
        <v>320</v>
      </c>
      <c r="K26" s="182">
        <v>27.8488</v>
      </c>
      <c r="L26" s="117"/>
      <c r="M26" s="117"/>
      <c r="N26" s="117"/>
      <c r="O26" s="117"/>
      <c r="P26" s="18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203"/>
      <c r="AI26" s="200">
        <f t="shared" si="6"/>
        <v>27.8488</v>
      </c>
      <c r="AJ26" s="201" t="e">
        <f t="shared" si="7"/>
        <v>#N/A</v>
      </c>
      <c r="AK26" s="202">
        <f>HLOOKUP($J$17,'MCS standard curve'!$B$3:$T$104,($J26-270)/5,FALSE)</f>
        <v>0</v>
      </c>
    </row>
    <row r="27" ht="2.1" customHeight="1" spans="2:37">
      <c r="B27" s="154"/>
      <c r="C27" s="155"/>
      <c r="D27" s="155"/>
      <c r="E27" s="155"/>
      <c r="F27" s="155"/>
      <c r="G27" s="155"/>
      <c r="H27" s="159"/>
      <c r="J27" s="154">
        <v>325</v>
      </c>
      <c r="K27" s="182">
        <v>25.4035</v>
      </c>
      <c r="L27" s="117"/>
      <c r="M27" s="117"/>
      <c r="N27" s="117"/>
      <c r="O27" s="117"/>
      <c r="P27" s="18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203"/>
      <c r="AI27" s="200">
        <f t="shared" si="6"/>
        <v>25.4035</v>
      </c>
      <c r="AJ27" s="201" t="e">
        <f t="shared" si="7"/>
        <v>#N/A</v>
      </c>
      <c r="AK27" s="202">
        <f>HLOOKUP($J$17,'MCS standard curve'!$B$3:$T$104,($J27-270)/5,FALSE)</f>
        <v>0</v>
      </c>
    </row>
    <row r="28" ht="2.1" customHeight="1" spans="2:37">
      <c r="B28" s="154"/>
      <c r="C28" s="155"/>
      <c r="D28" s="155"/>
      <c r="E28" s="155"/>
      <c r="F28" s="155"/>
      <c r="G28" s="155"/>
      <c r="H28" s="159"/>
      <c r="J28" s="154">
        <v>330</v>
      </c>
      <c r="K28" s="182">
        <v>22.3777</v>
      </c>
      <c r="L28" s="117"/>
      <c r="M28" s="117"/>
      <c r="N28" s="117"/>
      <c r="O28" s="117"/>
      <c r="P28" s="18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203"/>
      <c r="AI28" s="200">
        <f t="shared" si="6"/>
        <v>22.3777</v>
      </c>
      <c r="AJ28" s="201" t="e">
        <f t="shared" si="7"/>
        <v>#N/A</v>
      </c>
      <c r="AK28" s="202">
        <f>HLOOKUP($J$17,'MCS standard curve'!$B$3:$T$104,($J28-270)/5,FALSE)</f>
        <v>0</v>
      </c>
    </row>
    <row r="29" ht="2.1" customHeight="1" spans="2:37">
      <c r="B29" s="154"/>
      <c r="C29" s="155"/>
      <c r="D29" s="155"/>
      <c r="E29" s="155"/>
      <c r="F29" s="155"/>
      <c r="G29" s="155"/>
      <c r="H29" s="159"/>
      <c r="J29" s="154">
        <v>335</v>
      </c>
      <c r="K29" s="182">
        <v>19.368</v>
      </c>
      <c r="L29" s="117"/>
      <c r="M29" s="117"/>
      <c r="N29" s="117"/>
      <c r="O29" s="117"/>
      <c r="P29" s="183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203"/>
      <c r="AI29" s="200">
        <f t="shared" si="6"/>
        <v>19.368</v>
      </c>
      <c r="AJ29" s="201" t="e">
        <f t="shared" si="7"/>
        <v>#N/A</v>
      </c>
      <c r="AK29" s="202">
        <f>HLOOKUP($J$17,'MCS standard curve'!$B$3:$T$104,($J29-270)/5,FALSE)</f>
        <v>0</v>
      </c>
    </row>
    <row r="30" ht="2.1" customHeight="1" spans="2:37">
      <c r="B30" s="154"/>
      <c r="C30" s="155"/>
      <c r="D30" s="155"/>
      <c r="E30" s="155"/>
      <c r="F30" s="155"/>
      <c r="G30" s="155"/>
      <c r="H30" s="159"/>
      <c r="J30" s="154">
        <v>340</v>
      </c>
      <c r="K30" s="182">
        <v>16.6269</v>
      </c>
      <c r="L30" s="117"/>
      <c r="M30" s="117"/>
      <c r="N30" s="117"/>
      <c r="O30" s="117"/>
      <c r="P30" s="183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203"/>
      <c r="AI30" s="200">
        <f t="shared" si="6"/>
        <v>16.6269</v>
      </c>
      <c r="AJ30" s="201" t="e">
        <f t="shared" si="7"/>
        <v>#N/A</v>
      </c>
      <c r="AK30" s="202">
        <f>HLOOKUP($J$17,'MCS standard curve'!$B$3:$T$104,($J30-270)/5,FALSE)</f>
        <v>0</v>
      </c>
    </row>
    <row r="31" ht="2.1" customHeight="1" spans="2:37">
      <c r="B31" s="154"/>
      <c r="C31" s="155"/>
      <c r="D31" s="155"/>
      <c r="E31" s="155"/>
      <c r="F31" s="155"/>
      <c r="G31" s="155"/>
      <c r="H31" s="159"/>
      <c r="J31" s="154">
        <v>345</v>
      </c>
      <c r="K31" s="182">
        <v>15.0387</v>
      </c>
      <c r="L31" s="117"/>
      <c r="M31" s="117"/>
      <c r="N31" s="117"/>
      <c r="O31" s="117"/>
      <c r="P31" s="183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203"/>
      <c r="AI31" s="200">
        <f t="shared" si="6"/>
        <v>15.0387</v>
      </c>
      <c r="AJ31" s="201" t="e">
        <f t="shared" si="7"/>
        <v>#N/A</v>
      </c>
      <c r="AK31" s="202">
        <f>HLOOKUP($J$17,'MCS standard curve'!$B$3:$T$104,($J31-270)/5,FALSE)</f>
        <v>0</v>
      </c>
    </row>
    <row r="32" ht="2.1" customHeight="1" spans="2:37">
      <c r="B32" s="154"/>
      <c r="C32" s="155"/>
      <c r="D32" s="155"/>
      <c r="E32" s="155"/>
      <c r="F32" s="155"/>
      <c r="G32" s="155"/>
      <c r="H32" s="159"/>
      <c r="J32" s="154">
        <v>350</v>
      </c>
      <c r="K32" s="182">
        <v>14.3586</v>
      </c>
      <c r="L32" s="117"/>
      <c r="M32" s="117"/>
      <c r="N32" s="117"/>
      <c r="O32" s="117"/>
      <c r="P32" s="183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203"/>
      <c r="AI32" s="200">
        <f t="shared" si="6"/>
        <v>14.3586</v>
      </c>
      <c r="AJ32" s="201" t="e">
        <f t="shared" si="7"/>
        <v>#N/A</v>
      </c>
      <c r="AK32" s="202">
        <f>HLOOKUP($J$17,'MCS standard curve'!$B$3:$T$104,($J32-270)/5,FALSE)</f>
        <v>0</v>
      </c>
    </row>
    <row r="33" ht="2.1" customHeight="1" spans="2:37">
      <c r="B33" s="154"/>
      <c r="C33" s="155"/>
      <c r="D33" s="155"/>
      <c r="E33" s="155"/>
      <c r="F33" s="155"/>
      <c r="G33" s="155"/>
      <c r="H33" s="159"/>
      <c r="J33" s="154">
        <v>355</v>
      </c>
      <c r="K33" s="182">
        <v>13.707</v>
      </c>
      <c r="L33" s="117"/>
      <c r="M33" s="117"/>
      <c r="N33" s="117"/>
      <c r="O33" s="117"/>
      <c r="P33" s="183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203"/>
      <c r="AI33" s="200">
        <f t="shared" si="6"/>
        <v>13.707</v>
      </c>
      <c r="AJ33" s="201" t="e">
        <f t="shared" si="7"/>
        <v>#N/A</v>
      </c>
      <c r="AK33" s="202">
        <f>HLOOKUP($J$17,'MCS standard curve'!$B$3:$T$104,($J33-270)/5,FALSE)</f>
        <v>0</v>
      </c>
    </row>
    <row r="34" ht="2.1" customHeight="1" spans="2:37">
      <c r="B34" s="154"/>
      <c r="C34" s="155"/>
      <c r="D34" s="155"/>
      <c r="E34" s="155"/>
      <c r="F34" s="155"/>
      <c r="G34" s="155"/>
      <c r="H34" s="159"/>
      <c r="J34" s="154">
        <v>360</v>
      </c>
      <c r="K34" s="182">
        <v>12.7911</v>
      </c>
      <c r="L34" s="117"/>
      <c r="M34" s="117"/>
      <c r="N34" s="117"/>
      <c r="O34" s="117"/>
      <c r="P34" s="183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203"/>
      <c r="AI34" s="200">
        <f t="shared" si="6"/>
        <v>12.7911</v>
      </c>
      <c r="AJ34" s="201" t="e">
        <f t="shared" si="7"/>
        <v>#N/A</v>
      </c>
      <c r="AK34" s="202">
        <f>HLOOKUP($J$17,'MCS standard curve'!$B$3:$T$104,($J34-270)/5,FALSE)</f>
        <v>0</v>
      </c>
    </row>
    <row r="35" ht="2.1" customHeight="1" spans="2:37">
      <c r="B35" s="154"/>
      <c r="C35" s="155"/>
      <c r="D35" s="155"/>
      <c r="E35" s="155"/>
      <c r="F35" s="155"/>
      <c r="G35" s="155"/>
      <c r="H35" s="159"/>
      <c r="J35" s="154">
        <v>365</v>
      </c>
      <c r="K35" s="182">
        <v>11.4616</v>
      </c>
      <c r="L35" s="117"/>
      <c r="M35" s="117"/>
      <c r="N35" s="117"/>
      <c r="O35" s="117"/>
      <c r="P35" s="183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203"/>
      <c r="AI35" s="200">
        <f t="shared" si="6"/>
        <v>11.4616</v>
      </c>
      <c r="AJ35" s="201" t="e">
        <f t="shared" si="7"/>
        <v>#N/A</v>
      </c>
      <c r="AK35" s="202">
        <f>HLOOKUP($J$17,'MCS standard curve'!$B$3:$T$104,($J35-270)/5,FALSE)</f>
        <v>0</v>
      </c>
    </row>
    <row r="36" ht="2.1" customHeight="1" spans="2:37">
      <c r="B36" s="154"/>
      <c r="C36" s="155"/>
      <c r="D36" s="155"/>
      <c r="E36" s="155"/>
      <c r="F36" s="155"/>
      <c r="G36" s="155"/>
      <c r="H36" s="159"/>
      <c r="J36" s="154">
        <v>370</v>
      </c>
      <c r="K36" s="182">
        <v>9.4668</v>
      </c>
      <c r="L36" s="117"/>
      <c r="M36" s="117"/>
      <c r="N36" s="117"/>
      <c r="O36" s="117"/>
      <c r="P36" s="183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203"/>
      <c r="AI36" s="200">
        <f t="shared" si="6"/>
        <v>9.4668</v>
      </c>
      <c r="AJ36" s="201" t="e">
        <f t="shared" si="7"/>
        <v>#N/A</v>
      </c>
      <c r="AK36" s="202">
        <f>HLOOKUP($J$17,'MCS standard curve'!$B$3:$T$104,($J36-270)/5,FALSE)</f>
        <v>0</v>
      </c>
    </row>
    <row r="37" ht="2.1" customHeight="1" spans="2:37">
      <c r="B37" s="154"/>
      <c r="C37" s="155"/>
      <c r="D37" s="155"/>
      <c r="E37" s="155"/>
      <c r="F37" s="155"/>
      <c r="G37" s="155"/>
      <c r="H37" s="159"/>
      <c r="J37" s="154">
        <v>375</v>
      </c>
      <c r="K37" s="182">
        <v>7.6754</v>
      </c>
      <c r="L37" s="117"/>
      <c r="M37" s="117"/>
      <c r="N37" s="117"/>
      <c r="O37" s="117"/>
      <c r="P37" s="183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203"/>
      <c r="AI37" s="200">
        <f t="shared" si="6"/>
        <v>7.6754</v>
      </c>
      <c r="AJ37" s="201" t="e">
        <f t="shared" si="7"/>
        <v>#N/A</v>
      </c>
      <c r="AK37" s="202">
        <f>HLOOKUP($J$17,'MCS standard curve'!$B$3:$T$104,($J37-270)/5,FALSE)</f>
        <v>0</v>
      </c>
    </row>
    <row r="38" ht="21.95" customHeight="1" spans="2:37">
      <c r="B38" s="154"/>
      <c r="C38" s="155"/>
      <c r="D38" s="155"/>
      <c r="E38" s="155"/>
      <c r="F38" s="155"/>
      <c r="G38" s="155"/>
      <c r="H38" s="159"/>
      <c r="J38" s="178">
        <v>380</v>
      </c>
      <c r="K38" s="182">
        <v>5.6019</v>
      </c>
      <c r="L38" s="117"/>
      <c r="M38" s="117"/>
      <c r="N38" s="117"/>
      <c r="O38" s="117"/>
      <c r="P38" s="183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203"/>
      <c r="AI38" s="200">
        <f t="shared" si="6"/>
        <v>5.6019</v>
      </c>
      <c r="AJ38" s="201" t="e">
        <f t="shared" si="7"/>
        <v>#N/A</v>
      </c>
      <c r="AK38" s="202">
        <f>HLOOKUP($J$17,'MCS standard curve'!$B$3:$T$104,($J38-270)/5,FALSE)</f>
        <v>0</v>
      </c>
    </row>
    <row r="39" ht="2.1" customHeight="1" spans="2:37">
      <c r="B39" s="154"/>
      <c r="C39" s="155"/>
      <c r="D39" s="155"/>
      <c r="E39" s="155"/>
      <c r="F39" s="155"/>
      <c r="G39" s="155"/>
      <c r="H39" s="159"/>
      <c r="J39" s="154">
        <v>385</v>
      </c>
      <c r="K39" s="182">
        <v>3.9101</v>
      </c>
      <c r="L39" s="117"/>
      <c r="M39" s="117"/>
      <c r="N39" s="117"/>
      <c r="O39" s="117"/>
      <c r="P39" s="183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203"/>
      <c r="AI39" s="200">
        <f t="shared" si="6"/>
        <v>3.9101</v>
      </c>
      <c r="AJ39" s="201" t="e">
        <f t="shared" si="7"/>
        <v>#N/A</v>
      </c>
      <c r="AK39" s="202">
        <f>HLOOKUP($J$17,'MCS standard curve'!$B$3:$T$104,($J39-270)/5,FALSE)</f>
        <v>0</v>
      </c>
    </row>
    <row r="40" ht="2.1" customHeight="1" spans="2:37">
      <c r="B40" s="154"/>
      <c r="C40" s="155"/>
      <c r="D40" s="155"/>
      <c r="E40" s="155"/>
      <c r="F40" s="155"/>
      <c r="G40" s="155"/>
      <c r="H40" s="159"/>
      <c r="J40" s="154">
        <v>390</v>
      </c>
      <c r="K40" s="182">
        <v>2.5415</v>
      </c>
      <c r="L40" s="117"/>
      <c r="M40" s="117"/>
      <c r="N40" s="117"/>
      <c r="O40" s="117"/>
      <c r="P40" s="183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203"/>
      <c r="AI40" s="200">
        <f t="shared" si="6"/>
        <v>2.5415</v>
      </c>
      <c r="AJ40" s="201" t="e">
        <f t="shared" si="7"/>
        <v>#N/A</v>
      </c>
      <c r="AK40" s="202">
        <f>HLOOKUP($J$17,'MCS standard curve'!$B$3:$T$104,($J40-270)/5,FALSE)</f>
        <v>0</v>
      </c>
    </row>
    <row r="41" ht="2.1" customHeight="1" spans="2:37">
      <c r="B41" s="154"/>
      <c r="C41" s="155"/>
      <c r="D41" s="155"/>
      <c r="E41" s="155"/>
      <c r="F41" s="155"/>
      <c r="G41" s="155"/>
      <c r="H41" s="159"/>
      <c r="J41" s="154">
        <v>395</v>
      </c>
      <c r="K41" s="182">
        <v>1.3669</v>
      </c>
      <c r="L41" s="117"/>
      <c r="M41" s="117"/>
      <c r="N41" s="117"/>
      <c r="O41" s="117"/>
      <c r="P41" s="183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203"/>
      <c r="AI41" s="200">
        <f t="shared" si="6"/>
        <v>1.3669</v>
      </c>
      <c r="AJ41" s="201" t="e">
        <f t="shared" si="7"/>
        <v>#N/A</v>
      </c>
      <c r="AK41" s="202">
        <f>HLOOKUP($J$17,'MCS standard curve'!$B$3:$T$104,($J41-270)/5,FALSE)</f>
        <v>0</v>
      </c>
    </row>
    <row r="42" ht="2.1" customHeight="1" spans="2:37">
      <c r="B42" s="154"/>
      <c r="C42" s="155"/>
      <c r="D42" s="155"/>
      <c r="E42" s="155"/>
      <c r="F42" s="155"/>
      <c r="G42" s="155"/>
      <c r="H42" s="159"/>
      <c r="J42" s="154">
        <v>400</v>
      </c>
      <c r="K42" s="182">
        <v>0.8083</v>
      </c>
      <c r="L42" s="117"/>
      <c r="M42" s="117"/>
      <c r="N42" s="117"/>
      <c r="O42" s="117"/>
      <c r="P42" s="183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203"/>
      <c r="AI42" s="200">
        <f t="shared" si="6"/>
        <v>0.8083</v>
      </c>
      <c r="AJ42" s="201" t="e">
        <f t="shared" si="7"/>
        <v>#N/A</v>
      </c>
      <c r="AK42" s="202">
        <f>HLOOKUP($J$17,'MCS standard curve'!$B$3:$T$104,($J42-270)/5,FALSE)</f>
        <v>0</v>
      </c>
    </row>
    <row r="43" ht="2.1" customHeight="1" spans="2:37">
      <c r="B43" s="154"/>
      <c r="C43" s="155"/>
      <c r="D43" s="155"/>
      <c r="E43" s="155"/>
      <c r="F43" s="155"/>
      <c r="G43" s="155"/>
      <c r="H43" s="159"/>
      <c r="J43" s="154">
        <v>405</v>
      </c>
      <c r="K43" s="182">
        <v>0.2703</v>
      </c>
      <c r="L43" s="117"/>
      <c r="M43" s="117"/>
      <c r="N43" s="117"/>
      <c r="O43" s="117"/>
      <c r="P43" s="183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203"/>
      <c r="AI43" s="200">
        <f t="shared" si="6"/>
        <v>0.2703</v>
      </c>
      <c r="AJ43" s="201" t="e">
        <f t="shared" si="7"/>
        <v>#N/A</v>
      </c>
      <c r="AK43" s="202">
        <f>HLOOKUP($J$17,'MCS standard curve'!$B$3:$T$104,($J43-270)/5,FALSE)</f>
        <v>0</v>
      </c>
    </row>
    <row r="44" ht="2.1" customHeight="1" spans="2:37">
      <c r="B44" s="154"/>
      <c r="C44" s="155"/>
      <c r="D44" s="155"/>
      <c r="E44" s="155"/>
      <c r="F44" s="155"/>
      <c r="G44" s="155"/>
      <c r="H44" s="159"/>
      <c r="J44" s="154">
        <v>410</v>
      </c>
      <c r="K44" s="182">
        <v>0.181</v>
      </c>
      <c r="L44" s="117"/>
      <c r="M44" s="117"/>
      <c r="N44" s="117"/>
      <c r="O44" s="117"/>
      <c r="P44" s="183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203"/>
      <c r="AI44" s="200">
        <f t="shared" si="6"/>
        <v>0.181</v>
      </c>
      <c r="AJ44" s="201" t="e">
        <f t="shared" si="7"/>
        <v>#N/A</v>
      </c>
      <c r="AK44" s="202">
        <f>HLOOKUP($J$17,'MCS standard curve'!$B$3:$T$104,($J44-270)/5,FALSE)</f>
        <v>0</v>
      </c>
    </row>
    <row r="45" ht="2.1" customHeight="1" spans="2:37">
      <c r="B45" s="154"/>
      <c r="C45" s="155"/>
      <c r="D45" s="155"/>
      <c r="E45" s="155"/>
      <c r="F45" s="155"/>
      <c r="G45" s="155"/>
      <c r="H45" s="159"/>
      <c r="J45" s="154">
        <v>415</v>
      </c>
      <c r="K45" s="182">
        <v>0.1304</v>
      </c>
      <c r="L45" s="117"/>
      <c r="M45" s="117"/>
      <c r="N45" s="117"/>
      <c r="O45" s="117"/>
      <c r="P45" s="183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203"/>
      <c r="AI45" s="200">
        <f t="shared" si="6"/>
        <v>0.1304</v>
      </c>
      <c r="AJ45" s="201" t="e">
        <f t="shared" si="7"/>
        <v>#N/A</v>
      </c>
      <c r="AK45" s="202">
        <f>HLOOKUP($J$17,'MCS standard curve'!$B$3:$T$104,($J45-270)/5,FALSE)</f>
        <v>0</v>
      </c>
    </row>
    <row r="46" ht="2.1" customHeight="1" spans="2:37">
      <c r="B46" s="154"/>
      <c r="C46" s="155"/>
      <c r="D46" s="155"/>
      <c r="E46" s="155"/>
      <c r="F46" s="155"/>
      <c r="G46" s="155"/>
      <c r="H46" s="159"/>
      <c r="J46" s="154">
        <v>420</v>
      </c>
      <c r="K46" s="182">
        <v>0.3211</v>
      </c>
      <c r="L46" s="117"/>
      <c r="M46" s="117"/>
      <c r="N46" s="117"/>
      <c r="O46" s="117"/>
      <c r="P46" s="183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203"/>
      <c r="AI46" s="200">
        <f t="shared" si="6"/>
        <v>0.3211</v>
      </c>
      <c r="AJ46" s="201" t="e">
        <f t="shared" si="7"/>
        <v>#N/A</v>
      </c>
      <c r="AK46" s="202">
        <f>HLOOKUP($J$17,'MCS standard curve'!$B$3:$T$104,($J46-270)/5,FALSE)</f>
        <v>0</v>
      </c>
    </row>
    <row r="47" ht="2.1" customHeight="1" spans="2:37">
      <c r="B47" s="154"/>
      <c r="C47" s="155"/>
      <c r="D47" s="155"/>
      <c r="E47" s="155"/>
      <c r="F47" s="155"/>
      <c r="G47" s="155"/>
      <c r="H47" s="159"/>
      <c r="J47" s="154">
        <v>425</v>
      </c>
      <c r="K47" s="182">
        <v>0.4521</v>
      </c>
      <c r="L47" s="117"/>
      <c r="M47" s="117"/>
      <c r="N47" s="117"/>
      <c r="O47" s="117"/>
      <c r="P47" s="183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203"/>
      <c r="AI47" s="200">
        <f t="shared" si="6"/>
        <v>0.4521</v>
      </c>
      <c r="AJ47" s="201" t="e">
        <f t="shared" si="7"/>
        <v>#N/A</v>
      </c>
      <c r="AK47" s="202">
        <f>HLOOKUP($J$17,'MCS standard curve'!$B$3:$T$104,($J47-270)/5,FALSE)</f>
        <v>0</v>
      </c>
    </row>
    <row r="48" ht="2.1" customHeight="1" spans="2:37">
      <c r="B48" s="154"/>
      <c r="C48" s="155"/>
      <c r="D48" s="155"/>
      <c r="E48" s="155"/>
      <c r="F48" s="155"/>
      <c r="G48" s="155"/>
      <c r="H48" s="159"/>
      <c r="J48" s="154">
        <v>430</v>
      </c>
      <c r="K48" s="182">
        <v>0.61</v>
      </c>
      <c r="L48" s="117"/>
      <c r="M48" s="117"/>
      <c r="N48" s="117"/>
      <c r="O48" s="117"/>
      <c r="P48" s="183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203"/>
      <c r="AI48" s="200">
        <f t="shared" si="6"/>
        <v>0.61</v>
      </c>
      <c r="AJ48" s="201" t="e">
        <f t="shared" si="7"/>
        <v>#N/A</v>
      </c>
      <c r="AK48" s="202">
        <f>HLOOKUP($J$17,'MCS standard curve'!$B$3:$T$104,($J48-270)/5,FALSE)</f>
        <v>0</v>
      </c>
    </row>
    <row r="49" ht="2.1" customHeight="1" spans="2:37">
      <c r="B49" s="154"/>
      <c r="C49" s="155"/>
      <c r="D49" s="155"/>
      <c r="E49" s="155"/>
      <c r="F49" s="155"/>
      <c r="G49" s="155"/>
      <c r="H49" s="159"/>
      <c r="J49" s="154">
        <v>435</v>
      </c>
      <c r="K49" s="182">
        <v>0.9578</v>
      </c>
      <c r="L49" s="117"/>
      <c r="M49" s="117"/>
      <c r="N49" s="117"/>
      <c r="O49" s="117"/>
      <c r="P49" s="18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203"/>
      <c r="AI49" s="200">
        <f t="shared" si="6"/>
        <v>0.9578</v>
      </c>
      <c r="AJ49" s="201" t="e">
        <f t="shared" si="7"/>
        <v>#N/A</v>
      </c>
      <c r="AK49" s="202">
        <f>HLOOKUP($J$17,'MCS standard curve'!$B$3:$T$104,($J49-270)/5,FALSE)</f>
        <v>0</v>
      </c>
    </row>
    <row r="50" ht="2.1" customHeight="1" spans="2:37">
      <c r="B50" s="154"/>
      <c r="C50" s="155"/>
      <c r="D50" s="155"/>
      <c r="E50" s="155"/>
      <c r="F50" s="155"/>
      <c r="G50" s="155"/>
      <c r="H50" s="159"/>
      <c r="J50" s="154">
        <v>440</v>
      </c>
      <c r="K50" s="182">
        <v>0.9724</v>
      </c>
      <c r="L50" s="117"/>
      <c r="M50" s="117"/>
      <c r="N50" s="117"/>
      <c r="O50" s="117"/>
      <c r="P50" s="183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203"/>
      <c r="AI50" s="200">
        <f t="shared" si="6"/>
        <v>0.9724</v>
      </c>
      <c r="AJ50" s="201" t="e">
        <f t="shared" si="7"/>
        <v>#N/A</v>
      </c>
      <c r="AK50" s="202">
        <f>HLOOKUP($J$17,'MCS standard curve'!$B$3:$T$104,($J50-270)/5,FALSE)</f>
        <v>0</v>
      </c>
    </row>
    <row r="51" ht="2.1" customHeight="1" spans="2:37">
      <c r="B51" s="154"/>
      <c r="C51" s="155"/>
      <c r="D51" s="155"/>
      <c r="E51" s="155"/>
      <c r="F51" s="155"/>
      <c r="G51" s="155"/>
      <c r="H51" s="159"/>
      <c r="J51" s="154">
        <v>445</v>
      </c>
      <c r="K51" s="182">
        <v>1.0638</v>
      </c>
      <c r="L51" s="117"/>
      <c r="M51" s="117"/>
      <c r="N51" s="117"/>
      <c r="O51" s="117"/>
      <c r="P51" s="183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203"/>
      <c r="AI51" s="200">
        <f t="shared" si="6"/>
        <v>1.0638</v>
      </c>
      <c r="AJ51" s="201" t="e">
        <f t="shared" si="7"/>
        <v>#N/A</v>
      </c>
      <c r="AK51" s="202">
        <f>HLOOKUP($J$17,'MCS standard curve'!$B$3:$T$104,($J51-270)/5,FALSE)</f>
        <v>0</v>
      </c>
    </row>
    <row r="52" ht="2.1" customHeight="1" spans="2:37">
      <c r="B52" s="154"/>
      <c r="C52" s="155"/>
      <c r="D52" s="155"/>
      <c r="E52" s="155"/>
      <c r="F52" s="155"/>
      <c r="G52" s="155"/>
      <c r="H52" s="159"/>
      <c r="J52" s="154">
        <v>450</v>
      </c>
      <c r="K52" s="182">
        <v>1.3478</v>
      </c>
      <c r="L52" s="117"/>
      <c r="M52" s="117"/>
      <c r="N52" s="117"/>
      <c r="O52" s="117"/>
      <c r="P52" s="183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203"/>
      <c r="AI52" s="200">
        <f t="shared" si="6"/>
        <v>1.3478</v>
      </c>
      <c r="AJ52" s="201" t="e">
        <f t="shared" si="7"/>
        <v>#N/A</v>
      </c>
      <c r="AK52" s="202">
        <f>HLOOKUP($J$17,'MCS standard curve'!$B$3:$T$104,($J52-270)/5,FALSE)</f>
        <v>0</v>
      </c>
    </row>
    <row r="53" ht="2.1" customHeight="1" spans="2:37">
      <c r="B53" s="154"/>
      <c r="C53" s="155"/>
      <c r="D53" s="155"/>
      <c r="E53" s="155"/>
      <c r="F53" s="155"/>
      <c r="G53" s="155"/>
      <c r="H53" s="159"/>
      <c r="J53" s="154">
        <v>455</v>
      </c>
      <c r="K53" s="182">
        <v>1.2795</v>
      </c>
      <c r="L53" s="117"/>
      <c r="M53" s="117"/>
      <c r="N53" s="117"/>
      <c r="O53" s="117"/>
      <c r="P53" s="183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203"/>
      <c r="AI53" s="200">
        <f t="shared" si="6"/>
        <v>1.2795</v>
      </c>
      <c r="AJ53" s="201" t="e">
        <f t="shared" si="7"/>
        <v>#N/A</v>
      </c>
      <c r="AK53" s="202">
        <f>HLOOKUP($J$17,'MCS standard curve'!$B$3:$T$104,($J53-270)/5,FALSE)</f>
        <v>0</v>
      </c>
    </row>
    <row r="54" ht="2.1" customHeight="1" spans="2:37">
      <c r="B54" s="154"/>
      <c r="C54" s="155"/>
      <c r="D54" s="155"/>
      <c r="E54" s="155"/>
      <c r="F54" s="155"/>
      <c r="G54" s="155"/>
      <c r="H54" s="159"/>
      <c r="J54" s="154">
        <v>460</v>
      </c>
      <c r="K54" s="182">
        <v>1.1512</v>
      </c>
      <c r="L54" s="117"/>
      <c r="M54" s="117"/>
      <c r="N54" s="117"/>
      <c r="O54" s="117"/>
      <c r="P54" s="183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203"/>
      <c r="AI54" s="200">
        <f t="shared" si="6"/>
        <v>1.1512</v>
      </c>
      <c r="AJ54" s="201" t="e">
        <f t="shared" si="7"/>
        <v>#N/A</v>
      </c>
      <c r="AK54" s="202">
        <f>HLOOKUP($J$17,'MCS standard curve'!$B$3:$T$104,($J54-270)/5,FALSE)</f>
        <v>0</v>
      </c>
    </row>
    <row r="55" ht="2.1" customHeight="1" spans="2:37">
      <c r="B55" s="154"/>
      <c r="C55" s="155"/>
      <c r="D55" s="155"/>
      <c r="E55" s="155"/>
      <c r="F55" s="155"/>
      <c r="G55" s="155"/>
      <c r="H55" s="159"/>
      <c r="J55" s="154">
        <v>465</v>
      </c>
      <c r="K55" s="182">
        <v>1.3134</v>
      </c>
      <c r="L55" s="117"/>
      <c r="M55" s="117"/>
      <c r="N55" s="117"/>
      <c r="O55" s="117"/>
      <c r="P55" s="183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203"/>
      <c r="AI55" s="200">
        <f t="shared" si="6"/>
        <v>1.3134</v>
      </c>
      <c r="AJ55" s="201" t="e">
        <f t="shared" si="7"/>
        <v>#N/A</v>
      </c>
      <c r="AK55" s="202">
        <f>HLOOKUP($J$17,'MCS standard curve'!$B$3:$T$104,($J55-270)/5,FALSE)</f>
        <v>0</v>
      </c>
    </row>
    <row r="56" ht="2.1" customHeight="1" spans="2:37">
      <c r="B56" s="154"/>
      <c r="C56" s="155"/>
      <c r="D56" s="155"/>
      <c r="E56" s="155"/>
      <c r="F56" s="155"/>
      <c r="G56" s="155"/>
      <c r="H56" s="159"/>
      <c r="J56" s="154">
        <v>470</v>
      </c>
      <c r="K56" s="182">
        <v>1.3019</v>
      </c>
      <c r="L56" s="117"/>
      <c r="M56" s="117"/>
      <c r="N56" s="117"/>
      <c r="O56" s="117"/>
      <c r="P56" s="183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203"/>
      <c r="AI56" s="200">
        <f t="shared" si="6"/>
        <v>1.3019</v>
      </c>
      <c r="AJ56" s="201" t="e">
        <f t="shared" si="7"/>
        <v>#N/A</v>
      </c>
      <c r="AK56" s="202">
        <f>HLOOKUP($J$17,'MCS standard curve'!$B$3:$T$104,($J56-270)/5,FALSE)</f>
        <v>0</v>
      </c>
    </row>
    <row r="57" ht="2.1" customHeight="1" spans="2:37">
      <c r="B57" s="154"/>
      <c r="C57" s="155"/>
      <c r="D57" s="155"/>
      <c r="E57" s="155"/>
      <c r="F57" s="155"/>
      <c r="G57" s="155"/>
      <c r="H57" s="159"/>
      <c r="J57" s="154">
        <v>475</v>
      </c>
      <c r="K57" s="182">
        <v>1.0243</v>
      </c>
      <c r="L57" s="117"/>
      <c r="M57" s="117"/>
      <c r="N57" s="117"/>
      <c r="O57" s="117"/>
      <c r="P57" s="183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203"/>
      <c r="AI57" s="200">
        <f t="shared" si="6"/>
        <v>1.0243</v>
      </c>
      <c r="AJ57" s="201" t="e">
        <f t="shared" si="7"/>
        <v>#N/A</v>
      </c>
      <c r="AK57" s="202">
        <f>HLOOKUP($J$17,'MCS standard curve'!$B$3:$T$104,($J57-270)/5,FALSE)</f>
        <v>0</v>
      </c>
    </row>
    <row r="58" ht="2.1" customHeight="1" spans="2:37">
      <c r="B58" s="154"/>
      <c r="C58" s="155"/>
      <c r="D58" s="155"/>
      <c r="E58" s="155"/>
      <c r="F58" s="155"/>
      <c r="G58" s="155"/>
      <c r="H58" s="159"/>
      <c r="J58" s="154">
        <v>480</v>
      </c>
      <c r="K58" s="182">
        <v>0.9479</v>
      </c>
      <c r="L58" s="117"/>
      <c r="M58" s="117"/>
      <c r="N58" s="117"/>
      <c r="O58" s="117"/>
      <c r="P58" s="183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203"/>
      <c r="AI58" s="200">
        <f t="shared" si="6"/>
        <v>0.9479</v>
      </c>
      <c r="AJ58" s="201" t="e">
        <f t="shared" si="7"/>
        <v>#N/A</v>
      </c>
      <c r="AK58" s="202">
        <f>HLOOKUP($J$17,'MCS standard curve'!$B$3:$T$104,($J58-270)/5,FALSE)</f>
        <v>0</v>
      </c>
    </row>
    <row r="59" ht="2.1" customHeight="1" spans="2:37">
      <c r="B59" s="154"/>
      <c r="C59" s="155"/>
      <c r="D59" s="155"/>
      <c r="E59" s="155"/>
      <c r="F59" s="155"/>
      <c r="G59" s="155"/>
      <c r="H59" s="159"/>
      <c r="J59" s="154">
        <v>485</v>
      </c>
      <c r="K59" s="182">
        <v>1.0346</v>
      </c>
      <c r="L59" s="117"/>
      <c r="M59" s="117"/>
      <c r="N59" s="117"/>
      <c r="O59" s="117"/>
      <c r="P59" s="183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203"/>
      <c r="AI59" s="200">
        <f t="shared" si="6"/>
        <v>1.0346</v>
      </c>
      <c r="AJ59" s="201" t="e">
        <f t="shared" si="7"/>
        <v>#N/A</v>
      </c>
      <c r="AK59" s="202">
        <f>HLOOKUP($J$17,'MCS standard curve'!$B$3:$T$104,($J59-270)/5,FALSE)</f>
        <v>0</v>
      </c>
    </row>
    <row r="60" ht="2.1" customHeight="1" spans="2:37">
      <c r="B60" s="154"/>
      <c r="C60" s="155"/>
      <c r="D60" s="155"/>
      <c r="E60" s="155"/>
      <c r="F60" s="155"/>
      <c r="G60" s="155"/>
      <c r="H60" s="159"/>
      <c r="J60" s="154">
        <v>490</v>
      </c>
      <c r="K60" s="182">
        <v>0.9008</v>
      </c>
      <c r="L60" s="117"/>
      <c r="M60" s="117"/>
      <c r="N60" s="117"/>
      <c r="O60" s="117"/>
      <c r="P60" s="183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203"/>
      <c r="AI60" s="200">
        <f t="shared" si="6"/>
        <v>0.9008</v>
      </c>
      <c r="AJ60" s="201" t="e">
        <f t="shared" si="7"/>
        <v>#N/A</v>
      </c>
      <c r="AK60" s="202">
        <f>HLOOKUP($J$17,'MCS standard curve'!$B$3:$T$104,($J60-270)/5,FALSE)</f>
        <v>0</v>
      </c>
    </row>
    <row r="61" ht="2.1" customHeight="1" spans="2:37">
      <c r="B61" s="154"/>
      <c r="C61" s="155"/>
      <c r="D61" s="155"/>
      <c r="E61" s="155"/>
      <c r="F61" s="155"/>
      <c r="G61" s="155"/>
      <c r="H61" s="159"/>
      <c r="J61" s="154">
        <v>495</v>
      </c>
      <c r="K61" s="182">
        <v>0.6452</v>
      </c>
      <c r="L61" s="117"/>
      <c r="M61" s="117"/>
      <c r="N61" s="117"/>
      <c r="O61" s="117"/>
      <c r="P61" s="183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203"/>
      <c r="AI61" s="200">
        <f t="shared" si="6"/>
        <v>0.6452</v>
      </c>
      <c r="AJ61" s="201" t="e">
        <f t="shared" si="7"/>
        <v>#N/A</v>
      </c>
      <c r="AK61" s="202">
        <f>HLOOKUP($J$17,'MCS standard curve'!$B$3:$T$104,($J61-270)/5,FALSE)</f>
        <v>0</v>
      </c>
    </row>
    <row r="62" ht="2.1" customHeight="1" spans="2:37">
      <c r="B62" s="154"/>
      <c r="C62" s="155"/>
      <c r="D62" s="155"/>
      <c r="E62" s="155"/>
      <c r="F62" s="155"/>
      <c r="G62" s="155"/>
      <c r="H62" s="159"/>
      <c r="J62" s="154">
        <v>500</v>
      </c>
      <c r="K62" s="182">
        <v>0.5899</v>
      </c>
      <c r="L62" s="117"/>
      <c r="M62" s="117"/>
      <c r="N62" s="117"/>
      <c r="O62" s="117"/>
      <c r="P62" s="183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203"/>
      <c r="AI62" s="200">
        <f t="shared" si="6"/>
        <v>0.5899</v>
      </c>
      <c r="AJ62" s="201" t="e">
        <f t="shared" si="7"/>
        <v>#N/A</v>
      </c>
      <c r="AK62" s="202">
        <f>HLOOKUP($J$17,'MCS standard curve'!$B$3:$T$104,($J62-270)/5,FALSE)</f>
        <v>0</v>
      </c>
    </row>
    <row r="63" ht="2.1" customHeight="1" spans="2:37">
      <c r="B63" s="154"/>
      <c r="C63" s="155"/>
      <c r="D63" s="155"/>
      <c r="E63" s="155"/>
      <c r="F63" s="155"/>
      <c r="G63" s="155"/>
      <c r="H63" s="159"/>
      <c r="J63" s="154">
        <v>505</v>
      </c>
      <c r="K63" s="182">
        <v>0.6327</v>
      </c>
      <c r="L63" s="117"/>
      <c r="M63" s="117"/>
      <c r="N63" s="117"/>
      <c r="O63" s="117"/>
      <c r="P63" s="18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203"/>
      <c r="AI63" s="200">
        <f t="shared" si="6"/>
        <v>0.6327</v>
      </c>
      <c r="AJ63" s="201" t="e">
        <f t="shared" si="7"/>
        <v>#N/A</v>
      </c>
      <c r="AK63" s="202">
        <f>HLOOKUP($J$17,'MCS standard curve'!$B$3:$T$104,($J63-270)/5,FALSE)</f>
        <v>0</v>
      </c>
    </row>
    <row r="64" ht="2.1" customHeight="1" spans="2:37">
      <c r="B64" s="154"/>
      <c r="C64" s="155"/>
      <c r="D64" s="155"/>
      <c r="E64" s="155"/>
      <c r="F64" s="155"/>
      <c r="G64" s="155"/>
      <c r="H64" s="159"/>
      <c r="J64" s="154">
        <v>510</v>
      </c>
      <c r="K64" s="182">
        <v>0.5278</v>
      </c>
      <c r="L64" s="117"/>
      <c r="M64" s="117"/>
      <c r="N64" s="117"/>
      <c r="O64" s="117"/>
      <c r="P64" s="18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203"/>
      <c r="AI64" s="200">
        <f t="shared" si="6"/>
        <v>0.5278</v>
      </c>
      <c r="AJ64" s="201" t="e">
        <f t="shared" si="7"/>
        <v>#N/A</v>
      </c>
      <c r="AK64" s="202">
        <f>HLOOKUP($J$17,'MCS standard curve'!$B$3:$T$104,($J64-270)/5,FALSE)</f>
        <v>0</v>
      </c>
    </row>
    <row r="65" ht="2.1" customHeight="1" spans="2:37">
      <c r="B65" s="154"/>
      <c r="C65" s="155"/>
      <c r="D65" s="155"/>
      <c r="E65" s="155"/>
      <c r="F65" s="155"/>
      <c r="G65" s="155"/>
      <c r="H65" s="159"/>
      <c r="J65" s="154">
        <v>515</v>
      </c>
      <c r="K65" s="182">
        <v>0.3508</v>
      </c>
      <c r="L65" s="117"/>
      <c r="M65" s="117"/>
      <c r="N65" s="117"/>
      <c r="O65" s="117"/>
      <c r="P65" s="183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203"/>
      <c r="AI65" s="200">
        <f t="shared" si="6"/>
        <v>0.3508</v>
      </c>
      <c r="AJ65" s="201" t="e">
        <f t="shared" si="7"/>
        <v>#N/A</v>
      </c>
      <c r="AK65" s="202">
        <f>HLOOKUP($J$17,'MCS standard curve'!$B$3:$T$104,($J65-270)/5,FALSE)</f>
        <v>0</v>
      </c>
    </row>
    <row r="66" ht="2.1" customHeight="1" spans="2:37">
      <c r="B66" s="154"/>
      <c r="C66" s="155"/>
      <c r="D66" s="155"/>
      <c r="E66" s="155"/>
      <c r="F66" s="155"/>
      <c r="G66" s="155"/>
      <c r="H66" s="159"/>
      <c r="J66" s="154">
        <v>520</v>
      </c>
      <c r="K66" s="182">
        <v>0.3096</v>
      </c>
      <c r="L66" s="117"/>
      <c r="M66" s="117"/>
      <c r="N66" s="117"/>
      <c r="O66" s="117"/>
      <c r="P66" s="183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203"/>
      <c r="AI66" s="200">
        <f t="shared" si="6"/>
        <v>0.3096</v>
      </c>
      <c r="AJ66" s="201" t="e">
        <f t="shared" si="7"/>
        <v>#N/A</v>
      </c>
      <c r="AK66" s="202">
        <f>HLOOKUP($J$17,'MCS standard curve'!$B$3:$T$104,($J66-270)/5,FALSE)</f>
        <v>0</v>
      </c>
    </row>
    <row r="67" ht="2.1" customHeight="1" spans="2:37">
      <c r="B67" s="154"/>
      <c r="C67" s="155"/>
      <c r="D67" s="155"/>
      <c r="E67" s="155"/>
      <c r="F67" s="155"/>
      <c r="G67" s="155"/>
      <c r="H67" s="159"/>
      <c r="J67" s="154">
        <v>525</v>
      </c>
      <c r="K67" s="182">
        <v>0.3505</v>
      </c>
      <c r="L67" s="117"/>
      <c r="M67" s="117"/>
      <c r="N67" s="117"/>
      <c r="O67" s="117"/>
      <c r="P67" s="183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203"/>
      <c r="AI67" s="200">
        <f t="shared" si="6"/>
        <v>0.3505</v>
      </c>
      <c r="AJ67" s="201" t="e">
        <f t="shared" si="7"/>
        <v>#N/A</v>
      </c>
      <c r="AK67" s="202">
        <f>HLOOKUP($J$17,'MCS standard curve'!$B$3:$T$104,($J67-270)/5,FALSE)</f>
        <v>0</v>
      </c>
    </row>
    <row r="68" ht="2.1" customHeight="1" spans="2:37">
      <c r="B68" s="154"/>
      <c r="C68" s="155"/>
      <c r="D68" s="155"/>
      <c r="E68" s="155"/>
      <c r="F68" s="155"/>
      <c r="G68" s="155"/>
      <c r="H68" s="159"/>
      <c r="J68" s="154">
        <v>530</v>
      </c>
      <c r="K68" s="182">
        <v>0.3291</v>
      </c>
      <c r="L68" s="117"/>
      <c r="M68" s="117"/>
      <c r="N68" s="117"/>
      <c r="O68" s="117"/>
      <c r="P68" s="18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203"/>
      <c r="AI68" s="200">
        <f t="shared" si="6"/>
        <v>0.3291</v>
      </c>
      <c r="AJ68" s="201" t="e">
        <f t="shared" si="7"/>
        <v>#N/A</v>
      </c>
      <c r="AK68" s="202">
        <f>HLOOKUP($J$17,'MCS standard curve'!$B$3:$T$104,($J68-270)/5,FALSE)</f>
        <v>0</v>
      </c>
    </row>
    <row r="69" ht="2.1" customHeight="1" spans="2:37">
      <c r="B69" s="154"/>
      <c r="C69" s="155"/>
      <c r="D69" s="155"/>
      <c r="E69" s="155"/>
      <c r="F69" s="155"/>
      <c r="G69" s="155"/>
      <c r="H69" s="159"/>
      <c r="J69" s="154">
        <v>535</v>
      </c>
      <c r="K69" s="182">
        <v>0.2185</v>
      </c>
      <c r="L69" s="117"/>
      <c r="M69" s="117"/>
      <c r="N69" s="117"/>
      <c r="O69" s="117"/>
      <c r="P69" s="18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203"/>
      <c r="AI69" s="200">
        <f t="shared" si="6"/>
        <v>0.2185</v>
      </c>
      <c r="AJ69" s="201" t="e">
        <f t="shared" si="7"/>
        <v>#N/A</v>
      </c>
      <c r="AK69" s="202">
        <f>HLOOKUP($J$17,'MCS standard curve'!$B$3:$T$104,($J69-270)/5,FALSE)</f>
        <v>0</v>
      </c>
    </row>
    <row r="70" ht="2.1" customHeight="1" spans="2:37">
      <c r="B70" s="154"/>
      <c r="C70" s="155"/>
      <c r="D70" s="155"/>
      <c r="E70" s="155"/>
      <c r="F70" s="155"/>
      <c r="G70" s="155"/>
      <c r="H70" s="159"/>
      <c r="J70" s="154">
        <v>540</v>
      </c>
      <c r="K70" s="182">
        <v>0.1589</v>
      </c>
      <c r="L70" s="117"/>
      <c r="M70" s="117"/>
      <c r="N70" s="117"/>
      <c r="O70" s="117"/>
      <c r="P70" s="183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203"/>
      <c r="AI70" s="200">
        <f t="shared" si="6"/>
        <v>0.1589</v>
      </c>
      <c r="AJ70" s="201" t="e">
        <f t="shared" si="7"/>
        <v>#N/A</v>
      </c>
      <c r="AK70" s="202">
        <f>HLOOKUP($J$17,'MCS standard curve'!$B$3:$T$104,($J70-270)/5,FALSE)</f>
        <v>0</v>
      </c>
    </row>
    <row r="71" ht="2.1" customHeight="1" spans="2:37">
      <c r="B71" s="154"/>
      <c r="C71" s="155"/>
      <c r="D71" s="155"/>
      <c r="E71" s="155"/>
      <c r="F71" s="155"/>
      <c r="G71" s="155"/>
      <c r="H71" s="159"/>
      <c r="J71" s="154">
        <v>545</v>
      </c>
      <c r="K71" s="182">
        <v>0.1917</v>
      </c>
      <c r="L71" s="117"/>
      <c r="M71" s="117"/>
      <c r="N71" s="117"/>
      <c r="O71" s="117"/>
      <c r="P71" s="183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203"/>
      <c r="AI71" s="200">
        <f t="shared" si="6"/>
        <v>0.1917</v>
      </c>
      <c r="AJ71" s="201" t="e">
        <f t="shared" si="7"/>
        <v>#N/A</v>
      </c>
      <c r="AK71" s="202">
        <f>HLOOKUP($J$17,'MCS standard curve'!$B$3:$T$104,($J71-270)/5,FALSE)</f>
        <v>0</v>
      </c>
    </row>
    <row r="72" ht="2.1" customHeight="1" spans="2:37">
      <c r="B72" s="154"/>
      <c r="C72" s="155"/>
      <c r="D72" s="155"/>
      <c r="E72" s="155"/>
      <c r="F72" s="155"/>
      <c r="G72" s="155"/>
      <c r="H72" s="159"/>
      <c r="J72" s="154">
        <v>550</v>
      </c>
      <c r="K72" s="182">
        <v>0.2307</v>
      </c>
      <c r="L72" s="117"/>
      <c r="M72" s="117"/>
      <c r="N72" s="117"/>
      <c r="O72" s="117"/>
      <c r="P72" s="183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203"/>
      <c r="AI72" s="200">
        <f t="shared" si="6"/>
        <v>0.2307</v>
      </c>
      <c r="AJ72" s="201" t="e">
        <f t="shared" si="7"/>
        <v>#N/A</v>
      </c>
      <c r="AK72" s="202">
        <f>HLOOKUP($J$17,'MCS standard curve'!$B$3:$T$104,($J72-270)/5,FALSE)</f>
        <v>0</v>
      </c>
    </row>
    <row r="73" ht="2.1" customHeight="1" spans="2:37">
      <c r="B73" s="154"/>
      <c r="C73" s="155"/>
      <c r="D73" s="155"/>
      <c r="E73" s="155"/>
      <c r="F73" s="155"/>
      <c r="G73" s="155"/>
      <c r="H73" s="159"/>
      <c r="J73" s="154">
        <v>555</v>
      </c>
      <c r="K73" s="182">
        <v>0.1982</v>
      </c>
      <c r="L73" s="117"/>
      <c r="M73" s="117"/>
      <c r="N73" s="117"/>
      <c r="O73" s="117"/>
      <c r="P73" s="183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203"/>
      <c r="AI73" s="200">
        <f t="shared" si="6"/>
        <v>0.1982</v>
      </c>
      <c r="AJ73" s="201" t="e">
        <f t="shared" si="7"/>
        <v>#N/A</v>
      </c>
      <c r="AK73" s="202">
        <f>HLOOKUP($J$17,'MCS standard curve'!$B$3:$T$104,($J73-270)/5,FALSE)</f>
        <v>0</v>
      </c>
    </row>
    <row r="74" ht="2.1" customHeight="1" spans="2:37">
      <c r="B74" s="154"/>
      <c r="C74" s="155"/>
      <c r="D74" s="155"/>
      <c r="E74" s="155"/>
      <c r="F74" s="155"/>
      <c r="G74" s="155"/>
      <c r="H74" s="159"/>
      <c r="J74" s="154">
        <v>560</v>
      </c>
      <c r="K74" s="182">
        <v>0.1375</v>
      </c>
      <c r="L74" s="117"/>
      <c r="M74" s="117"/>
      <c r="N74" s="117"/>
      <c r="O74" s="117"/>
      <c r="P74" s="183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203"/>
      <c r="AI74" s="200">
        <f t="shared" si="6"/>
        <v>0.1375</v>
      </c>
      <c r="AJ74" s="201" t="e">
        <f t="shared" si="7"/>
        <v>#N/A</v>
      </c>
      <c r="AK74" s="202">
        <f>HLOOKUP($J$17,'MCS standard curve'!$B$3:$T$104,($J74-270)/5,FALSE)</f>
        <v>0</v>
      </c>
    </row>
    <row r="75" ht="2.1" customHeight="1" spans="2:37">
      <c r="B75" s="154"/>
      <c r="C75" s="155"/>
      <c r="D75" s="155"/>
      <c r="E75" s="155"/>
      <c r="F75" s="155"/>
      <c r="G75" s="155"/>
      <c r="H75" s="159"/>
      <c r="J75" s="154">
        <v>565</v>
      </c>
      <c r="K75" s="182">
        <v>0.1211</v>
      </c>
      <c r="L75" s="117"/>
      <c r="M75" s="117"/>
      <c r="N75" s="117"/>
      <c r="O75" s="117"/>
      <c r="P75" s="183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203"/>
      <c r="AI75" s="200">
        <f t="shared" si="6"/>
        <v>0.1211</v>
      </c>
      <c r="AJ75" s="201" t="e">
        <f t="shared" si="7"/>
        <v>#N/A</v>
      </c>
      <c r="AK75" s="202">
        <f>HLOOKUP($J$17,'MCS standard curve'!$B$3:$T$104,($J75-270)/5,FALSE)</f>
        <v>0</v>
      </c>
    </row>
    <row r="76" ht="2.1" customHeight="1" spans="2:37">
      <c r="B76" s="154"/>
      <c r="C76" s="155"/>
      <c r="D76" s="155"/>
      <c r="E76" s="155"/>
      <c r="F76" s="155"/>
      <c r="G76" s="155"/>
      <c r="H76" s="159"/>
      <c r="J76" s="154">
        <v>570</v>
      </c>
      <c r="K76" s="182">
        <v>0.1565</v>
      </c>
      <c r="L76" s="117"/>
      <c r="M76" s="117"/>
      <c r="N76" s="117"/>
      <c r="O76" s="117"/>
      <c r="P76" s="183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203"/>
      <c r="AI76" s="200">
        <f t="shared" si="6"/>
        <v>0.1565</v>
      </c>
      <c r="AJ76" s="201" t="e">
        <f t="shared" si="7"/>
        <v>#N/A</v>
      </c>
      <c r="AK76" s="202">
        <f>HLOOKUP($J$17,'MCS standard curve'!$B$3:$T$104,($J76-270)/5,FALSE)</f>
        <v>0</v>
      </c>
    </row>
    <row r="77" ht="2.1" customHeight="1" spans="2:37">
      <c r="B77" s="154"/>
      <c r="C77" s="155"/>
      <c r="D77" s="155"/>
      <c r="E77" s="155"/>
      <c r="F77" s="155"/>
      <c r="G77" s="155"/>
      <c r="H77" s="159"/>
      <c r="J77" s="154">
        <v>575</v>
      </c>
      <c r="K77" s="182">
        <v>0.177</v>
      </c>
      <c r="L77" s="117"/>
      <c r="M77" s="117"/>
      <c r="N77" s="117"/>
      <c r="O77" s="117"/>
      <c r="P77" s="183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203"/>
      <c r="AI77" s="200">
        <f t="shared" si="6"/>
        <v>0.177</v>
      </c>
      <c r="AJ77" s="201" t="e">
        <f t="shared" si="7"/>
        <v>#N/A</v>
      </c>
      <c r="AK77" s="202">
        <f>HLOOKUP($J$17,'MCS standard curve'!$B$3:$T$104,($J77-270)/5,FALSE)</f>
        <v>0</v>
      </c>
    </row>
    <row r="78" ht="2.1" customHeight="1" spans="2:37">
      <c r="B78" s="154"/>
      <c r="C78" s="155"/>
      <c r="D78" s="155"/>
      <c r="E78" s="155"/>
      <c r="F78" s="155"/>
      <c r="G78" s="155"/>
      <c r="H78" s="159"/>
      <c r="J78" s="154">
        <v>580</v>
      </c>
      <c r="K78" s="182">
        <v>0.1478</v>
      </c>
      <c r="L78" s="117"/>
      <c r="M78" s="117"/>
      <c r="N78" s="117"/>
      <c r="O78" s="117"/>
      <c r="P78" s="183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203"/>
      <c r="AI78" s="200">
        <f t="shared" si="6"/>
        <v>0.1478</v>
      </c>
      <c r="AJ78" s="201" t="e">
        <f t="shared" si="7"/>
        <v>#N/A</v>
      </c>
      <c r="AK78" s="202">
        <f>HLOOKUP($J$17,'MCS standard curve'!$B$3:$T$104,($J78-270)/5,FALSE)</f>
        <v>0</v>
      </c>
    </row>
    <row r="79" ht="2.1" customHeight="1" spans="2:37">
      <c r="B79" s="154"/>
      <c r="C79" s="155"/>
      <c r="D79" s="155"/>
      <c r="E79" s="155"/>
      <c r="F79" s="155"/>
      <c r="G79" s="155"/>
      <c r="H79" s="159"/>
      <c r="J79" s="154">
        <v>585</v>
      </c>
      <c r="K79" s="182">
        <v>0.0991</v>
      </c>
      <c r="L79" s="117"/>
      <c r="M79" s="117"/>
      <c r="N79" s="117"/>
      <c r="O79" s="117"/>
      <c r="P79" s="183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203"/>
      <c r="AI79" s="200">
        <f t="shared" si="6"/>
        <v>0.0991</v>
      </c>
      <c r="AJ79" s="201" t="e">
        <f t="shared" si="7"/>
        <v>#N/A</v>
      </c>
      <c r="AK79" s="202">
        <f>HLOOKUP($J$17,'MCS standard curve'!$B$3:$T$104,($J79-270)/5,FALSE)</f>
        <v>0</v>
      </c>
    </row>
    <row r="80" ht="2.1" customHeight="1" spans="2:37">
      <c r="B80" s="154"/>
      <c r="C80" s="155"/>
      <c r="D80" s="155"/>
      <c r="E80" s="155"/>
      <c r="F80" s="155"/>
      <c r="G80" s="155"/>
      <c r="H80" s="159"/>
      <c r="J80" s="154">
        <v>590</v>
      </c>
      <c r="K80" s="182">
        <v>0.0776</v>
      </c>
      <c r="L80" s="117"/>
      <c r="M80" s="117"/>
      <c r="N80" s="117"/>
      <c r="O80" s="117"/>
      <c r="P80" s="183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203"/>
      <c r="AI80" s="200">
        <f t="shared" si="6"/>
        <v>0.0776</v>
      </c>
      <c r="AJ80" s="201" t="e">
        <f t="shared" si="7"/>
        <v>#N/A</v>
      </c>
      <c r="AK80" s="202">
        <f>HLOOKUP($J$17,'MCS standard curve'!$B$3:$T$104,($J80-270)/5,FALSE)</f>
        <v>0</v>
      </c>
    </row>
    <row r="81" ht="2.1" customHeight="1" spans="2:37">
      <c r="B81" s="154"/>
      <c r="C81" s="155"/>
      <c r="D81" s="155"/>
      <c r="E81" s="155"/>
      <c r="F81" s="155"/>
      <c r="G81" s="155"/>
      <c r="H81" s="159"/>
      <c r="J81" s="154">
        <v>595</v>
      </c>
      <c r="K81" s="182">
        <v>0.0921</v>
      </c>
      <c r="L81" s="117"/>
      <c r="M81" s="117"/>
      <c r="N81" s="117"/>
      <c r="O81" s="117"/>
      <c r="P81" s="183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203"/>
      <c r="AI81" s="200">
        <f t="shared" si="6"/>
        <v>0.0921</v>
      </c>
      <c r="AJ81" s="201" t="e">
        <f t="shared" si="7"/>
        <v>#N/A</v>
      </c>
      <c r="AK81" s="202">
        <f>HLOOKUP($J$17,'MCS standard curve'!$B$3:$T$104,($J81-270)/5,FALSE)</f>
        <v>0</v>
      </c>
    </row>
    <row r="82" ht="2.1" customHeight="1" spans="2:37">
      <c r="B82" s="154"/>
      <c r="C82" s="155"/>
      <c r="D82" s="155"/>
      <c r="E82" s="155"/>
      <c r="F82" s="155"/>
      <c r="G82" s="155"/>
      <c r="H82" s="159"/>
      <c r="J82" s="154">
        <v>600</v>
      </c>
      <c r="K82" s="182">
        <v>0.1088</v>
      </c>
      <c r="L82" s="117"/>
      <c r="M82" s="117"/>
      <c r="N82" s="117"/>
      <c r="O82" s="117"/>
      <c r="P82" s="183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203"/>
      <c r="AI82" s="200">
        <f t="shared" si="6"/>
        <v>0.1088</v>
      </c>
      <c r="AJ82" s="201" t="e">
        <f t="shared" si="7"/>
        <v>#N/A</v>
      </c>
      <c r="AK82" s="202">
        <f>HLOOKUP($J$17,'MCS standard curve'!$B$3:$T$104,($J82-270)/5,FALSE)</f>
        <v>0</v>
      </c>
    </row>
    <row r="83" ht="2.1" customHeight="1" spans="2:37">
      <c r="B83" s="154"/>
      <c r="C83" s="155"/>
      <c r="D83" s="155"/>
      <c r="E83" s="155"/>
      <c r="F83" s="155"/>
      <c r="G83" s="155"/>
      <c r="H83" s="159"/>
      <c r="J83" s="154">
        <v>605</v>
      </c>
      <c r="K83" s="182">
        <v>0.1077</v>
      </c>
      <c r="L83" s="117"/>
      <c r="M83" s="117"/>
      <c r="N83" s="117"/>
      <c r="O83" s="117"/>
      <c r="P83" s="183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203"/>
      <c r="AI83" s="200">
        <f t="shared" ref="AI83:AI118" si="8">HLOOKUP(C$4,$K$17:$AH$118,($J83-270)/5,FALSE)</f>
        <v>0.1077</v>
      </c>
      <c r="AJ83" s="201" t="e">
        <f t="shared" ref="AJ83:AJ118" si="9">HLOOKUP(D$4,$K$17:$AH$118,($J83-270)/5,FALSE)</f>
        <v>#N/A</v>
      </c>
      <c r="AK83" s="202">
        <f>HLOOKUP($J$17,'MCS standard curve'!$B$3:$T$104,($J83-270)/5,FALSE)</f>
        <v>0</v>
      </c>
    </row>
    <row r="84" ht="2.1" customHeight="1" spans="2:37">
      <c r="B84" s="154"/>
      <c r="C84" s="155"/>
      <c r="D84" s="155"/>
      <c r="E84" s="155"/>
      <c r="F84" s="155"/>
      <c r="G84" s="155"/>
      <c r="H84" s="159"/>
      <c r="J84" s="154">
        <v>610</v>
      </c>
      <c r="K84" s="182">
        <v>0.0757</v>
      </c>
      <c r="L84" s="117"/>
      <c r="M84" s="117"/>
      <c r="N84" s="117"/>
      <c r="O84" s="117"/>
      <c r="P84" s="183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203"/>
      <c r="AI84" s="200">
        <f t="shared" si="8"/>
        <v>0.0757</v>
      </c>
      <c r="AJ84" s="201" t="e">
        <f t="shared" si="9"/>
        <v>#N/A</v>
      </c>
      <c r="AK84" s="202">
        <f>HLOOKUP($J$17,'MCS standard curve'!$B$3:$T$104,($J84-270)/5,FALSE)</f>
        <v>0</v>
      </c>
    </row>
    <row r="85" ht="2.1" customHeight="1" spans="2:37">
      <c r="B85" s="154"/>
      <c r="C85" s="155"/>
      <c r="D85" s="155"/>
      <c r="E85" s="155"/>
      <c r="F85" s="155"/>
      <c r="G85" s="155"/>
      <c r="H85" s="159"/>
      <c r="J85" s="154">
        <v>615</v>
      </c>
      <c r="K85" s="182">
        <v>0.0502</v>
      </c>
      <c r="L85" s="117"/>
      <c r="M85" s="117"/>
      <c r="N85" s="117"/>
      <c r="O85" s="117"/>
      <c r="P85" s="183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203"/>
      <c r="AI85" s="200">
        <f t="shared" si="8"/>
        <v>0.0502</v>
      </c>
      <c r="AJ85" s="201" t="e">
        <f t="shared" si="9"/>
        <v>#N/A</v>
      </c>
      <c r="AK85" s="202">
        <f>HLOOKUP($J$17,'MCS standard curve'!$B$3:$T$104,($J85-270)/5,FALSE)</f>
        <v>0</v>
      </c>
    </row>
    <row r="86" ht="2.1" customHeight="1" spans="2:37">
      <c r="B86" s="154"/>
      <c r="C86" s="155"/>
      <c r="D86" s="155"/>
      <c r="E86" s="155"/>
      <c r="F86" s="155"/>
      <c r="G86" s="155"/>
      <c r="H86" s="159"/>
      <c r="J86" s="154">
        <v>620</v>
      </c>
      <c r="K86" s="182">
        <v>0.0442</v>
      </c>
      <c r="L86" s="117"/>
      <c r="M86" s="117"/>
      <c r="N86" s="117"/>
      <c r="O86" s="117"/>
      <c r="P86" s="183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203"/>
      <c r="AI86" s="200">
        <f t="shared" si="8"/>
        <v>0.0442</v>
      </c>
      <c r="AJ86" s="201" t="e">
        <f t="shared" si="9"/>
        <v>#N/A</v>
      </c>
      <c r="AK86" s="202">
        <f>HLOOKUP($J$17,'MCS standard curve'!$B$3:$T$104,($J86-270)/5,FALSE)</f>
        <v>0</v>
      </c>
    </row>
    <row r="87" ht="2.1" customHeight="1" spans="2:37">
      <c r="B87" s="154"/>
      <c r="C87" s="155"/>
      <c r="D87" s="155"/>
      <c r="E87" s="155"/>
      <c r="F87" s="155"/>
      <c r="G87" s="155"/>
      <c r="H87" s="159"/>
      <c r="J87" s="154">
        <v>625</v>
      </c>
      <c r="K87" s="182">
        <v>0.0532</v>
      </c>
      <c r="L87" s="117"/>
      <c r="M87" s="117"/>
      <c r="N87" s="117"/>
      <c r="O87" s="117"/>
      <c r="P87" s="183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203"/>
      <c r="AI87" s="200">
        <f t="shared" si="8"/>
        <v>0.0532</v>
      </c>
      <c r="AJ87" s="201" t="e">
        <f t="shared" si="9"/>
        <v>#N/A</v>
      </c>
      <c r="AK87" s="202">
        <f>HLOOKUP($J$17,'MCS standard curve'!$B$3:$T$104,($J87-270)/5,FALSE)</f>
        <v>0</v>
      </c>
    </row>
    <row r="88" ht="2.1" customHeight="1" spans="2:37">
      <c r="B88" s="154"/>
      <c r="C88" s="155"/>
      <c r="D88" s="155"/>
      <c r="E88" s="155"/>
      <c r="F88" s="155"/>
      <c r="G88" s="155"/>
      <c r="H88" s="159"/>
      <c r="J88" s="154">
        <v>630</v>
      </c>
      <c r="K88" s="182">
        <v>0.0588</v>
      </c>
      <c r="L88" s="117"/>
      <c r="M88" s="117"/>
      <c r="N88" s="117"/>
      <c r="O88" s="117"/>
      <c r="P88" s="183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203"/>
      <c r="AI88" s="200">
        <f t="shared" si="8"/>
        <v>0.0588</v>
      </c>
      <c r="AJ88" s="201" t="e">
        <f t="shared" si="9"/>
        <v>#N/A</v>
      </c>
      <c r="AK88" s="202">
        <f>HLOOKUP($J$17,'MCS standard curve'!$B$3:$T$104,($J88-270)/5,FALSE)</f>
        <v>0</v>
      </c>
    </row>
    <row r="89" ht="2.1" customHeight="1" spans="2:37">
      <c r="B89" s="154"/>
      <c r="C89" s="155"/>
      <c r="D89" s="155"/>
      <c r="E89" s="155"/>
      <c r="F89" s="155"/>
      <c r="G89" s="155"/>
      <c r="H89" s="159"/>
      <c r="J89" s="154">
        <v>635</v>
      </c>
      <c r="K89" s="182">
        <v>0.0571</v>
      </c>
      <c r="L89" s="117"/>
      <c r="M89" s="117"/>
      <c r="N89" s="117"/>
      <c r="O89" s="117"/>
      <c r="P89" s="183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203"/>
      <c r="AI89" s="200">
        <f t="shared" si="8"/>
        <v>0.0571</v>
      </c>
      <c r="AJ89" s="201" t="e">
        <f t="shared" si="9"/>
        <v>#N/A</v>
      </c>
      <c r="AK89" s="202">
        <f>HLOOKUP($J$17,'MCS standard curve'!$B$3:$T$104,($J89-270)/5,FALSE)</f>
        <v>0</v>
      </c>
    </row>
    <row r="90" ht="2.1" customHeight="1" spans="2:37">
      <c r="B90" s="154"/>
      <c r="C90" s="155"/>
      <c r="D90" s="155"/>
      <c r="E90" s="155"/>
      <c r="F90" s="155"/>
      <c r="G90" s="155"/>
      <c r="H90" s="159"/>
      <c r="J90" s="154">
        <v>640</v>
      </c>
      <c r="K90" s="182">
        <v>0.049</v>
      </c>
      <c r="L90" s="117"/>
      <c r="M90" s="117"/>
      <c r="N90" s="117"/>
      <c r="O90" s="117"/>
      <c r="P90" s="183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203"/>
      <c r="AI90" s="200">
        <f t="shared" si="8"/>
        <v>0.049</v>
      </c>
      <c r="AJ90" s="201" t="e">
        <f t="shared" si="9"/>
        <v>#N/A</v>
      </c>
      <c r="AK90" s="202">
        <f>HLOOKUP($J$17,'MCS standard curve'!$B$3:$T$104,($J90-270)/5,FALSE)</f>
        <v>0</v>
      </c>
    </row>
    <row r="91" ht="2.1" customHeight="1" spans="2:37">
      <c r="B91" s="154"/>
      <c r="C91" s="155"/>
      <c r="D91" s="155"/>
      <c r="E91" s="155"/>
      <c r="F91" s="155"/>
      <c r="G91" s="155"/>
      <c r="H91" s="159"/>
      <c r="J91" s="154">
        <v>645</v>
      </c>
      <c r="K91" s="182">
        <v>0.0444</v>
      </c>
      <c r="L91" s="117"/>
      <c r="M91" s="117"/>
      <c r="N91" s="117"/>
      <c r="O91" s="117"/>
      <c r="P91" s="183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203"/>
      <c r="AI91" s="200">
        <f t="shared" si="8"/>
        <v>0.0444</v>
      </c>
      <c r="AJ91" s="201" t="e">
        <f t="shared" si="9"/>
        <v>#N/A</v>
      </c>
      <c r="AK91" s="202">
        <f>HLOOKUP($J$17,'MCS standard curve'!$B$3:$T$104,($J91-270)/5,FALSE)</f>
        <v>0</v>
      </c>
    </row>
    <row r="92" ht="2.1" customHeight="1" spans="2:37">
      <c r="B92" s="154"/>
      <c r="C92" s="155"/>
      <c r="D92" s="155"/>
      <c r="E92" s="155"/>
      <c r="F92" s="155"/>
      <c r="G92" s="155"/>
      <c r="H92" s="159"/>
      <c r="J92" s="154">
        <v>650</v>
      </c>
      <c r="K92" s="182">
        <v>0.083</v>
      </c>
      <c r="L92" s="117"/>
      <c r="M92" s="117"/>
      <c r="N92" s="117"/>
      <c r="O92" s="117"/>
      <c r="P92" s="183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203"/>
      <c r="AI92" s="200">
        <f t="shared" si="8"/>
        <v>0.083</v>
      </c>
      <c r="AJ92" s="201" t="e">
        <f t="shared" si="9"/>
        <v>#N/A</v>
      </c>
      <c r="AK92" s="202">
        <f>HLOOKUP($J$17,'MCS standard curve'!$B$3:$T$104,($J92-270)/5,FALSE)</f>
        <v>0</v>
      </c>
    </row>
    <row r="93" ht="2.1" customHeight="1" spans="2:37">
      <c r="B93" s="154"/>
      <c r="C93" s="155"/>
      <c r="D93" s="155"/>
      <c r="E93" s="155"/>
      <c r="F93" s="155"/>
      <c r="G93" s="155"/>
      <c r="H93" s="159"/>
      <c r="J93" s="154">
        <v>655</v>
      </c>
      <c r="K93" s="182">
        <v>0.1172</v>
      </c>
      <c r="L93" s="117"/>
      <c r="M93" s="117"/>
      <c r="N93" s="117"/>
      <c r="O93" s="117"/>
      <c r="P93" s="183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203"/>
      <c r="AI93" s="200">
        <f t="shared" si="8"/>
        <v>0.1172</v>
      </c>
      <c r="AJ93" s="201" t="e">
        <f t="shared" si="9"/>
        <v>#N/A</v>
      </c>
      <c r="AK93" s="202">
        <f>HLOOKUP($J$17,'MCS standard curve'!$B$3:$T$104,($J93-270)/5,FALSE)</f>
        <v>0</v>
      </c>
    </row>
    <row r="94" ht="2.1" customHeight="1" spans="2:37">
      <c r="B94" s="154"/>
      <c r="C94" s="155"/>
      <c r="D94" s="155"/>
      <c r="E94" s="155"/>
      <c r="F94" s="155"/>
      <c r="G94" s="155"/>
      <c r="H94" s="159"/>
      <c r="J94" s="154">
        <v>660</v>
      </c>
      <c r="K94" s="182">
        <v>0.1299</v>
      </c>
      <c r="L94" s="117"/>
      <c r="M94" s="117"/>
      <c r="N94" s="117"/>
      <c r="O94" s="117"/>
      <c r="P94" s="183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203"/>
      <c r="AI94" s="200">
        <f t="shared" si="8"/>
        <v>0.1299</v>
      </c>
      <c r="AJ94" s="201" t="e">
        <f t="shared" si="9"/>
        <v>#N/A</v>
      </c>
      <c r="AK94" s="202">
        <f>HLOOKUP($J$17,'MCS standard curve'!$B$3:$T$104,($J94-270)/5,FALSE)</f>
        <v>0</v>
      </c>
    </row>
    <row r="95" ht="2.1" customHeight="1" spans="2:37">
      <c r="B95" s="154"/>
      <c r="C95" s="155"/>
      <c r="D95" s="155"/>
      <c r="E95" s="155"/>
      <c r="F95" s="155"/>
      <c r="G95" s="155"/>
      <c r="H95" s="159"/>
      <c r="J95" s="154">
        <v>665</v>
      </c>
      <c r="K95" s="182">
        <v>0.1448</v>
      </c>
      <c r="L95" s="117"/>
      <c r="M95" s="117"/>
      <c r="N95" s="117"/>
      <c r="O95" s="117"/>
      <c r="P95" s="183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203"/>
      <c r="AI95" s="200">
        <f t="shared" si="8"/>
        <v>0.1448</v>
      </c>
      <c r="AJ95" s="201" t="e">
        <f t="shared" si="9"/>
        <v>#N/A</v>
      </c>
      <c r="AK95" s="202">
        <f>HLOOKUP($J$17,'MCS standard curve'!$B$3:$T$104,($J95-270)/5,FALSE)</f>
        <v>0</v>
      </c>
    </row>
    <row r="96" ht="2.1" customHeight="1" spans="2:37">
      <c r="B96" s="154"/>
      <c r="C96" s="155"/>
      <c r="D96" s="155"/>
      <c r="E96" s="155"/>
      <c r="F96" s="155"/>
      <c r="G96" s="155"/>
      <c r="H96" s="159"/>
      <c r="J96" s="154">
        <v>670</v>
      </c>
      <c r="K96" s="182">
        <v>0.1521</v>
      </c>
      <c r="L96" s="117"/>
      <c r="M96" s="117"/>
      <c r="N96" s="117"/>
      <c r="O96" s="117"/>
      <c r="P96" s="183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203"/>
      <c r="AI96" s="200">
        <f t="shared" si="8"/>
        <v>0.1521</v>
      </c>
      <c r="AJ96" s="201" t="e">
        <f t="shared" si="9"/>
        <v>#N/A</v>
      </c>
      <c r="AK96" s="202">
        <f>HLOOKUP($J$17,'MCS standard curve'!$B$3:$T$104,($J96-270)/5,FALSE)</f>
        <v>0</v>
      </c>
    </row>
    <row r="97" ht="2.1" customHeight="1" spans="2:37">
      <c r="B97" s="154"/>
      <c r="C97" s="155"/>
      <c r="D97" s="155"/>
      <c r="E97" s="155"/>
      <c r="F97" s="155"/>
      <c r="G97" s="155"/>
      <c r="H97" s="159"/>
      <c r="J97" s="154">
        <v>675</v>
      </c>
      <c r="K97" s="182">
        <v>0.1628</v>
      </c>
      <c r="L97" s="117"/>
      <c r="M97" s="117"/>
      <c r="N97" s="117"/>
      <c r="O97" s="117"/>
      <c r="P97" s="183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203"/>
      <c r="AI97" s="200">
        <f t="shared" si="8"/>
        <v>0.1628</v>
      </c>
      <c r="AJ97" s="201" t="e">
        <f t="shared" si="9"/>
        <v>#N/A</v>
      </c>
      <c r="AK97" s="202">
        <f>HLOOKUP($J$17,'MCS standard curve'!$B$3:$T$104,($J97-270)/5,FALSE)</f>
        <v>0</v>
      </c>
    </row>
    <row r="98" ht="2.1" customHeight="1" spans="2:37">
      <c r="B98" s="154"/>
      <c r="C98" s="155"/>
      <c r="D98" s="155"/>
      <c r="E98" s="155"/>
      <c r="F98" s="155"/>
      <c r="G98" s="155"/>
      <c r="H98" s="159"/>
      <c r="J98" s="154">
        <v>680</v>
      </c>
      <c r="K98" s="182">
        <v>0.2238</v>
      </c>
      <c r="L98" s="117"/>
      <c r="M98" s="117"/>
      <c r="N98" s="117"/>
      <c r="O98" s="117"/>
      <c r="P98" s="183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203"/>
      <c r="AI98" s="200">
        <f t="shared" si="8"/>
        <v>0.2238</v>
      </c>
      <c r="AJ98" s="201" t="e">
        <f t="shared" si="9"/>
        <v>#N/A</v>
      </c>
      <c r="AK98" s="202">
        <f>HLOOKUP($J$17,'MCS standard curve'!$B$3:$T$104,($J98-270)/5,FALSE)</f>
        <v>0</v>
      </c>
    </row>
    <row r="99" ht="2.1" customHeight="1" spans="2:37">
      <c r="B99" s="154"/>
      <c r="C99" s="155"/>
      <c r="D99" s="155"/>
      <c r="E99" s="155"/>
      <c r="F99" s="155"/>
      <c r="G99" s="155"/>
      <c r="H99" s="159"/>
      <c r="J99" s="154">
        <v>685</v>
      </c>
      <c r="K99" s="182">
        <v>0.3355</v>
      </c>
      <c r="L99" s="117"/>
      <c r="M99" s="117"/>
      <c r="N99" s="117"/>
      <c r="O99" s="117"/>
      <c r="P99" s="183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203"/>
      <c r="AI99" s="200">
        <f t="shared" si="8"/>
        <v>0.3355</v>
      </c>
      <c r="AJ99" s="201" t="e">
        <f t="shared" si="9"/>
        <v>#N/A</v>
      </c>
      <c r="AK99" s="202">
        <f>HLOOKUP($J$17,'MCS standard curve'!$B$3:$T$104,($J99-270)/5,FALSE)</f>
        <v>0</v>
      </c>
    </row>
    <row r="100" ht="2.1" customHeight="1" spans="2:37">
      <c r="B100" s="154"/>
      <c r="C100" s="155"/>
      <c r="D100" s="155"/>
      <c r="E100" s="155"/>
      <c r="F100" s="155"/>
      <c r="G100" s="155"/>
      <c r="H100" s="159"/>
      <c r="J100" s="154">
        <v>690</v>
      </c>
      <c r="K100" s="182">
        <v>0.4628</v>
      </c>
      <c r="L100" s="117"/>
      <c r="M100" s="117"/>
      <c r="N100" s="117"/>
      <c r="O100" s="117"/>
      <c r="P100" s="183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203"/>
      <c r="AI100" s="200">
        <f t="shared" si="8"/>
        <v>0.4628</v>
      </c>
      <c r="AJ100" s="201" t="e">
        <f t="shared" si="9"/>
        <v>#N/A</v>
      </c>
      <c r="AK100" s="202">
        <f>HLOOKUP($J$17,'MCS standard curve'!$B$3:$T$104,($J100-270)/5,FALSE)</f>
        <v>0</v>
      </c>
    </row>
    <row r="101" ht="2.1" customHeight="1" spans="2:37">
      <c r="B101" s="154"/>
      <c r="C101" s="155"/>
      <c r="D101" s="155"/>
      <c r="E101" s="155"/>
      <c r="F101" s="155"/>
      <c r="G101" s="155"/>
      <c r="H101" s="159"/>
      <c r="J101" s="154">
        <v>695</v>
      </c>
      <c r="K101" s="182">
        <v>0.5827</v>
      </c>
      <c r="L101" s="117"/>
      <c r="M101" s="117"/>
      <c r="N101" s="117"/>
      <c r="O101" s="117"/>
      <c r="P101" s="183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203"/>
      <c r="AI101" s="200">
        <f t="shared" si="8"/>
        <v>0.5827</v>
      </c>
      <c r="AJ101" s="201" t="e">
        <f t="shared" si="9"/>
        <v>#N/A</v>
      </c>
      <c r="AK101" s="202">
        <f>HLOOKUP($J$17,'MCS standard curve'!$B$3:$T$104,($J101-270)/5,FALSE)</f>
        <v>0</v>
      </c>
    </row>
    <row r="102" ht="2.1" customHeight="1" spans="2:37">
      <c r="B102" s="154"/>
      <c r="C102" s="155"/>
      <c r="D102" s="155"/>
      <c r="E102" s="155"/>
      <c r="F102" s="155"/>
      <c r="G102" s="155"/>
      <c r="H102" s="159"/>
      <c r="J102" s="154">
        <v>700</v>
      </c>
      <c r="K102" s="182">
        <v>0.6495</v>
      </c>
      <c r="L102" s="117"/>
      <c r="M102" s="117"/>
      <c r="N102" s="117"/>
      <c r="O102" s="117"/>
      <c r="P102" s="183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203"/>
      <c r="AI102" s="200">
        <f t="shared" si="8"/>
        <v>0.6495</v>
      </c>
      <c r="AJ102" s="201" t="e">
        <f t="shared" si="9"/>
        <v>#N/A</v>
      </c>
      <c r="AK102" s="202">
        <f>HLOOKUP($J$17,'MCS standard curve'!$B$3:$T$104,($J102-270)/5,FALSE)</f>
        <v>0</v>
      </c>
    </row>
    <row r="103" ht="2.1" customHeight="1" spans="2:37">
      <c r="B103" s="154"/>
      <c r="C103" s="155"/>
      <c r="D103" s="155"/>
      <c r="E103" s="155"/>
      <c r="F103" s="155"/>
      <c r="G103" s="155"/>
      <c r="H103" s="159"/>
      <c r="J103" s="154">
        <v>705</v>
      </c>
      <c r="K103" s="182">
        <v>0.6759</v>
      </c>
      <c r="L103" s="117"/>
      <c r="M103" s="117"/>
      <c r="N103" s="117"/>
      <c r="O103" s="117"/>
      <c r="P103" s="183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203"/>
      <c r="AI103" s="200">
        <f t="shared" si="8"/>
        <v>0.6759</v>
      </c>
      <c r="AJ103" s="201" t="e">
        <f t="shared" si="9"/>
        <v>#N/A</v>
      </c>
      <c r="AK103" s="202">
        <f>HLOOKUP($J$17,'MCS standard curve'!$B$3:$T$104,($J103-270)/5,FALSE)</f>
        <v>0</v>
      </c>
    </row>
    <row r="104" ht="2.1" customHeight="1" spans="2:37">
      <c r="B104" s="154"/>
      <c r="C104" s="155"/>
      <c r="D104" s="155"/>
      <c r="E104" s="155"/>
      <c r="F104" s="155"/>
      <c r="G104" s="155"/>
      <c r="H104" s="159"/>
      <c r="J104" s="154">
        <v>710</v>
      </c>
      <c r="K104" s="182">
        <v>0.6853</v>
      </c>
      <c r="L104" s="117"/>
      <c r="M104" s="117"/>
      <c r="N104" s="117"/>
      <c r="O104" s="117"/>
      <c r="P104" s="183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203"/>
      <c r="AI104" s="200">
        <f t="shared" si="8"/>
        <v>0.6853</v>
      </c>
      <c r="AJ104" s="201" t="e">
        <f t="shared" si="9"/>
        <v>#N/A</v>
      </c>
      <c r="AK104" s="202">
        <f>HLOOKUP($J$17,'MCS standard curve'!$B$3:$T$104,($J104-270)/5,FALSE)</f>
        <v>0</v>
      </c>
    </row>
    <row r="105" ht="2.1" customHeight="1" spans="2:37">
      <c r="B105" s="154"/>
      <c r="C105" s="155"/>
      <c r="D105" s="155"/>
      <c r="E105" s="155"/>
      <c r="F105" s="155"/>
      <c r="G105" s="155"/>
      <c r="H105" s="159"/>
      <c r="J105" s="154">
        <v>715</v>
      </c>
      <c r="K105" s="182">
        <v>0.7299</v>
      </c>
      <c r="L105" s="117"/>
      <c r="M105" s="117"/>
      <c r="N105" s="117"/>
      <c r="O105" s="117"/>
      <c r="P105" s="183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203"/>
      <c r="AI105" s="200">
        <f t="shared" si="8"/>
        <v>0.7299</v>
      </c>
      <c r="AJ105" s="201" t="e">
        <f t="shared" si="9"/>
        <v>#N/A</v>
      </c>
      <c r="AK105" s="202">
        <f>HLOOKUP($J$17,'MCS standard curve'!$B$3:$T$104,($J105-270)/5,FALSE)</f>
        <v>0</v>
      </c>
    </row>
    <row r="106" ht="2.1" customHeight="1" spans="2:37">
      <c r="B106" s="154"/>
      <c r="C106" s="155"/>
      <c r="D106" s="155"/>
      <c r="E106" s="155"/>
      <c r="F106" s="155"/>
      <c r="G106" s="155"/>
      <c r="H106" s="159"/>
      <c r="J106" s="154">
        <v>720</v>
      </c>
      <c r="K106" s="182">
        <v>0.8635</v>
      </c>
      <c r="L106" s="117"/>
      <c r="M106" s="117"/>
      <c r="N106" s="117"/>
      <c r="O106" s="117"/>
      <c r="P106" s="183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203"/>
      <c r="AI106" s="200">
        <f t="shared" si="8"/>
        <v>0.8635</v>
      </c>
      <c r="AJ106" s="201" t="e">
        <f t="shared" si="9"/>
        <v>#N/A</v>
      </c>
      <c r="AK106" s="202">
        <f>HLOOKUP($J$17,'MCS standard curve'!$B$3:$T$104,($J106-270)/5,FALSE)</f>
        <v>0</v>
      </c>
    </row>
    <row r="107" ht="2.1" customHeight="1" spans="2:37">
      <c r="B107" s="154"/>
      <c r="C107" s="155"/>
      <c r="D107" s="155"/>
      <c r="E107" s="155"/>
      <c r="F107" s="155"/>
      <c r="G107" s="155"/>
      <c r="H107" s="159"/>
      <c r="J107" s="154">
        <v>725</v>
      </c>
      <c r="K107" s="182">
        <v>1.0602</v>
      </c>
      <c r="L107" s="117"/>
      <c r="M107" s="117"/>
      <c r="N107" s="117"/>
      <c r="O107" s="117"/>
      <c r="P107" s="183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203"/>
      <c r="AI107" s="200">
        <f t="shared" si="8"/>
        <v>1.0602</v>
      </c>
      <c r="AJ107" s="201" t="e">
        <f t="shared" si="9"/>
        <v>#N/A</v>
      </c>
      <c r="AK107" s="202">
        <f>HLOOKUP($J$17,'MCS standard curve'!$B$3:$T$104,($J107-270)/5,FALSE)</f>
        <v>0</v>
      </c>
    </row>
    <row r="108" ht="2.1" customHeight="1" spans="2:37">
      <c r="B108" s="154"/>
      <c r="C108" s="155"/>
      <c r="D108" s="155"/>
      <c r="E108" s="155"/>
      <c r="F108" s="155"/>
      <c r="G108" s="155"/>
      <c r="H108" s="159"/>
      <c r="J108" s="154">
        <v>730</v>
      </c>
      <c r="K108" s="182">
        <v>1.2868</v>
      </c>
      <c r="L108" s="117"/>
      <c r="M108" s="117"/>
      <c r="N108" s="117"/>
      <c r="O108" s="117"/>
      <c r="P108" s="183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203"/>
      <c r="AI108" s="200">
        <f t="shared" si="8"/>
        <v>1.2868</v>
      </c>
      <c r="AJ108" s="201" t="e">
        <f t="shared" si="9"/>
        <v>#N/A</v>
      </c>
      <c r="AK108" s="202">
        <f>HLOOKUP($J$17,'MCS standard curve'!$B$3:$T$104,($J108-270)/5,FALSE)</f>
        <v>0</v>
      </c>
    </row>
    <row r="109" ht="2.1" customHeight="1" spans="2:37">
      <c r="B109" s="154"/>
      <c r="C109" s="155"/>
      <c r="D109" s="155"/>
      <c r="E109" s="155"/>
      <c r="F109" s="155"/>
      <c r="G109" s="155"/>
      <c r="H109" s="159"/>
      <c r="J109" s="154">
        <v>735</v>
      </c>
      <c r="K109" s="182">
        <v>1.5079</v>
      </c>
      <c r="L109" s="117"/>
      <c r="M109" s="117"/>
      <c r="N109" s="117"/>
      <c r="O109" s="117"/>
      <c r="P109" s="183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203"/>
      <c r="AI109" s="200">
        <f t="shared" si="8"/>
        <v>1.5079</v>
      </c>
      <c r="AJ109" s="201" t="e">
        <f t="shared" si="9"/>
        <v>#N/A</v>
      </c>
      <c r="AK109" s="202">
        <f>HLOOKUP($J$17,'MCS standard curve'!$B$3:$T$104,($J109-270)/5,FALSE)</f>
        <v>0</v>
      </c>
    </row>
    <row r="110" ht="2.1" customHeight="1" spans="2:37">
      <c r="B110" s="154"/>
      <c r="C110" s="155"/>
      <c r="D110" s="155"/>
      <c r="E110" s="155"/>
      <c r="F110" s="155"/>
      <c r="G110" s="155"/>
      <c r="H110" s="159"/>
      <c r="J110" s="154">
        <v>740</v>
      </c>
      <c r="K110" s="182">
        <v>1.6878</v>
      </c>
      <c r="L110" s="117"/>
      <c r="M110" s="117"/>
      <c r="N110" s="117"/>
      <c r="O110" s="117"/>
      <c r="P110" s="183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203"/>
      <c r="AI110" s="200">
        <f t="shared" si="8"/>
        <v>1.6878</v>
      </c>
      <c r="AJ110" s="201" t="e">
        <f t="shared" si="9"/>
        <v>#N/A</v>
      </c>
      <c r="AK110" s="202">
        <f>HLOOKUP($J$17,'MCS standard curve'!$B$3:$T$104,($J110-270)/5,FALSE)</f>
        <v>0</v>
      </c>
    </row>
    <row r="111" ht="2.1" customHeight="1" spans="2:37">
      <c r="B111" s="154"/>
      <c r="C111" s="155"/>
      <c r="D111" s="155"/>
      <c r="E111" s="155"/>
      <c r="F111" s="155"/>
      <c r="G111" s="155"/>
      <c r="H111" s="159"/>
      <c r="J111" s="154">
        <v>745</v>
      </c>
      <c r="K111" s="182">
        <v>1.796</v>
      </c>
      <c r="L111" s="117"/>
      <c r="M111" s="117"/>
      <c r="N111" s="117"/>
      <c r="O111" s="117"/>
      <c r="P111" s="183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203"/>
      <c r="AI111" s="200">
        <f t="shared" si="8"/>
        <v>1.796</v>
      </c>
      <c r="AJ111" s="201" t="e">
        <f t="shared" si="9"/>
        <v>#N/A</v>
      </c>
      <c r="AK111" s="202">
        <f>HLOOKUP($J$17,'MCS standard curve'!$B$3:$T$104,($J111-270)/5,FALSE)</f>
        <v>0</v>
      </c>
    </row>
    <row r="112" ht="21.95" customHeight="1" spans="2:42">
      <c r="B112" s="154"/>
      <c r="C112" s="155"/>
      <c r="D112" s="155"/>
      <c r="E112" s="155"/>
      <c r="F112" s="155"/>
      <c r="G112" s="155"/>
      <c r="H112" s="159"/>
      <c r="J112" s="178">
        <v>750</v>
      </c>
      <c r="K112" s="182">
        <v>1.8607</v>
      </c>
      <c r="L112" s="117"/>
      <c r="M112" s="117"/>
      <c r="N112" s="117"/>
      <c r="O112" s="117"/>
      <c r="P112" s="183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203"/>
      <c r="AI112" s="200">
        <f t="shared" si="8"/>
        <v>1.8607</v>
      </c>
      <c r="AJ112" s="201" t="e">
        <f t="shared" si="9"/>
        <v>#N/A</v>
      </c>
      <c r="AK112" s="202">
        <f>HLOOKUP($J$17,'MCS standard curve'!$B$3:$T$104,($J112-270)/5,FALSE)</f>
        <v>0</v>
      </c>
      <c r="AP112" s="236"/>
    </row>
    <row r="113" ht="2.1" customHeight="1" spans="2:37">
      <c r="B113" s="154"/>
      <c r="C113" s="155"/>
      <c r="D113" s="155"/>
      <c r="E113" s="155"/>
      <c r="F113" s="155"/>
      <c r="G113" s="155"/>
      <c r="H113" s="159"/>
      <c r="J113" s="154">
        <v>755</v>
      </c>
      <c r="K113" s="182">
        <v>1.9102</v>
      </c>
      <c r="L113" s="117"/>
      <c r="M113" s="117"/>
      <c r="N113" s="117"/>
      <c r="O113" s="117"/>
      <c r="P113" s="183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203"/>
      <c r="AI113" s="200">
        <f t="shared" si="8"/>
        <v>1.9102</v>
      </c>
      <c r="AJ113" s="201" t="e">
        <f t="shared" si="9"/>
        <v>#N/A</v>
      </c>
      <c r="AK113" s="202">
        <f>HLOOKUP($J$17,'MCS standard curve'!$B$3:$T$104,($J113-270)/5,FALSE)</f>
        <v>0</v>
      </c>
    </row>
    <row r="114" ht="2.1" customHeight="1" spans="2:37">
      <c r="B114" s="154"/>
      <c r="C114" s="155"/>
      <c r="D114" s="155"/>
      <c r="E114" s="155"/>
      <c r="F114" s="155"/>
      <c r="G114" s="155"/>
      <c r="H114" s="159"/>
      <c r="J114" s="154">
        <v>760</v>
      </c>
      <c r="K114" s="182">
        <v>1.9837</v>
      </c>
      <c r="L114" s="117"/>
      <c r="M114" s="117"/>
      <c r="N114" s="117"/>
      <c r="O114" s="117"/>
      <c r="P114" s="183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203"/>
      <c r="AI114" s="200">
        <f t="shared" si="8"/>
        <v>1.9837</v>
      </c>
      <c r="AJ114" s="201" t="e">
        <f t="shared" si="9"/>
        <v>#N/A</v>
      </c>
      <c r="AK114" s="202">
        <f>HLOOKUP($J$17,'MCS standard curve'!$B$3:$T$104,($J114-270)/5,FALSE)</f>
        <v>0</v>
      </c>
    </row>
    <row r="115" ht="2.1" customHeight="1" spans="2:37">
      <c r="B115" s="154"/>
      <c r="C115" s="155"/>
      <c r="D115" s="155"/>
      <c r="E115" s="155"/>
      <c r="F115" s="155"/>
      <c r="G115" s="155"/>
      <c r="H115" s="159"/>
      <c r="J115" s="154">
        <v>765</v>
      </c>
      <c r="K115" s="182">
        <v>2.1231</v>
      </c>
      <c r="L115" s="117"/>
      <c r="M115" s="117"/>
      <c r="N115" s="117"/>
      <c r="O115" s="117"/>
      <c r="P115" s="183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203"/>
      <c r="AI115" s="200">
        <f t="shared" si="8"/>
        <v>2.1231</v>
      </c>
      <c r="AJ115" s="201" t="e">
        <f t="shared" si="9"/>
        <v>#N/A</v>
      </c>
      <c r="AK115" s="202">
        <f>HLOOKUP($J$17,'MCS standard curve'!$B$3:$T$104,($J115-270)/5,FALSE)</f>
        <v>0</v>
      </c>
    </row>
    <row r="116" ht="2.1" customHeight="1" spans="2:37">
      <c r="B116" s="154"/>
      <c r="C116" s="155"/>
      <c r="D116" s="155"/>
      <c r="E116" s="155"/>
      <c r="F116" s="155"/>
      <c r="G116" s="155"/>
      <c r="H116" s="159"/>
      <c r="J116" s="154">
        <v>770</v>
      </c>
      <c r="K116" s="182">
        <v>2.3568</v>
      </c>
      <c r="L116" s="117"/>
      <c r="M116" s="117"/>
      <c r="N116" s="117"/>
      <c r="O116" s="117"/>
      <c r="P116" s="183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203"/>
      <c r="AI116" s="200">
        <f t="shared" si="8"/>
        <v>2.3568</v>
      </c>
      <c r="AJ116" s="201" t="e">
        <f t="shared" si="9"/>
        <v>#N/A</v>
      </c>
      <c r="AK116" s="202">
        <f>HLOOKUP($J$17,'MCS standard curve'!$B$3:$T$104,($J116-270)/5,FALSE)</f>
        <v>0</v>
      </c>
    </row>
    <row r="117" ht="2.1" customHeight="1" spans="2:37">
      <c r="B117" s="154"/>
      <c r="C117" s="155"/>
      <c r="D117" s="155"/>
      <c r="E117" s="155"/>
      <c r="F117" s="155"/>
      <c r="G117" s="155"/>
      <c r="H117" s="159"/>
      <c r="J117" s="154">
        <v>775</v>
      </c>
      <c r="K117" s="182">
        <v>2.6584</v>
      </c>
      <c r="L117" s="117"/>
      <c r="M117" s="117"/>
      <c r="N117" s="117"/>
      <c r="O117" s="117"/>
      <c r="P117" s="183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203"/>
      <c r="AI117" s="200">
        <f t="shared" si="8"/>
        <v>2.6584</v>
      </c>
      <c r="AJ117" s="201" t="e">
        <f t="shared" si="9"/>
        <v>#N/A</v>
      </c>
      <c r="AK117" s="202">
        <f>HLOOKUP($J$17,'MCS standard curve'!$B$3:$T$104,($J117-270)/5,FALSE)</f>
        <v>0</v>
      </c>
    </row>
    <row r="118" ht="21.95" customHeight="1" spans="2:37">
      <c r="B118" s="154"/>
      <c r="C118" s="155"/>
      <c r="D118" s="155"/>
      <c r="E118" s="155"/>
      <c r="F118" s="155"/>
      <c r="G118" s="155"/>
      <c r="H118" s="159"/>
      <c r="J118" s="220">
        <v>780</v>
      </c>
      <c r="K118" s="221">
        <v>2.9739</v>
      </c>
      <c r="L118" s="222"/>
      <c r="M118" s="222"/>
      <c r="N118" s="222"/>
      <c r="O118" s="222"/>
      <c r="P118" s="223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33"/>
      <c r="AI118" s="200">
        <f t="shared" si="8"/>
        <v>2.9739</v>
      </c>
      <c r="AJ118" s="201" t="e">
        <f t="shared" si="9"/>
        <v>#N/A</v>
      </c>
      <c r="AK118" s="202">
        <f>HLOOKUP($J$17,'MCS standard curve'!$B$3:$T$104,($J118-270)/5,FALSE)</f>
        <v>0</v>
      </c>
    </row>
    <row r="119" ht="18" customHeight="1" spans="2:37">
      <c r="B119" s="154"/>
      <c r="C119" s="155"/>
      <c r="D119" s="155"/>
      <c r="E119" s="155"/>
      <c r="F119" s="155"/>
      <c r="G119" s="204">
        <f>IF($C$4="","",$C$4)</f>
        <v>1</v>
      </c>
      <c r="H119" s="205" t="str">
        <f>IF($D$4="","",$D$4)</f>
        <v/>
      </c>
      <c r="J119" s="155"/>
      <c r="K119" s="117"/>
      <c r="L119" s="117"/>
      <c r="M119" s="117"/>
      <c r="N119" s="117"/>
      <c r="O119" s="117"/>
      <c r="P119" s="183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234"/>
      <c r="AJ119" s="234"/>
      <c r="AK119" s="235"/>
    </row>
    <row r="120" ht="18" customHeight="1" spans="2:37">
      <c r="B120" s="154"/>
      <c r="C120" s="155"/>
      <c r="D120" s="155"/>
      <c r="E120" s="155"/>
      <c r="F120" s="206" t="s">
        <v>23</v>
      </c>
      <c r="G120" s="207">
        <f>IFERROR(HLOOKUP(C$4,$J$17:$AH$124,105,FALSE),"")</f>
        <v>23.1407718036835</v>
      </c>
      <c r="H120" s="208" t="str">
        <f>IFERROR(HLOOKUP(D$4,$J$17:$AH$124,105,FALSE),"")</f>
        <v/>
      </c>
      <c r="J120" s="174" t="s">
        <v>24</v>
      </c>
      <c r="K120" s="162"/>
      <c r="L120" s="163"/>
      <c r="M120" s="224" t="s">
        <v>25</v>
      </c>
      <c r="N120" s="225" t="s">
        <v>26</v>
      </c>
      <c r="O120" s="117"/>
      <c r="P120" s="183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234"/>
      <c r="AJ120" s="234"/>
      <c r="AK120" s="235"/>
    </row>
    <row r="121" ht="18" customHeight="1" spans="2:37">
      <c r="B121" s="209"/>
      <c r="C121" s="210"/>
      <c r="D121" s="211"/>
      <c r="E121" s="155"/>
      <c r="F121" s="212" t="s">
        <v>27</v>
      </c>
      <c r="G121" s="213">
        <f>IFERROR(HLOOKUP(C$4,$J$17:$AH$124,106,FALSE),"")</f>
        <v>2.72917449033896</v>
      </c>
      <c r="H121" s="214" t="str">
        <f>IFERROR(HLOOKUP(D$4,$J$17:$AH$124,106,FALSE),"")</f>
        <v/>
      </c>
      <c r="J121" s="107" t="s">
        <v>23</v>
      </c>
      <c r="K121" s="226">
        <f>IF(K$38="","",SUMPRODUCT(K$21:K$38,'RUV cal.'!$E$2:$E$19)/SUM('RUV cal.'!$E$2:$E$19))</f>
        <v>23.1407718036835</v>
      </c>
      <c r="L121" s="226" t="str">
        <f>IF(L$38="","",SUMPRODUCT(L$21:L$38,'RUV cal.'!$E$2:$E$19)/SUM('RUV cal.'!$E$2:$E$19))</f>
        <v/>
      </c>
      <c r="M121" s="226" t="str">
        <f>IF(M$38="","",SUMPRODUCT(M$21:M$38,'RUV cal.'!$E$2:$E$19)/SUM('RUV cal.'!$E$2:$E$19))</f>
        <v/>
      </c>
      <c r="N121" s="226" t="str">
        <f>IF(N$38="","",SUMPRODUCT(N$21:N$38,'RUV cal.'!$E$2:$E$19)/SUM('RUV cal.'!$E$2:$E$19))</f>
        <v/>
      </c>
      <c r="O121" s="226" t="str">
        <f>IF(O$38="","",SUMPRODUCT(O$21:O$38,'RUV cal.'!$E$2:$E$19)/SUM('RUV cal.'!$E$2:$E$19))</f>
        <v/>
      </c>
      <c r="P121" s="226" t="str">
        <f>IF(P$38="","",SUMPRODUCT(P$21:P$38,'RUV cal.'!$E$2:$E$19)/SUM('RUV cal.'!$E$2:$E$19))</f>
        <v/>
      </c>
      <c r="Q121" s="226" t="str">
        <f>IF(Q$38="","",SUMPRODUCT(Q$21:Q$38,'RUV cal.'!$E$2:$E$19)/SUM('RUV cal.'!$E$2:$E$19))</f>
        <v/>
      </c>
      <c r="R121" s="226" t="str">
        <f>IF(R$38="","",SUMPRODUCT(R$21:R$38,'RUV cal.'!$E$2:$E$19)/SUM('RUV cal.'!$E$2:$E$19))</f>
        <v/>
      </c>
      <c r="S121" s="226" t="str">
        <f>IF(S$38="","",SUMPRODUCT(S$21:S$38,'RUV cal.'!$E$2:$E$19)/SUM('RUV cal.'!$E$2:$E$19))</f>
        <v/>
      </c>
      <c r="T121" s="226" t="str">
        <f>IF(T$38="","",SUMPRODUCT(T$21:T$38,'RUV cal.'!$E$2:$E$19)/SUM('RUV cal.'!$E$2:$E$19))</f>
        <v/>
      </c>
      <c r="U121" s="226" t="str">
        <f>IF(U$38="","",SUMPRODUCT(U$21:U$38,'RUV cal.'!$E$2:$E$19)/SUM('RUV cal.'!$E$2:$E$19))</f>
        <v/>
      </c>
      <c r="V121" s="226" t="str">
        <f>IF(V$38="","",SUMPRODUCT(V$21:V$38,'RUV cal.'!$E$2:$E$19)/SUM('RUV cal.'!$E$2:$E$19))</f>
        <v/>
      </c>
      <c r="W121" s="226" t="str">
        <f>IF(W$38="","",SUMPRODUCT(W$21:W$38,'RUV cal.'!$E$2:$E$19)/SUM('RUV cal.'!$E$2:$E$19))</f>
        <v/>
      </c>
      <c r="X121" s="226" t="str">
        <f>IF(X$38="","",SUMPRODUCT(X$21:X$38,'RUV cal.'!$E$2:$E$19)/SUM('RUV cal.'!$E$2:$E$19))</f>
        <v/>
      </c>
      <c r="Y121" s="226" t="str">
        <f>IF(Y$38="","",SUMPRODUCT(Y$21:Y$38,'RUV cal.'!$E$2:$E$19)/SUM('RUV cal.'!$E$2:$E$19))</f>
        <v/>
      </c>
      <c r="Z121" s="226" t="str">
        <f>IF(Z$38="","",SUMPRODUCT(Z$21:Z$38,'RUV cal.'!$E$2:$E$19)/SUM('RUV cal.'!$E$2:$E$19))</f>
        <v/>
      </c>
      <c r="AA121" s="226" t="str">
        <f>IF(AA$38="","",SUMPRODUCT(AA$21:AA$38,'RUV cal.'!$E$2:$E$19)/SUM('RUV cal.'!$E$2:$E$19))</f>
        <v/>
      </c>
      <c r="AB121" s="226" t="str">
        <f>IF(AB$38="","",SUMPRODUCT(AB$21:AB$38,'RUV cal.'!$E$2:$E$19)/SUM('RUV cal.'!$E$2:$E$19))</f>
        <v/>
      </c>
      <c r="AC121" s="226" t="str">
        <f>IF(AC$38="","",SUMPRODUCT(AC$21:AC$38,'RUV cal.'!$E$2:$E$19)/SUM('RUV cal.'!$E$2:$E$19))</f>
        <v/>
      </c>
      <c r="AD121" s="226" t="str">
        <f>IF(AD$38="","",SUMPRODUCT(AD$21:AD$38,'RUV cal.'!$E$2:$E$19)/SUM('RUV cal.'!$E$2:$E$19))</f>
        <v/>
      </c>
      <c r="AE121" s="226" t="str">
        <f>IF(AE$38="","",SUMPRODUCT(AE$21:AE$38,'RUV cal.'!$E$2:$E$19)/SUM('RUV cal.'!$E$2:$E$19))</f>
        <v/>
      </c>
      <c r="AF121" s="226" t="str">
        <f>IF(AF$38="","",SUMPRODUCT(AF$21:AF$38,'RUV cal.'!$E$2:$E$19)/SUM('RUV cal.'!$E$2:$E$19))</f>
        <v/>
      </c>
      <c r="AG121" s="226" t="str">
        <f>IF(AG$38="","",SUMPRODUCT(AG$21:AG$38,'RUV cal.'!$E$2:$E$19)/SUM('RUV cal.'!$E$2:$E$19))</f>
        <v/>
      </c>
      <c r="AH121" s="226" t="str">
        <f>IF(AH$38="","",SUMPRODUCT(AH$21:AH$38,'RUV cal.'!$E$2:$E$19)/SUM('RUV cal.'!$E$2:$E$19))</f>
        <v/>
      </c>
      <c r="AI121" s="234"/>
      <c r="AJ121" s="234"/>
      <c r="AK121" s="235"/>
    </row>
    <row r="122" ht="18" customHeight="1" spans="2:37">
      <c r="B122" s="154"/>
      <c r="C122" s="155"/>
      <c r="D122" s="155"/>
      <c r="E122" s="155"/>
      <c r="F122" s="212" t="s">
        <v>28</v>
      </c>
      <c r="G122" s="213">
        <f>IFERROR(HLOOKUP(C$4,$J$17:$AH$124,107,FALSE),"")</f>
        <v>-0.613330005278204</v>
      </c>
      <c r="H122" s="214" t="str">
        <f>IFERROR(HLOOKUP(D$4,$J$17:$AH$124,107,FALSE),"")</f>
        <v/>
      </c>
      <c r="J122" s="227" t="s">
        <v>27</v>
      </c>
      <c r="K122" s="228">
        <f>IF(K38="","",IF(((SUMPRODUCT(K38:K118,'Lab value_Cal.'!$F20:$F100,'Lab value_Cal.'!$I20:$I100))/(100*(SUMPRODUCT('Lab value_Cal.'!$F$20:$F$100,'Lab value_Cal.'!$I20:$I100))))&gt;0.008856,116*((SUMPRODUCT(K38:K118,'Lab value_Cal.'!$F20:$F100,'Lab value_Cal.'!$I20:$I100))/(100*(SUMPRODUCT('Lab value_Cal.'!$F20:$F100,'Lab value_Cal.'!$I20:$I100))))^(1/3)-16,903.3*((SUMPRODUCT(K38:K118,'Lab value_Cal.'!$F20:$F100,'Lab value_Cal.'!$I20:$I100))/(100*(SUMPRODUCT('Lab value_Cal.'!$F20:$F100,'Lab value_Cal.'!$I20:$I100))))))</f>
        <v>2.72917449033896</v>
      </c>
      <c r="L122" s="228" t="str">
        <f>IF(L38="","",IF(((SUMPRODUCT(L38:L118,'Lab value_Cal.'!$F20:$F100,'Lab value_Cal.'!$I20:$I100))/(100*(SUMPRODUCT('Lab value_Cal.'!$F$20:$F$100,'Lab value_Cal.'!$I20:$I100))))&gt;0.008856,116*((SUMPRODUCT(L38:L118,'Lab value_Cal.'!$F20:$F100,'Lab value_Cal.'!$I20:$I100))/(100*(SUMPRODUCT('Lab value_Cal.'!$F20:$F100,'Lab value_Cal.'!$I20:$I100))))^(1/3)-16,903.3*((SUMPRODUCT(L38:L118,'Lab value_Cal.'!$F20:$F100,'Lab value_Cal.'!$I20:$I100))/(100*(SUMPRODUCT('Lab value_Cal.'!$F20:$F100,'Lab value_Cal.'!$I20:$I100))))))</f>
        <v/>
      </c>
      <c r="M122" s="228" t="str">
        <f>IF(M38="","",IF(((SUMPRODUCT(M38:M118,'Lab value_Cal.'!$F20:$F100,'Lab value_Cal.'!$I20:$I100))/(100*(SUMPRODUCT('Lab value_Cal.'!$F$20:$F$100,'Lab value_Cal.'!$I20:$I100))))&gt;0.008856,116*((SUMPRODUCT(M38:M118,'Lab value_Cal.'!$F20:$F100,'Lab value_Cal.'!$I20:$I100))/(100*(SUMPRODUCT('Lab value_Cal.'!$F20:$F100,'Lab value_Cal.'!$I20:$I100))))^(1/3)-16,903.3*((SUMPRODUCT(M38:M118,'Lab value_Cal.'!$F20:$F100,'Lab value_Cal.'!$I20:$I100))/(100*(SUMPRODUCT('Lab value_Cal.'!$F20:$F100,'Lab value_Cal.'!$I20:$I100))))))</f>
        <v/>
      </c>
      <c r="N122" s="228" t="str">
        <f>IF(N38="","",IF(((SUMPRODUCT(N38:N118,'Lab value_Cal.'!$F20:$F100,'Lab value_Cal.'!$I20:$I100))/(100*(SUMPRODUCT('Lab value_Cal.'!$F$20:$F$100,'Lab value_Cal.'!$I20:$I100))))&gt;0.008856,116*((SUMPRODUCT(N38:N118,'Lab value_Cal.'!$F20:$F100,'Lab value_Cal.'!$I20:$I100))/(100*(SUMPRODUCT('Lab value_Cal.'!$F20:$F100,'Lab value_Cal.'!$I20:$I100))))^(1/3)-16,903.3*((SUMPRODUCT(N38:N118,'Lab value_Cal.'!$F20:$F100,'Lab value_Cal.'!$I20:$I100))/(100*(SUMPRODUCT('Lab value_Cal.'!$F20:$F100,'Lab value_Cal.'!$I20:$I100))))))</f>
        <v/>
      </c>
      <c r="O122" s="228" t="str">
        <f>IF(O38="","",IF(((SUMPRODUCT(O38:O118,'Lab value_Cal.'!$F20:$F100,'Lab value_Cal.'!$I20:$I100))/(100*(SUMPRODUCT('Lab value_Cal.'!$F$20:$F$100,'Lab value_Cal.'!$I20:$I100))))&gt;0.008856,116*((SUMPRODUCT(O38:O118,'Lab value_Cal.'!$F20:$F100,'Lab value_Cal.'!$I20:$I100))/(100*(SUMPRODUCT('Lab value_Cal.'!$F20:$F100,'Lab value_Cal.'!$I20:$I100))))^(1/3)-16,903.3*((SUMPRODUCT(O38:O118,'Lab value_Cal.'!$F20:$F100,'Lab value_Cal.'!$I20:$I100))/(100*(SUMPRODUCT('Lab value_Cal.'!$F20:$F100,'Lab value_Cal.'!$I20:$I100))))))</f>
        <v/>
      </c>
      <c r="P122" s="228" t="str">
        <f>IF(P38="","",IF(((SUMPRODUCT(P38:P118,'Lab value_Cal.'!$F20:$F100,'Lab value_Cal.'!$I20:$I100))/(100*(SUMPRODUCT('Lab value_Cal.'!$F$20:$F$100,'Lab value_Cal.'!$I20:$I100))))&gt;0.008856,116*((SUMPRODUCT(P38:P118,'Lab value_Cal.'!$F20:$F100,'Lab value_Cal.'!$I20:$I100))/(100*(SUMPRODUCT('Lab value_Cal.'!$F20:$F100,'Lab value_Cal.'!$I20:$I100))))^(1/3)-16,903.3*((SUMPRODUCT(P38:P118,'Lab value_Cal.'!$F20:$F100,'Lab value_Cal.'!$I20:$I100))/(100*(SUMPRODUCT('Lab value_Cal.'!$F20:$F100,'Lab value_Cal.'!$I20:$I100))))))</f>
        <v/>
      </c>
      <c r="Q122" s="228" t="str">
        <f>IF(Q38="","",IF(((SUMPRODUCT(Q38:Q118,'Lab value_Cal.'!$F20:$F100,'Lab value_Cal.'!$I20:$I100))/(100*(SUMPRODUCT('Lab value_Cal.'!$F$20:$F$100,'Lab value_Cal.'!$I20:$I100))))&gt;0.008856,116*((SUMPRODUCT(Q38:Q118,'Lab value_Cal.'!$F20:$F100,'Lab value_Cal.'!$I20:$I100))/(100*(SUMPRODUCT('Lab value_Cal.'!$F20:$F100,'Lab value_Cal.'!$I20:$I100))))^(1/3)-16,903.3*((SUMPRODUCT(Q38:Q118,'Lab value_Cal.'!$F20:$F100,'Lab value_Cal.'!$I20:$I100))/(100*(SUMPRODUCT('Lab value_Cal.'!$F20:$F100,'Lab value_Cal.'!$I20:$I100))))))</f>
        <v/>
      </c>
      <c r="R122" s="228" t="str">
        <f>IF(R38="","",IF(((SUMPRODUCT(R38:R118,'Lab value_Cal.'!$F20:$F100,'Lab value_Cal.'!$I20:$I100))/(100*(SUMPRODUCT('Lab value_Cal.'!$F$20:$F$100,'Lab value_Cal.'!$I20:$I100))))&gt;0.008856,116*((SUMPRODUCT(R38:R118,'Lab value_Cal.'!$F20:$F100,'Lab value_Cal.'!$I20:$I100))/(100*(SUMPRODUCT('Lab value_Cal.'!$F20:$F100,'Lab value_Cal.'!$I20:$I100))))^(1/3)-16,903.3*((SUMPRODUCT(R38:R118,'Lab value_Cal.'!$F20:$F100,'Lab value_Cal.'!$I20:$I100))/(100*(SUMPRODUCT('Lab value_Cal.'!$F20:$F100,'Lab value_Cal.'!$I20:$I100))))))</f>
        <v/>
      </c>
      <c r="S122" s="228" t="str">
        <f>IF(S38="","",IF(((SUMPRODUCT(S38:S118,'Lab value_Cal.'!$F20:$F100,'Lab value_Cal.'!$I20:$I100))/(100*(SUMPRODUCT('Lab value_Cal.'!$F$20:$F$100,'Lab value_Cal.'!$I20:$I100))))&gt;0.008856,116*((SUMPRODUCT(S38:S118,'Lab value_Cal.'!$F20:$F100,'Lab value_Cal.'!$I20:$I100))/(100*(SUMPRODUCT('Lab value_Cal.'!$F20:$F100,'Lab value_Cal.'!$I20:$I100))))^(1/3)-16,903.3*((SUMPRODUCT(S38:S118,'Lab value_Cal.'!$F20:$F100,'Lab value_Cal.'!$I20:$I100))/(100*(SUMPRODUCT('Lab value_Cal.'!$F20:$F100,'Lab value_Cal.'!$I20:$I100))))))</f>
        <v/>
      </c>
      <c r="T122" s="228" t="str">
        <f>IF(T38="","",IF(((SUMPRODUCT(T38:T118,'Lab value_Cal.'!$F20:$F100,'Lab value_Cal.'!$I20:$I100))/(100*(SUMPRODUCT('Lab value_Cal.'!$F$20:$F$100,'Lab value_Cal.'!$I20:$I100))))&gt;0.008856,116*((SUMPRODUCT(T38:T118,'Lab value_Cal.'!$F20:$F100,'Lab value_Cal.'!$I20:$I100))/(100*(SUMPRODUCT('Lab value_Cal.'!$F20:$F100,'Lab value_Cal.'!$I20:$I100))))^(1/3)-16,903.3*((SUMPRODUCT(T38:T118,'Lab value_Cal.'!$F20:$F100,'Lab value_Cal.'!$I20:$I100))/(100*(SUMPRODUCT('Lab value_Cal.'!$F20:$F100,'Lab value_Cal.'!$I20:$I100))))))</f>
        <v/>
      </c>
      <c r="U122" s="228" t="str">
        <f>IF(U38="","",IF(((SUMPRODUCT(U38:U118,'Lab value_Cal.'!$F20:$F100,'Lab value_Cal.'!$I20:$I100))/(100*(SUMPRODUCT('Lab value_Cal.'!$F$20:$F$100,'Lab value_Cal.'!$I20:$I100))))&gt;0.008856,116*((SUMPRODUCT(U38:U118,'Lab value_Cal.'!$F20:$F100,'Lab value_Cal.'!$I20:$I100))/(100*(SUMPRODUCT('Lab value_Cal.'!$F20:$F100,'Lab value_Cal.'!$I20:$I100))))^(1/3)-16,903.3*((SUMPRODUCT(U38:U118,'Lab value_Cal.'!$F20:$F100,'Lab value_Cal.'!$I20:$I100))/(100*(SUMPRODUCT('Lab value_Cal.'!$F20:$F100,'Lab value_Cal.'!$I20:$I100))))))</f>
        <v/>
      </c>
      <c r="V122" s="228" t="str">
        <f>IF(V38="","",IF(((SUMPRODUCT(V38:V118,'Lab value_Cal.'!$F20:$F100,'Lab value_Cal.'!$I20:$I100))/(100*(SUMPRODUCT('Lab value_Cal.'!$F$20:$F$100,'Lab value_Cal.'!$I20:$I100))))&gt;0.008856,116*((SUMPRODUCT(V38:V118,'Lab value_Cal.'!$F20:$F100,'Lab value_Cal.'!$I20:$I100))/(100*(SUMPRODUCT('Lab value_Cal.'!$F20:$F100,'Lab value_Cal.'!$I20:$I100))))^(1/3)-16,903.3*((SUMPRODUCT(V38:V118,'Lab value_Cal.'!$F20:$F100,'Lab value_Cal.'!$I20:$I100))/(100*(SUMPRODUCT('Lab value_Cal.'!$F20:$F100,'Lab value_Cal.'!$I20:$I100))))))</f>
        <v/>
      </c>
      <c r="W122" s="228" t="str">
        <f>IF(W38="","",IF(((SUMPRODUCT(W38:W118,'Lab value_Cal.'!$F20:$F100,'Lab value_Cal.'!$I20:$I100))/(100*(SUMPRODUCT('Lab value_Cal.'!$F$20:$F$100,'Lab value_Cal.'!$I20:$I100))))&gt;0.008856,116*((SUMPRODUCT(W38:W118,'Lab value_Cal.'!$F20:$F100,'Lab value_Cal.'!$I20:$I100))/(100*(SUMPRODUCT('Lab value_Cal.'!$F20:$F100,'Lab value_Cal.'!$I20:$I100))))^(1/3)-16,903.3*((SUMPRODUCT(W38:W118,'Lab value_Cal.'!$F20:$F100,'Lab value_Cal.'!$I20:$I100))/(100*(SUMPRODUCT('Lab value_Cal.'!$F20:$F100,'Lab value_Cal.'!$I20:$I100))))))</f>
        <v/>
      </c>
      <c r="X122" s="228" t="str">
        <f>IF(X38="","",IF(((SUMPRODUCT(X38:X118,'Lab value_Cal.'!$F20:$F100,'Lab value_Cal.'!$I20:$I100))/(100*(SUMPRODUCT('Lab value_Cal.'!$F$20:$F$100,'Lab value_Cal.'!$I20:$I100))))&gt;0.008856,116*((SUMPRODUCT(X38:X118,'Lab value_Cal.'!$F20:$F100,'Lab value_Cal.'!$I20:$I100))/(100*(SUMPRODUCT('Lab value_Cal.'!$F20:$F100,'Lab value_Cal.'!$I20:$I100))))^(1/3)-16,903.3*((SUMPRODUCT(X38:X118,'Lab value_Cal.'!$F20:$F100,'Lab value_Cal.'!$I20:$I100))/(100*(SUMPRODUCT('Lab value_Cal.'!$F20:$F100,'Lab value_Cal.'!$I20:$I100))))))</f>
        <v/>
      </c>
      <c r="Y122" s="228" t="str">
        <f>IF(Y38="","",IF(((SUMPRODUCT(Y38:Y118,'Lab value_Cal.'!$F20:$F100,'Lab value_Cal.'!$I20:$I100))/(100*(SUMPRODUCT('Lab value_Cal.'!$F$20:$F$100,'Lab value_Cal.'!$I20:$I100))))&gt;0.008856,116*((SUMPRODUCT(Y38:Y118,'Lab value_Cal.'!$F20:$F100,'Lab value_Cal.'!$I20:$I100))/(100*(SUMPRODUCT('Lab value_Cal.'!$F20:$F100,'Lab value_Cal.'!$I20:$I100))))^(1/3)-16,903.3*((SUMPRODUCT(Y38:Y118,'Lab value_Cal.'!$F20:$F100,'Lab value_Cal.'!$I20:$I100))/(100*(SUMPRODUCT('Lab value_Cal.'!$F20:$F100,'Lab value_Cal.'!$I20:$I100))))))</f>
        <v/>
      </c>
      <c r="Z122" s="228" t="str">
        <f>IF(Z38="","",IF(((SUMPRODUCT(Z38:Z118,'Lab value_Cal.'!$F20:$F100,'Lab value_Cal.'!$I20:$I100))/(100*(SUMPRODUCT('Lab value_Cal.'!$F$20:$F$100,'Lab value_Cal.'!$I20:$I100))))&gt;0.008856,116*((SUMPRODUCT(Z38:Z118,'Lab value_Cal.'!$F20:$F100,'Lab value_Cal.'!$I20:$I100))/(100*(SUMPRODUCT('Lab value_Cal.'!$F20:$F100,'Lab value_Cal.'!$I20:$I100))))^(1/3)-16,903.3*((SUMPRODUCT(Z38:Z118,'Lab value_Cal.'!$F20:$F100,'Lab value_Cal.'!$I20:$I100))/(100*(SUMPRODUCT('Lab value_Cal.'!$F20:$F100,'Lab value_Cal.'!$I20:$I100))))))</f>
        <v/>
      </c>
      <c r="AA122" s="228" t="str">
        <f>IF(AA38="","",IF(((SUMPRODUCT(AA38:AA118,'Lab value_Cal.'!$F20:$F100,'Lab value_Cal.'!$I20:$I100))/(100*(SUMPRODUCT('Lab value_Cal.'!$F$20:$F$100,'Lab value_Cal.'!$I20:$I100))))&gt;0.008856,116*((SUMPRODUCT(AA38:AA118,'Lab value_Cal.'!$F20:$F100,'Lab value_Cal.'!$I20:$I100))/(100*(SUMPRODUCT('Lab value_Cal.'!$F20:$F100,'Lab value_Cal.'!$I20:$I100))))^(1/3)-16,903.3*((SUMPRODUCT(AA38:AA118,'Lab value_Cal.'!$F20:$F100,'Lab value_Cal.'!$I20:$I100))/(100*(SUMPRODUCT('Lab value_Cal.'!$F20:$F100,'Lab value_Cal.'!$I20:$I100))))))</f>
        <v/>
      </c>
      <c r="AB122" s="228" t="str">
        <f>IF(AB38="","",IF(((SUMPRODUCT(AB38:AB118,'Lab value_Cal.'!$F20:$F100,'Lab value_Cal.'!$I20:$I100))/(100*(SUMPRODUCT('Lab value_Cal.'!$F$20:$F$100,'Lab value_Cal.'!$I20:$I100))))&gt;0.008856,116*((SUMPRODUCT(AB38:AB118,'Lab value_Cal.'!$F20:$F100,'Lab value_Cal.'!$I20:$I100))/(100*(SUMPRODUCT('Lab value_Cal.'!$F20:$F100,'Lab value_Cal.'!$I20:$I100))))^(1/3)-16,903.3*((SUMPRODUCT(AB38:AB118,'Lab value_Cal.'!$F20:$F100,'Lab value_Cal.'!$I20:$I100))/(100*(SUMPRODUCT('Lab value_Cal.'!$F20:$F100,'Lab value_Cal.'!$I20:$I100))))))</f>
        <v/>
      </c>
      <c r="AC122" s="228" t="str">
        <f>IF(AC38="","",IF(((SUMPRODUCT(AC38:AC118,'Lab value_Cal.'!$F20:$F100,'Lab value_Cal.'!$I20:$I100))/(100*(SUMPRODUCT('Lab value_Cal.'!$F$20:$F$100,'Lab value_Cal.'!$I20:$I100))))&gt;0.008856,116*((SUMPRODUCT(AC38:AC118,'Lab value_Cal.'!$F20:$F100,'Lab value_Cal.'!$I20:$I100))/(100*(SUMPRODUCT('Lab value_Cal.'!$F20:$F100,'Lab value_Cal.'!$I20:$I100))))^(1/3)-16,903.3*((SUMPRODUCT(AC38:AC118,'Lab value_Cal.'!$F20:$F100,'Lab value_Cal.'!$I20:$I100))/(100*(SUMPRODUCT('Lab value_Cal.'!$F20:$F100,'Lab value_Cal.'!$I20:$I100))))))</f>
        <v/>
      </c>
      <c r="AD122" s="228" t="str">
        <f>IF(AD38="","",IF(((SUMPRODUCT(AD38:AD118,'Lab value_Cal.'!$F20:$F100,'Lab value_Cal.'!$I20:$I100))/(100*(SUMPRODUCT('Lab value_Cal.'!$F$20:$F$100,'Lab value_Cal.'!$I20:$I100))))&gt;0.008856,116*((SUMPRODUCT(AD38:AD118,'Lab value_Cal.'!$F20:$F100,'Lab value_Cal.'!$I20:$I100))/(100*(SUMPRODUCT('Lab value_Cal.'!$F20:$F100,'Lab value_Cal.'!$I20:$I100))))^(1/3)-16,903.3*((SUMPRODUCT(AD38:AD118,'Lab value_Cal.'!$F20:$F100,'Lab value_Cal.'!$I20:$I100))/(100*(SUMPRODUCT('Lab value_Cal.'!$F20:$F100,'Lab value_Cal.'!$I20:$I100))))))</f>
        <v/>
      </c>
      <c r="AE122" s="228" t="str">
        <f>IF(AE38="","",IF(((SUMPRODUCT(AE38:AE118,'Lab value_Cal.'!$F20:$F100,'Lab value_Cal.'!$I20:$I100))/(100*(SUMPRODUCT('Lab value_Cal.'!$F$20:$F$100,'Lab value_Cal.'!$I20:$I100))))&gt;0.008856,116*((SUMPRODUCT(AE38:AE118,'Lab value_Cal.'!$F20:$F100,'Lab value_Cal.'!$I20:$I100))/(100*(SUMPRODUCT('Lab value_Cal.'!$F20:$F100,'Lab value_Cal.'!$I20:$I100))))^(1/3)-16,903.3*((SUMPRODUCT(AE38:AE118,'Lab value_Cal.'!$F20:$F100,'Lab value_Cal.'!$I20:$I100))/(100*(SUMPRODUCT('Lab value_Cal.'!$F20:$F100,'Lab value_Cal.'!$I20:$I100))))))</f>
        <v/>
      </c>
      <c r="AF122" s="228" t="str">
        <f>IF(AF38="","",IF(((SUMPRODUCT(AF38:AF118,'Lab value_Cal.'!$F20:$F100,'Lab value_Cal.'!$I20:$I100))/(100*(SUMPRODUCT('Lab value_Cal.'!$F$20:$F$100,'Lab value_Cal.'!$I20:$I100))))&gt;0.008856,116*((SUMPRODUCT(AF38:AF118,'Lab value_Cal.'!$F20:$F100,'Lab value_Cal.'!$I20:$I100))/(100*(SUMPRODUCT('Lab value_Cal.'!$F20:$F100,'Lab value_Cal.'!$I20:$I100))))^(1/3)-16,903.3*((SUMPRODUCT(AF38:AF118,'Lab value_Cal.'!$F20:$F100,'Lab value_Cal.'!$I20:$I100))/(100*(SUMPRODUCT('Lab value_Cal.'!$F20:$F100,'Lab value_Cal.'!$I20:$I100))))))</f>
        <v/>
      </c>
      <c r="AG122" s="228" t="str">
        <f>IF(AG38="","",IF(((SUMPRODUCT(AG38:AG118,'Lab value_Cal.'!$F20:$F100,'Lab value_Cal.'!$I20:$I100))/(100*(SUMPRODUCT('Lab value_Cal.'!$F$20:$F$100,'Lab value_Cal.'!$I20:$I100))))&gt;0.008856,116*((SUMPRODUCT(AG38:AG118,'Lab value_Cal.'!$F20:$F100,'Lab value_Cal.'!$I20:$I100))/(100*(SUMPRODUCT('Lab value_Cal.'!$F20:$F100,'Lab value_Cal.'!$I20:$I100))))^(1/3)-16,903.3*((SUMPRODUCT(AG38:AG118,'Lab value_Cal.'!$F20:$F100,'Lab value_Cal.'!$I20:$I100))/(100*(SUMPRODUCT('Lab value_Cal.'!$F20:$F100,'Lab value_Cal.'!$I20:$I100))))))</f>
        <v/>
      </c>
      <c r="AH122" s="228" t="str">
        <f>IF(AH38="","",IF(((SUMPRODUCT(AH38:AH118,'Lab value_Cal.'!$F20:$F100,'Lab value_Cal.'!$I20:$I100))/(100*(SUMPRODUCT('Lab value_Cal.'!$F$20:$F$100,'Lab value_Cal.'!$I20:$I100))))&gt;0.008856,116*((SUMPRODUCT(AH38:AH118,'Lab value_Cal.'!$F20:$F100,'Lab value_Cal.'!$I20:$I100))/(100*(SUMPRODUCT('Lab value_Cal.'!$F20:$F100,'Lab value_Cal.'!$I20:$I100))))^(1/3)-16,903.3*((SUMPRODUCT(AH38:AH118,'Lab value_Cal.'!$F20:$F100,'Lab value_Cal.'!$I20:$I100))/(100*(SUMPRODUCT('Lab value_Cal.'!$F20:$F100,'Lab value_Cal.'!$I20:$I100))))))</f>
        <v/>
      </c>
      <c r="AI122" s="234"/>
      <c r="AJ122" s="234"/>
      <c r="AK122" s="235"/>
    </row>
    <row r="123" ht="18" customHeight="1" spans="2:37">
      <c r="B123" s="154"/>
      <c r="C123" s="155"/>
      <c r="D123" s="155"/>
      <c r="E123" s="155"/>
      <c r="F123" s="212" t="s">
        <v>29</v>
      </c>
      <c r="G123" s="213">
        <f>IFERROR(HLOOKUP(C$4,$J$17:$AH$124,108,FALSE),"")</f>
        <v>-10.5099157092512</v>
      </c>
      <c r="H123" s="214" t="str">
        <f>IFERROR(HLOOKUP(D$4,$J$17:$AH$124,108,FALSE),"")</f>
        <v/>
      </c>
      <c r="J123" s="229" t="s">
        <v>28</v>
      </c>
      <c r="K123" s="230">
        <f>IF(K38="","",500*((IF(((SUMPRODUCT(K38:K118,'Lab value_Cal.'!$E20:$E100,'Lab value_Cal.'!$I20:$I100))/(100*SUMPRODUCT('Lab value_Cal.'!$E20:$E100,'Lab value_Cal.'!$I20:$I100)))&gt;0.008856,((SUMPRODUCT(K38:K118,'Lab value_Cal.'!$E20:$E100,'Lab value_Cal.'!$I20:$I100))/(100*SUMPRODUCT('Lab value_Cal.'!$E20:$E100,'Lab value_Cal.'!$I20:$I100)))^(1/3),7.787*((SUMPRODUCT(K38:K118,'Lab value_Cal.'!$E20:$E100,'Lab value_Cal.'!$I20:$I100))/(100*SUMPRODUCT('Lab value_Cal.'!$E20:$E100,'Lab value_Cal.'!$I20:$I100)))+16/116))-(IF(((SUMPRODUCT(K38:K118,'Lab value_Cal.'!$F20:$F100,'Lab value_Cal.'!$I20:$I100))/(100*(SUMPRODUCT('Lab value_Cal.'!$F20:$F100,'Lab value_Cal.'!$I20:$I100))))&gt;0.008856,((SUMPRODUCT(K38:K118,'Lab value_Cal.'!$F20:$F100,'Lab value_Cal.'!$I20:$I100))/(100*(SUMPRODUCT('Lab value_Cal.'!$F20:$F100,'Lab value_Cal.'!$I20:$I100))))^(1/3),7.787*((SUMPRODUCT(K38:K118,'Lab value_Cal.'!$F20:$F100,'Lab value_Cal.'!$I20:$I100))/(100*(SUMPRODUCT('Lab value_Cal.'!$F20:$F100,'Lab value_Cal.'!$I20:$I100))))+16/116))))</f>
        <v>-0.613330005278204</v>
      </c>
      <c r="L123" s="230" t="str">
        <f>IF(L38="","",500*((IF(((SUMPRODUCT(L38:L118,'Lab value_Cal.'!$E20:$E100,'Lab value_Cal.'!$I20:$I100))/(100*SUMPRODUCT('Lab value_Cal.'!$E20:$E100,'Lab value_Cal.'!$I20:$I100)))&gt;0.008856,((SUMPRODUCT(L38:L118,'Lab value_Cal.'!$E20:$E100,'Lab value_Cal.'!$I20:$I100))/(100*SUMPRODUCT('Lab value_Cal.'!$E20:$E100,'Lab value_Cal.'!$I20:$I100)))^(1/3),7.787*((SUMPRODUCT(L38:L118,'Lab value_Cal.'!$E20:$E100,'Lab value_Cal.'!$I20:$I100))/(100*SUMPRODUCT('Lab value_Cal.'!$E20:$E100,'Lab value_Cal.'!$I20:$I100)))+16/116))-(IF(((SUMPRODUCT(L38:L118,'Lab value_Cal.'!$F20:$F100,'Lab value_Cal.'!$I20:$I100))/(100*(SUMPRODUCT('Lab value_Cal.'!$F20:$F100,'Lab value_Cal.'!$I20:$I100))))&gt;0.008856,((SUMPRODUCT(L38:L118,'Lab value_Cal.'!$F20:$F100,'Lab value_Cal.'!$I20:$I100))/(100*(SUMPRODUCT('Lab value_Cal.'!$F20:$F100,'Lab value_Cal.'!$I20:$I100))))^(1/3),7.787*((SUMPRODUCT(L38:L118,'Lab value_Cal.'!$F20:$F100,'Lab value_Cal.'!$I20:$I100))/(100*(SUMPRODUCT('Lab value_Cal.'!$F20:$F100,'Lab value_Cal.'!$I20:$I100))))+16/116))))</f>
        <v/>
      </c>
      <c r="M123" s="230" t="str">
        <f>IF(M38="","",500*((IF(((SUMPRODUCT(M38:M118,'Lab value_Cal.'!$E20:$E100,'Lab value_Cal.'!$I20:$I100))/(100*SUMPRODUCT('Lab value_Cal.'!$E20:$E100,'Lab value_Cal.'!$I20:$I100)))&gt;0.008856,((SUMPRODUCT(M38:M118,'Lab value_Cal.'!$E20:$E100,'Lab value_Cal.'!$I20:$I100))/(100*SUMPRODUCT('Lab value_Cal.'!$E20:$E100,'Lab value_Cal.'!$I20:$I100)))^(1/3),7.787*((SUMPRODUCT(M38:M118,'Lab value_Cal.'!$E20:$E100,'Lab value_Cal.'!$I20:$I100))/(100*SUMPRODUCT('Lab value_Cal.'!$E20:$E100,'Lab value_Cal.'!$I20:$I100)))+16/116))-(IF(((SUMPRODUCT(M38:M118,'Lab value_Cal.'!$F20:$F100,'Lab value_Cal.'!$I20:$I100))/(100*(SUMPRODUCT('Lab value_Cal.'!$F20:$F100,'Lab value_Cal.'!$I20:$I100))))&gt;0.008856,((SUMPRODUCT(M38:M118,'Lab value_Cal.'!$F20:$F100,'Lab value_Cal.'!$I20:$I100))/(100*(SUMPRODUCT('Lab value_Cal.'!$F20:$F100,'Lab value_Cal.'!$I20:$I100))))^(1/3),7.787*((SUMPRODUCT(M38:M118,'Lab value_Cal.'!$F20:$F100,'Lab value_Cal.'!$I20:$I100))/(100*(SUMPRODUCT('Lab value_Cal.'!$F20:$F100,'Lab value_Cal.'!$I20:$I100))))+16/116))))</f>
        <v/>
      </c>
      <c r="N123" s="230" t="str">
        <f>IF(N38="","",500*((IF(((SUMPRODUCT(N38:N118,'Lab value_Cal.'!$E20:$E100,'Lab value_Cal.'!$I20:$I100))/(100*SUMPRODUCT('Lab value_Cal.'!$E20:$E100,'Lab value_Cal.'!$I20:$I100)))&gt;0.008856,((SUMPRODUCT(N38:N118,'Lab value_Cal.'!$E20:$E100,'Lab value_Cal.'!$I20:$I100))/(100*SUMPRODUCT('Lab value_Cal.'!$E20:$E100,'Lab value_Cal.'!$I20:$I100)))^(1/3),7.787*((SUMPRODUCT(N38:N118,'Lab value_Cal.'!$E20:$E100,'Lab value_Cal.'!$I20:$I100))/(100*SUMPRODUCT('Lab value_Cal.'!$E20:$E100,'Lab value_Cal.'!$I20:$I100)))+16/116))-(IF(((SUMPRODUCT(N38:N118,'Lab value_Cal.'!$F20:$F100,'Lab value_Cal.'!$I20:$I100))/(100*(SUMPRODUCT('Lab value_Cal.'!$F20:$F100,'Lab value_Cal.'!$I20:$I100))))&gt;0.008856,((SUMPRODUCT(N38:N118,'Lab value_Cal.'!$F20:$F100,'Lab value_Cal.'!$I20:$I100))/(100*(SUMPRODUCT('Lab value_Cal.'!$F20:$F100,'Lab value_Cal.'!$I20:$I100))))^(1/3),7.787*((SUMPRODUCT(N38:N118,'Lab value_Cal.'!$F20:$F100,'Lab value_Cal.'!$I20:$I100))/(100*(SUMPRODUCT('Lab value_Cal.'!$F20:$F100,'Lab value_Cal.'!$I20:$I100))))+16/116))))</f>
        <v/>
      </c>
      <c r="O123" s="230" t="str">
        <f>IF(O38="","",500*((IF(((SUMPRODUCT(O38:O118,'Lab value_Cal.'!$E20:$E100,'Lab value_Cal.'!$I20:$I100))/(100*SUMPRODUCT('Lab value_Cal.'!$E20:$E100,'Lab value_Cal.'!$I20:$I100)))&gt;0.008856,((SUMPRODUCT(O38:O118,'Lab value_Cal.'!$E20:$E100,'Lab value_Cal.'!$I20:$I100))/(100*SUMPRODUCT('Lab value_Cal.'!$E20:$E100,'Lab value_Cal.'!$I20:$I100)))^(1/3),7.787*((SUMPRODUCT(O38:O118,'Lab value_Cal.'!$E20:$E100,'Lab value_Cal.'!$I20:$I100))/(100*SUMPRODUCT('Lab value_Cal.'!$E20:$E100,'Lab value_Cal.'!$I20:$I100)))+16/116))-(IF(((SUMPRODUCT(O38:O118,'Lab value_Cal.'!$F20:$F100,'Lab value_Cal.'!$I20:$I100))/(100*(SUMPRODUCT('Lab value_Cal.'!$F20:$F100,'Lab value_Cal.'!$I20:$I100))))&gt;0.008856,((SUMPRODUCT(O38:O118,'Lab value_Cal.'!$F20:$F100,'Lab value_Cal.'!$I20:$I100))/(100*(SUMPRODUCT('Lab value_Cal.'!$F20:$F100,'Lab value_Cal.'!$I20:$I100))))^(1/3),7.787*((SUMPRODUCT(O38:O118,'Lab value_Cal.'!$F20:$F100,'Lab value_Cal.'!$I20:$I100))/(100*(SUMPRODUCT('Lab value_Cal.'!$F20:$F100,'Lab value_Cal.'!$I20:$I100))))+16/116))))</f>
        <v/>
      </c>
      <c r="P123" s="230" t="str">
        <f>IF(P38="","",500*((IF(((SUMPRODUCT(P38:P118,'Lab value_Cal.'!$E20:$E100,'Lab value_Cal.'!$I20:$I100))/(100*SUMPRODUCT('Lab value_Cal.'!$E20:$E100,'Lab value_Cal.'!$I20:$I100)))&gt;0.008856,((SUMPRODUCT(P38:P118,'Lab value_Cal.'!$E20:$E100,'Lab value_Cal.'!$I20:$I100))/(100*SUMPRODUCT('Lab value_Cal.'!$E20:$E100,'Lab value_Cal.'!$I20:$I100)))^(1/3),7.787*((SUMPRODUCT(P38:P118,'Lab value_Cal.'!$E20:$E100,'Lab value_Cal.'!$I20:$I100))/(100*SUMPRODUCT('Lab value_Cal.'!$E20:$E100,'Lab value_Cal.'!$I20:$I100)))+16/116))-(IF(((SUMPRODUCT(P38:P118,'Lab value_Cal.'!$F20:$F100,'Lab value_Cal.'!$I20:$I100))/(100*(SUMPRODUCT('Lab value_Cal.'!$F20:$F100,'Lab value_Cal.'!$I20:$I100))))&gt;0.008856,((SUMPRODUCT(P38:P118,'Lab value_Cal.'!$F20:$F100,'Lab value_Cal.'!$I20:$I100))/(100*(SUMPRODUCT('Lab value_Cal.'!$F20:$F100,'Lab value_Cal.'!$I20:$I100))))^(1/3),7.787*((SUMPRODUCT(P38:P118,'Lab value_Cal.'!$F20:$F100,'Lab value_Cal.'!$I20:$I100))/(100*(SUMPRODUCT('Lab value_Cal.'!$F20:$F100,'Lab value_Cal.'!$I20:$I100))))+16/116))))</f>
        <v/>
      </c>
      <c r="Q123" s="230" t="str">
        <f>IF(Q38="","",500*((IF(((SUMPRODUCT(Q38:Q118,'Lab value_Cal.'!$E20:$E100,'Lab value_Cal.'!$I20:$I100))/(100*SUMPRODUCT('Lab value_Cal.'!$E20:$E100,'Lab value_Cal.'!$I20:$I100)))&gt;0.008856,((SUMPRODUCT(Q38:Q118,'Lab value_Cal.'!$E20:$E100,'Lab value_Cal.'!$I20:$I100))/(100*SUMPRODUCT('Lab value_Cal.'!$E20:$E100,'Lab value_Cal.'!$I20:$I100)))^(1/3),7.787*((SUMPRODUCT(Q38:Q118,'Lab value_Cal.'!$E20:$E100,'Lab value_Cal.'!$I20:$I100))/(100*SUMPRODUCT('Lab value_Cal.'!$E20:$E100,'Lab value_Cal.'!$I20:$I100)))+16/116))-(IF(((SUMPRODUCT(Q38:Q118,'Lab value_Cal.'!$F20:$F100,'Lab value_Cal.'!$I20:$I100))/(100*(SUMPRODUCT('Lab value_Cal.'!$F20:$F100,'Lab value_Cal.'!$I20:$I100))))&gt;0.008856,((SUMPRODUCT(Q38:Q118,'Lab value_Cal.'!$F20:$F100,'Lab value_Cal.'!$I20:$I100))/(100*(SUMPRODUCT('Lab value_Cal.'!$F20:$F100,'Lab value_Cal.'!$I20:$I100))))^(1/3),7.787*((SUMPRODUCT(Q38:Q118,'Lab value_Cal.'!$F20:$F100,'Lab value_Cal.'!$I20:$I100))/(100*(SUMPRODUCT('Lab value_Cal.'!$F20:$F100,'Lab value_Cal.'!$I20:$I100))))+16/116))))</f>
        <v/>
      </c>
      <c r="R123" s="230" t="str">
        <f>IF(R38="","",500*((IF(((SUMPRODUCT(R38:R118,'Lab value_Cal.'!$E20:$E100,'Lab value_Cal.'!$I20:$I100))/(100*SUMPRODUCT('Lab value_Cal.'!$E20:$E100,'Lab value_Cal.'!$I20:$I100)))&gt;0.008856,((SUMPRODUCT(R38:R118,'Lab value_Cal.'!$E20:$E100,'Lab value_Cal.'!$I20:$I100))/(100*SUMPRODUCT('Lab value_Cal.'!$E20:$E100,'Lab value_Cal.'!$I20:$I100)))^(1/3),7.787*((SUMPRODUCT(R38:R118,'Lab value_Cal.'!$E20:$E100,'Lab value_Cal.'!$I20:$I100))/(100*SUMPRODUCT('Lab value_Cal.'!$E20:$E100,'Lab value_Cal.'!$I20:$I100)))+16/116))-(IF(((SUMPRODUCT(R38:R118,'Lab value_Cal.'!$F20:$F100,'Lab value_Cal.'!$I20:$I100))/(100*(SUMPRODUCT('Lab value_Cal.'!$F20:$F100,'Lab value_Cal.'!$I20:$I100))))&gt;0.008856,((SUMPRODUCT(R38:R118,'Lab value_Cal.'!$F20:$F100,'Lab value_Cal.'!$I20:$I100))/(100*(SUMPRODUCT('Lab value_Cal.'!$F20:$F100,'Lab value_Cal.'!$I20:$I100))))^(1/3),7.787*((SUMPRODUCT(R38:R118,'Lab value_Cal.'!$F20:$F100,'Lab value_Cal.'!$I20:$I100))/(100*(SUMPRODUCT('Lab value_Cal.'!$F20:$F100,'Lab value_Cal.'!$I20:$I100))))+16/116))))</f>
        <v/>
      </c>
      <c r="S123" s="230" t="str">
        <f>IF(S38="","",500*((IF(((SUMPRODUCT(S38:S118,'Lab value_Cal.'!$E20:$E100,'Lab value_Cal.'!$I20:$I100))/(100*SUMPRODUCT('Lab value_Cal.'!$E20:$E100,'Lab value_Cal.'!$I20:$I100)))&gt;0.008856,((SUMPRODUCT(S38:S118,'Lab value_Cal.'!$E20:$E100,'Lab value_Cal.'!$I20:$I100))/(100*SUMPRODUCT('Lab value_Cal.'!$E20:$E100,'Lab value_Cal.'!$I20:$I100)))^(1/3),7.787*((SUMPRODUCT(S38:S118,'Lab value_Cal.'!$E20:$E100,'Lab value_Cal.'!$I20:$I100))/(100*SUMPRODUCT('Lab value_Cal.'!$E20:$E100,'Lab value_Cal.'!$I20:$I100)))+16/116))-(IF(((SUMPRODUCT(S38:S118,'Lab value_Cal.'!$F20:$F100,'Lab value_Cal.'!$I20:$I100))/(100*(SUMPRODUCT('Lab value_Cal.'!$F20:$F100,'Lab value_Cal.'!$I20:$I100))))&gt;0.008856,((SUMPRODUCT(S38:S118,'Lab value_Cal.'!$F20:$F100,'Lab value_Cal.'!$I20:$I100))/(100*(SUMPRODUCT('Lab value_Cal.'!$F20:$F100,'Lab value_Cal.'!$I20:$I100))))^(1/3),7.787*((SUMPRODUCT(S38:S118,'Lab value_Cal.'!$F20:$F100,'Lab value_Cal.'!$I20:$I100))/(100*(SUMPRODUCT('Lab value_Cal.'!$F20:$F100,'Lab value_Cal.'!$I20:$I100))))+16/116))))</f>
        <v/>
      </c>
      <c r="T123" s="230" t="str">
        <f>IF(T38="","",500*((IF(((SUMPRODUCT(T38:T118,'Lab value_Cal.'!$E20:$E100,'Lab value_Cal.'!$I20:$I100))/(100*SUMPRODUCT('Lab value_Cal.'!$E20:$E100,'Lab value_Cal.'!$I20:$I100)))&gt;0.008856,((SUMPRODUCT(T38:T118,'Lab value_Cal.'!$E20:$E100,'Lab value_Cal.'!$I20:$I100))/(100*SUMPRODUCT('Lab value_Cal.'!$E20:$E100,'Lab value_Cal.'!$I20:$I100)))^(1/3),7.787*((SUMPRODUCT(T38:T118,'Lab value_Cal.'!$E20:$E100,'Lab value_Cal.'!$I20:$I100))/(100*SUMPRODUCT('Lab value_Cal.'!$E20:$E100,'Lab value_Cal.'!$I20:$I100)))+16/116))-(IF(((SUMPRODUCT(T38:T118,'Lab value_Cal.'!$F20:$F100,'Lab value_Cal.'!$I20:$I100))/(100*(SUMPRODUCT('Lab value_Cal.'!$F20:$F100,'Lab value_Cal.'!$I20:$I100))))&gt;0.008856,((SUMPRODUCT(T38:T118,'Lab value_Cal.'!$F20:$F100,'Lab value_Cal.'!$I20:$I100))/(100*(SUMPRODUCT('Lab value_Cal.'!$F20:$F100,'Lab value_Cal.'!$I20:$I100))))^(1/3),7.787*((SUMPRODUCT(T38:T118,'Lab value_Cal.'!$F20:$F100,'Lab value_Cal.'!$I20:$I100))/(100*(SUMPRODUCT('Lab value_Cal.'!$F20:$F100,'Lab value_Cal.'!$I20:$I100))))+16/116))))</f>
        <v/>
      </c>
      <c r="U123" s="230" t="str">
        <f>IF(U38="","",500*((IF(((SUMPRODUCT(U38:U118,'Lab value_Cal.'!$E20:$E100,'Lab value_Cal.'!$I20:$I100))/(100*SUMPRODUCT('Lab value_Cal.'!$E20:$E100,'Lab value_Cal.'!$I20:$I100)))&gt;0.008856,((SUMPRODUCT(U38:U118,'Lab value_Cal.'!$E20:$E100,'Lab value_Cal.'!$I20:$I100))/(100*SUMPRODUCT('Lab value_Cal.'!$E20:$E100,'Lab value_Cal.'!$I20:$I100)))^(1/3),7.787*((SUMPRODUCT(U38:U118,'Lab value_Cal.'!$E20:$E100,'Lab value_Cal.'!$I20:$I100))/(100*SUMPRODUCT('Lab value_Cal.'!$E20:$E100,'Lab value_Cal.'!$I20:$I100)))+16/116))-(IF(((SUMPRODUCT(U38:U118,'Lab value_Cal.'!$F20:$F100,'Lab value_Cal.'!$I20:$I100))/(100*(SUMPRODUCT('Lab value_Cal.'!$F20:$F100,'Lab value_Cal.'!$I20:$I100))))&gt;0.008856,((SUMPRODUCT(U38:U118,'Lab value_Cal.'!$F20:$F100,'Lab value_Cal.'!$I20:$I100))/(100*(SUMPRODUCT('Lab value_Cal.'!$F20:$F100,'Lab value_Cal.'!$I20:$I100))))^(1/3),7.787*((SUMPRODUCT(U38:U118,'Lab value_Cal.'!$F20:$F100,'Lab value_Cal.'!$I20:$I100))/(100*(SUMPRODUCT('Lab value_Cal.'!$F20:$F100,'Lab value_Cal.'!$I20:$I100))))+16/116))))</f>
        <v/>
      </c>
      <c r="V123" s="230" t="str">
        <f>IF(V38="","",500*((IF(((SUMPRODUCT(V38:V118,'Lab value_Cal.'!$E20:$E100,'Lab value_Cal.'!$I20:$I100))/(100*SUMPRODUCT('Lab value_Cal.'!$E20:$E100,'Lab value_Cal.'!$I20:$I100)))&gt;0.008856,((SUMPRODUCT(V38:V118,'Lab value_Cal.'!$E20:$E100,'Lab value_Cal.'!$I20:$I100))/(100*SUMPRODUCT('Lab value_Cal.'!$E20:$E100,'Lab value_Cal.'!$I20:$I100)))^(1/3),7.787*((SUMPRODUCT(V38:V118,'Lab value_Cal.'!$E20:$E100,'Lab value_Cal.'!$I20:$I100))/(100*SUMPRODUCT('Lab value_Cal.'!$E20:$E100,'Lab value_Cal.'!$I20:$I100)))+16/116))-(IF(((SUMPRODUCT(V38:V118,'Lab value_Cal.'!$F20:$F100,'Lab value_Cal.'!$I20:$I100))/(100*(SUMPRODUCT('Lab value_Cal.'!$F20:$F100,'Lab value_Cal.'!$I20:$I100))))&gt;0.008856,((SUMPRODUCT(V38:V118,'Lab value_Cal.'!$F20:$F100,'Lab value_Cal.'!$I20:$I100))/(100*(SUMPRODUCT('Lab value_Cal.'!$F20:$F100,'Lab value_Cal.'!$I20:$I100))))^(1/3),7.787*((SUMPRODUCT(V38:V118,'Lab value_Cal.'!$F20:$F100,'Lab value_Cal.'!$I20:$I100))/(100*(SUMPRODUCT('Lab value_Cal.'!$F20:$F100,'Lab value_Cal.'!$I20:$I100))))+16/116))))</f>
        <v/>
      </c>
      <c r="W123" s="230" t="str">
        <f>IF(W38="","",500*((IF(((SUMPRODUCT(W38:W118,'Lab value_Cal.'!$E20:$E100,'Lab value_Cal.'!$I20:$I100))/(100*SUMPRODUCT('Lab value_Cal.'!$E20:$E100,'Lab value_Cal.'!$I20:$I100)))&gt;0.008856,((SUMPRODUCT(W38:W118,'Lab value_Cal.'!$E20:$E100,'Lab value_Cal.'!$I20:$I100))/(100*SUMPRODUCT('Lab value_Cal.'!$E20:$E100,'Lab value_Cal.'!$I20:$I100)))^(1/3),7.787*((SUMPRODUCT(W38:W118,'Lab value_Cal.'!$E20:$E100,'Lab value_Cal.'!$I20:$I100))/(100*SUMPRODUCT('Lab value_Cal.'!$E20:$E100,'Lab value_Cal.'!$I20:$I100)))+16/116))-(IF(((SUMPRODUCT(W38:W118,'Lab value_Cal.'!$F20:$F100,'Lab value_Cal.'!$I20:$I100))/(100*(SUMPRODUCT('Lab value_Cal.'!$F20:$F100,'Lab value_Cal.'!$I20:$I100))))&gt;0.008856,((SUMPRODUCT(W38:W118,'Lab value_Cal.'!$F20:$F100,'Lab value_Cal.'!$I20:$I100))/(100*(SUMPRODUCT('Lab value_Cal.'!$F20:$F100,'Lab value_Cal.'!$I20:$I100))))^(1/3),7.787*((SUMPRODUCT(W38:W118,'Lab value_Cal.'!$F20:$F100,'Lab value_Cal.'!$I20:$I100))/(100*(SUMPRODUCT('Lab value_Cal.'!$F20:$F100,'Lab value_Cal.'!$I20:$I100))))+16/116))))</f>
        <v/>
      </c>
      <c r="X123" s="230" t="str">
        <f>IF(X38="","",500*((IF(((SUMPRODUCT(X38:X118,'Lab value_Cal.'!$E20:$E100,'Lab value_Cal.'!$I20:$I100))/(100*SUMPRODUCT('Lab value_Cal.'!$E20:$E100,'Lab value_Cal.'!$I20:$I100)))&gt;0.008856,((SUMPRODUCT(X38:X118,'Lab value_Cal.'!$E20:$E100,'Lab value_Cal.'!$I20:$I100))/(100*SUMPRODUCT('Lab value_Cal.'!$E20:$E100,'Lab value_Cal.'!$I20:$I100)))^(1/3),7.787*((SUMPRODUCT(X38:X118,'Lab value_Cal.'!$E20:$E100,'Lab value_Cal.'!$I20:$I100))/(100*SUMPRODUCT('Lab value_Cal.'!$E20:$E100,'Lab value_Cal.'!$I20:$I100)))+16/116))-(IF(((SUMPRODUCT(X38:X118,'Lab value_Cal.'!$F20:$F100,'Lab value_Cal.'!$I20:$I100))/(100*(SUMPRODUCT('Lab value_Cal.'!$F20:$F100,'Lab value_Cal.'!$I20:$I100))))&gt;0.008856,((SUMPRODUCT(X38:X118,'Lab value_Cal.'!$F20:$F100,'Lab value_Cal.'!$I20:$I100))/(100*(SUMPRODUCT('Lab value_Cal.'!$F20:$F100,'Lab value_Cal.'!$I20:$I100))))^(1/3),7.787*((SUMPRODUCT(X38:X118,'Lab value_Cal.'!$F20:$F100,'Lab value_Cal.'!$I20:$I100))/(100*(SUMPRODUCT('Lab value_Cal.'!$F20:$F100,'Lab value_Cal.'!$I20:$I100))))+16/116))))</f>
        <v/>
      </c>
      <c r="Y123" s="230" t="str">
        <f>IF(Y38="","",500*((IF(((SUMPRODUCT(Y38:Y118,'Lab value_Cal.'!$E20:$E100,'Lab value_Cal.'!$I20:$I100))/(100*SUMPRODUCT('Lab value_Cal.'!$E20:$E100,'Lab value_Cal.'!$I20:$I100)))&gt;0.008856,((SUMPRODUCT(Y38:Y118,'Lab value_Cal.'!$E20:$E100,'Lab value_Cal.'!$I20:$I100))/(100*SUMPRODUCT('Lab value_Cal.'!$E20:$E100,'Lab value_Cal.'!$I20:$I100)))^(1/3),7.787*((SUMPRODUCT(Y38:Y118,'Lab value_Cal.'!$E20:$E100,'Lab value_Cal.'!$I20:$I100))/(100*SUMPRODUCT('Lab value_Cal.'!$E20:$E100,'Lab value_Cal.'!$I20:$I100)))+16/116))-(IF(((SUMPRODUCT(Y38:Y118,'Lab value_Cal.'!$F20:$F100,'Lab value_Cal.'!$I20:$I100))/(100*(SUMPRODUCT('Lab value_Cal.'!$F20:$F100,'Lab value_Cal.'!$I20:$I100))))&gt;0.008856,((SUMPRODUCT(Y38:Y118,'Lab value_Cal.'!$F20:$F100,'Lab value_Cal.'!$I20:$I100))/(100*(SUMPRODUCT('Lab value_Cal.'!$F20:$F100,'Lab value_Cal.'!$I20:$I100))))^(1/3),7.787*((SUMPRODUCT(Y38:Y118,'Lab value_Cal.'!$F20:$F100,'Lab value_Cal.'!$I20:$I100))/(100*(SUMPRODUCT('Lab value_Cal.'!$F20:$F100,'Lab value_Cal.'!$I20:$I100))))+16/116))))</f>
        <v/>
      </c>
      <c r="Z123" s="230" t="str">
        <f>IF(Z38="","",500*((IF(((SUMPRODUCT(Z38:Z118,'Lab value_Cal.'!$E20:$E100,'Lab value_Cal.'!$I20:$I100))/(100*SUMPRODUCT('Lab value_Cal.'!$E20:$E100,'Lab value_Cal.'!$I20:$I100)))&gt;0.008856,((SUMPRODUCT(Z38:Z118,'Lab value_Cal.'!$E20:$E100,'Lab value_Cal.'!$I20:$I100))/(100*SUMPRODUCT('Lab value_Cal.'!$E20:$E100,'Lab value_Cal.'!$I20:$I100)))^(1/3),7.787*((SUMPRODUCT(Z38:Z118,'Lab value_Cal.'!$E20:$E100,'Lab value_Cal.'!$I20:$I100))/(100*SUMPRODUCT('Lab value_Cal.'!$E20:$E100,'Lab value_Cal.'!$I20:$I100)))+16/116))-(IF(((SUMPRODUCT(Z38:Z118,'Lab value_Cal.'!$F20:$F100,'Lab value_Cal.'!$I20:$I100))/(100*(SUMPRODUCT('Lab value_Cal.'!$F20:$F100,'Lab value_Cal.'!$I20:$I100))))&gt;0.008856,((SUMPRODUCT(Z38:Z118,'Lab value_Cal.'!$F20:$F100,'Lab value_Cal.'!$I20:$I100))/(100*(SUMPRODUCT('Lab value_Cal.'!$F20:$F100,'Lab value_Cal.'!$I20:$I100))))^(1/3),7.787*((SUMPRODUCT(Z38:Z118,'Lab value_Cal.'!$F20:$F100,'Lab value_Cal.'!$I20:$I100))/(100*(SUMPRODUCT('Lab value_Cal.'!$F20:$F100,'Lab value_Cal.'!$I20:$I100))))+16/116))))</f>
        <v/>
      </c>
      <c r="AA123" s="230" t="str">
        <f>IF(AA38="","",500*((IF(((SUMPRODUCT(AA38:AA118,'Lab value_Cal.'!$E20:$E100,'Lab value_Cal.'!$I20:$I100))/(100*SUMPRODUCT('Lab value_Cal.'!$E20:$E100,'Lab value_Cal.'!$I20:$I100)))&gt;0.008856,((SUMPRODUCT(AA38:AA118,'Lab value_Cal.'!$E20:$E100,'Lab value_Cal.'!$I20:$I100))/(100*SUMPRODUCT('Lab value_Cal.'!$E20:$E100,'Lab value_Cal.'!$I20:$I100)))^(1/3),7.787*((SUMPRODUCT(AA38:AA118,'Lab value_Cal.'!$E20:$E100,'Lab value_Cal.'!$I20:$I100))/(100*SUMPRODUCT('Lab value_Cal.'!$E20:$E100,'Lab value_Cal.'!$I20:$I100)))+16/116))-(IF(((SUMPRODUCT(AA38:AA118,'Lab value_Cal.'!$F20:$F100,'Lab value_Cal.'!$I20:$I100))/(100*(SUMPRODUCT('Lab value_Cal.'!$F20:$F100,'Lab value_Cal.'!$I20:$I100))))&gt;0.008856,((SUMPRODUCT(AA38:AA118,'Lab value_Cal.'!$F20:$F100,'Lab value_Cal.'!$I20:$I100))/(100*(SUMPRODUCT('Lab value_Cal.'!$F20:$F100,'Lab value_Cal.'!$I20:$I100))))^(1/3),7.787*((SUMPRODUCT(AA38:AA118,'Lab value_Cal.'!$F20:$F100,'Lab value_Cal.'!$I20:$I100))/(100*(SUMPRODUCT('Lab value_Cal.'!$F20:$F100,'Lab value_Cal.'!$I20:$I100))))+16/116))))</f>
        <v/>
      </c>
      <c r="AB123" s="230" t="str">
        <f>IF(AB38="","",500*((IF(((SUMPRODUCT(AB38:AB118,'Lab value_Cal.'!$E20:$E100,'Lab value_Cal.'!$I20:$I100))/(100*SUMPRODUCT('Lab value_Cal.'!$E20:$E100,'Lab value_Cal.'!$I20:$I100)))&gt;0.008856,((SUMPRODUCT(AB38:AB118,'Lab value_Cal.'!$E20:$E100,'Lab value_Cal.'!$I20:$I100))/(100*SUMPRODUCT('Lab value_Cal.'!$E20:$E100,'Lab value_Cal.'!$I20:$I100)))^(1/3),7.787*((SUMPRODUCT(AB38:AB118,'Lab value_Cal.'!$E20:$E100,'Lab value_Cal.'!$I20:$I100))/(100*SUMPRODUCT('Lab value_Cal.'!$E20:$E100,'Lab value_Cal.'!$I20:$I100)))+16/116))-(IF(((SUMPRODUCT(AB38:AB118,'Lab value_Cal.'!$F20:$F100,'Lab value_Cal.'!$I20:$I100))/(100*(SUMPRODUCT('Lab value_Cal.'!$F20:$F100,'Lab value_Cal.'!$I20:$I100))))&gt;0.008856,((SUMPRODUCT(AB38:AB118,'Lab value_Cal.'!$F20:$F100,'Lab value_Cal.'!$I20:$I100))/(100*(SUMPRODUCT('Lab value_Cal.'!$F20:$F100,'Lab value_Cal.'!$I20:$I100))))^(1/3),7.787*((SUMPRODUCT(AB38:AB118,'Lab value_Cal.'!$F20:$F100,'Lab value_Cal.'!$I20:$I100))/(100*(SUMPRODUCT('Lab value_Cal.'!$F20:$F100,'Lab value_Cal.'!$I20:$I100))))+16/116))))</f>
        <v/>
      </c>
      <c r="AC123" s="230" t="str">
        <f>IF(AC38="","",500*((IF(((SUMPRODUCT(AC38:AC118,'Lab value_Cal.'!$E20:$E100,'Lab value_Cal.'!$I20:$I100))/(100*SUMPRODUCT('Lab value_Cal.'!$E20:$E100,'Lab value_Cal.'!$I20:$I100)))&gt;0.008856,((SUMPRODUCT(AC38:AC118,'Lab value_Cal.'!$E20:$E100,'Lab value_Cal.'!$I20:$I100))/(100*SUMPRODUCT('Lab value_Cal.'!$E20:$E100,'Lab value_Cal.'!$I20:$I100)))^(1/3),7.787*((SUMPRODUCT(AC38:AC118,'Lab value_Cal.'!$E20:$E100,'Lab value_Cal.'!$I20:$I100))/(100*SUMPRODUCT('Lab value_Cal.'!$E20:$E100,'Lab value_Cal.'!$I20:$I100)))+16/116))-(IF(((SUMPRODUCT(AC38:AC118,'Lab value_Cal.'!$F20:$F100,'Lab value_Cal.'!$I20:$I100))/(100*(SUMPRODUCT('Lab value_Cal.'!$F20:$F100,'Lab value_Cal.'!$I20:$I100))))&gt;0.008856,((SUMPRODUCT(AC38:AC118,'Lab value_Cal.'!$F20:$F100,'Lab value_Cal.'!$I20:$I100))/(100*(SUMPRODUCT('Lab value_Cal.'!$F20:$F100,'Lab value_Cal.'!$I20:$I100))))^(1/3),7.787*((SUMPRODUCT(AC38:AC118,'Lab value_Cal.'!$F20:$F100,'Lab value_Cal.'!$I20:$I100))/(100*(SUMPRODUCT('Lab value_Cal.'!$F20:$F100,'Lab value_Cal.'!$I20:$I100))))+16/116))))</f>
        <v/>
      </c>
      <c r="AD123" s="230" t="str">
        <f>IF(AD38="","",500*((IF(((SUMPRODUCT(AD38:AD118,'Lab value_Cal.'!$E20:$E100,'Lab value_Cal.'!$I20:$I100))/(100*SUMPRODUCT('Lab value_Cal.'!$E20:$E100,'Lab value_Cal.'!$I20:$I100)))&gt;0.008856,((SUMPRODUCT(AD38:AD118,'Lab value_Cal.'!$E20:$E100,'Lab value_Cal.'!$I20:$I100))/(100*SUMPRODUCT('Lab value_Cal.'!$E20:$E100,'Lab value_Cal.'!$I20:$I100)))^(1/3),7.787*((SUMPRODUCT(AD38:AD118,'Lab value_Cal.'!$E20:$E100,'Lab value_Cal.'!$I20:$I100))/(100*SUMPRODUCT('Lab value_Cal.'!$E20:$E100,'Lab value_Cal.'!$I20:$I100)))+16/116))-(IF(((SUMPRODUCT(AD38:AD118,'Lab value_Cal.'!$F20:$F100,'Lab value_Cal.'!$I20:$I100))/(100*(SUMPRODUCT('Lab value_Cal.'!$F20:$F100,'Lab value_Cal.'!$I20:$I100))))&gt;0.008856,((SUMPRODUCT(AD38:AD118,'Lab value_Cal.'!$F20:$F100,'Lab value_Cal.'!$I20:$I100))/(100*(SUMPRODUCT('Lab value_Cal.'!$F20:$F100,'Lab value_Cal.'!$I20:$I100))))^(1/3),7.787*((SUMPRODUCT(AD38:AD118,'Lab value_Cal.'!$F20:$F100,'Lab value_Cal.'!$I20:$I100))/(100*(SUMPRODUCT('Lab value_Cal.'!$F20:$F100,'Lab value_Cal.'!$I20:$I100))))+16/116))))</f>
        <v/>
      </c>
      <c r="AE123" s="230" t="str">
        <f>IF(AE38="","",500*((IF(((SUMPRODUCT(AE38:AE118,'Lab value_Cal.'!$E20:$E100,'Lab value_Cal.'!$I20:$I100))/(100*SUMPRODUCT('Lab value_Cal.'!$E20:$E100,'Lab value_Cal.'!$I20:$I100)))&gt;0.008856,((SUMPRODUCT(AE38:AE118,'Lab value_Cal.'!$E20:$E100,'Lab value_Cal.'!$I20:$I100))/(100*SUMPRODUCT('Lab value_Cal.'!$E20:$E100,'Lab value_Cal.'!$I20:$I100)))^(1/3),7.787*((SUMPRODUCT(AE38:AE118,'Lab value_Cal.'!$E20:$E100,'Lab value_Cal.'!$I20:$I100))/(100*SUMPRODUCT('Lab value_Cal.'!$E20:$E100,'Lab value_Cal.'!$I20:$I100)))+16/116))-(IF(((SUMPRODUCT(AE38:AE118,'Lab value_Cal.'!$F20:$F100,'Lab value_Cal.'!$I20:$I100))/(100*(SUMPRODUCT('Lab value_Cal.'!$F20:$F100,'Lab value_Cal.'!$I20:$I100))))&gt;0.008856,((SUMPRODUCT(AE38:AE118,'Lab value_Cal.'!$F20:$F100,'Lab value_Cal.'!$I20:$I100))/(100*(SUMPRODUCT('Lab value_Cal.'!$F20:$F100,'Lab value_Cal.'!$I20:$I100))))^(1/3),7.787*((SUMPRODUCT(AE38:AE118,'Lab value_Cal.'!$F20:$F100,'Lab value_Cal.'!$I20:$I100))/(100*(SUMPRODUCT('Lab value_Cal.'!$F20:$F100,'Lab value_Cal.'!$I20:$I100))))+16/116))))</f>
        <v/>
      </c>
      <c r="AF123" s="230" t="str">
        <f>IF(AF38="","",500*((IF(((SUMPRODUCT(AF38:AF118,'Lab value_Cal.'!$E20:$E100,'Lab value_Cal.'!$I20:$I100))/(100*SUMPRODUCT('Lab value_Cal.'!$E20:$E100,'Lab value_Cal.'!$I20:$I100)))&gt;0.008856,((SUMPRODUCT(AF38:AF118,'Lab value_Cal.'!$E20:$E100,'Lab value_Cal.'!$I20:$I100))/(100*SUMPRODUCT('Lab value_Cal.'!$E20:$E100,'Lab value_Cal.'!$I20:$I100)))^(1/3),7.787*((SUMPRODUCT(AF38:AF118,'Lab value_Cal.'!$E20:$E100,'Lab value_Cal.'!$I20:$I100))/(100*SUMPRODUCT('Lab value_Cal.'!$E20:$E100,'Lab value_Cal.'!$I20:$I100)))+16/116))-(IF(((SUMPRODUCT(AF38:AF118,'Lab value_Cal.'!$F20:$F100,'Lab value_Cal.'!$I20:$I100))/(100*(SUMPRODUCT('Lab value_Cal.'!$F20:$F100,'Lab value_Cal.'!$I20:$I100))))&gt;0.008856,((SUMPRODUCT(AF38:AF118,'Lab value_Cal.'!$F20:$F100,'Lab value_Cal.'!$I20:$I100))/(100*(SUMPRODUCT('Lab value_Cal.'!$F20:$F100,'Lab value_Cal.'!$I20:$I100))))^(1/3),7.787*((SUMPRODUCT(AF38:AF118,'Lab value_Cal.'!$F20:$F100,'Lab value_Cal.'!$I20:$I100))/(100*(SUMPRODUCT('Lab value_Cal.'!$F20:$F100,'Lab value_Cal.'!$I20:$I100))))+16/116))))</f>
        <v/>
      </c>
      <c r="AG123" s="230" t="str">
        <f>IF(AG38="","",500*((IF(((SUMPRODUCT(AG38:AG118,'Lab value_Cal.'!$E20:$E100,'Lab value_Cal.'!$I20:$I100))/(100*SUMPRODUCT('Lab value_Cal.'!$E20:$E100,'Lab value_Cal.'!$I20:$I100)))&gt;0.008856,((SUMPRODUCT(AG38:AG118,'Lab value_Cal.'!$E20:$E100,'Lab value_Cal.'!$I20:$I100))/(100*SUMPRODUCT('Lab value_Cal.'!$E20:$E100,'Lab value_Cal.'!$I20:$I100)))^(1/3),7.787*((SUMPRODUCT(AG38:AG118,'Lab value_Cal.'!$E20:$E100,'Lab value_Cal.'!$I20:$I100))/(100*SUMPRODUCT('Lab value_Cal.'!$E20:$E100,'Lab value_Cal.'!$I20:$I100)))+16/116))-(IF(((SUMPRODUCT(AG38:AG118,'Lab value_Cal.'!$F20:$F100,'Lab value_Cal.'!$I20:$I100))/(100*(SUMPRODUCT('Lab value_Cal.'!$F20:$F100,'Lab value_Cal.'!$I20:$I100))))&gt;0.008856,((SUMPRODUCT(AG38:AG118,'Lab value_Cal.'!$F20:$F100,'Lab value_Cal.'!$I20:$I100))/(100*(SUMPRODUCT('Lab value_Cal.'!$F20:$F100,'Lab value_Cal.'!$I20:$I100))))^(1/3),7.787*((SUMPRODUCT(AG38:AG118,'Lab value_Cal.'!$F20:$F100,'Lab value_Cal.'!$I20:$I100))/(100*(SUMPRODUCT('Lab value_Cal.'!$F20:$F100,'Lab value_Cal.'!$I20:$I100))))+16/116))))</f>
        <v/>
      </c>
      <c r="AH123" s="230" t="str">
        <f>IF(AH38="","",500*((IF(((SUMPRODUCT(AH38:AH118,'Lab value_Cal.'!$E20:$E100,'Lab value_Cal.'!$I20:$I100))/(100*SUMPRODUCT('Lab value_Cal.'!$E20:$E100,'Lab value_Cal.'!$I20:$I100)))&gt;0.008856,((SUMPRODUCT(AH38:AH118,'Lab value_Cal.'!$E20:$E100,'Lab value_Cal.'!$I20:$I100))/(100*SUMPRODUCT('Lab value_Cal.'!$E20:$E100,'Lab value_Cal.'!$I20:$I100)))^(1/3),7.787*((SUMPRODUCT(AH38:AH118,'Lab value_Cal.'!$E20:$E100,'Lab value_Cal.'!$I20:$I100))/(100*SUMPRODUCT('Lab value_Cal.'!$E20:$E100,'Lab value_Cal.'!$I20:$I100)))+16/116))-(IF(((SUMPRODUCT(AH38:AH118,'Lab value_Cal.'!$F20:$F100,'Lab value_Cal.'!$I20:$I100))/(100*(SUMPRODUCT('Lab value_Cal.'!$F20:$F100,'Lab value_Cal.'!$I20:$I100))))&gt;0.008856,((SUMPRODUCT(AH38:AH118,'Lab value_Cal.'!$F20:$F100,'Lab value_Cal.'!$I20:$I100))/(100*(SUMPRODUCT('Lab value_Cal.'!$F20:$F100,'Lab value_Cal.'!$I20:$I100))))^(1/3),7.787*((SUMPRODUCT(AH38:AH118,'Lab value_Cal.'!$F20:$F100,'Lab value_Cal.'!$I20:$I100))/(100*(SUMPRODUCT('Lab value_Cal.'!$F20:$F100,'Lab value_Cal.'!$I20:$I100))))+16/116))))</f>
        <v/>
      </c>
      <c r="AI123" s="234"/>
      <c r="AJ123" s="234"/>
      <c r="AK123" s="235"/>
    </row>
    <row r="124" ht="18" customHeight="1" spans="2:37">
      <c r="B124" s="215"/>
      <c r="C124" s="216"/>
      <c r="D124" s="216"/>
      <c r="E124" s="216"/>
      <c r="F124" s="217" t="s">
        <v>30</v>
      </c>
      <c r="G124" s="218">
        <f>IFERROR(IF(HLOOKUP(C$4,$K$17:$AH$118,($J112-270)/5,FALSE)="","",HLOOKUP(C$4,$K$17:$AH$118,($J112-270)/5,FALSE)),"")</f>
        <v>1.8607</v>
      </c>
      <c r="H124" s="219" t="str">
        <f>IFERROR(IF(HLOOKUP(D$4,$K$17:$AH$118,($J112-270)/5,FALSE)="","",HLOOKUP(D$4,$K$17:$AH$118,($J112-270)/5,FALSE)),"")</f>
        <v/>
      </c>
      <c r="J124" s="231" t="s">
        <v>29</v>
      </c>
      <c r="K124" s="232">
        <f>IF(K38="","",200*((IF(((SUMPRODUCT(K38:K118,'Lab value_Cal.'!$F20:$F100,'Lab value_Cal.'!$I20:$I100))/(100*(SUMPRODUCT('Lab value_Cal.'!$F20:$F100,'Lab value_Cal.'!$I20:$I100))))&gt;0.008856,((SUMPRODUCT(K38:K118,'Lab value_Cal.'!$F20:$F100,'Lab value_Cal.'!$I20:$I100))/(100*(SUMPRODUCT('Lab value_Cal.'!$F20:$F100,'Lab value_Cal.'!$I20:$I100))))^(1/3),7.787*((SUMPRODUCT(K38:K118,'Lab value_Cal.'!$F20:$F100,'Lab value_Cal.'!$I20:$I100))/(100*(SUMPRODUCT('Lab value_Cal.'!$F20:$F100,'Lab value_Cal.'!$I20:$I100))))+16/116))-IF(((SUMPRODUCT(K38:K118,'Lab value_Cal.'!$G20:$G100,'Lab value_Cal.'!$I20:$I100))/(100*SUMPRODUCT('Lab value_Cal.'!$G20:$G100,'Lab value_Cal.'!$I20:$I100)))&gt;0.008856,((SUMPRODUCT(K38:K118,'Lab value_Cal.'!$G20:$G100,'Lab value_Cal.'!$I20:$I100))/(100*SUMPRODUCT('Lab value_Cal.'!$G20:$G100,'Lab value_Cal.'!$I20:$I100)))^(1/3),7.787*((SUMPRODUCT(K38:K118,'Lab value_Cal.'!$G20:$G100,'Lab value_Cal.'!$I20:$I100))/(100*SUMPRODUCT('Lab value_Cal.'!$G20:$G100,'Lab value_Cal.'!$I20:$I100)))+16/116)))</f>
        <v>-10.5099157092512</v>
      </c>
      <c r="L124" s="232" t="str">
        <f>IF(L38="","",200*((IF(((SUMPRODUCT(L38:L118,'Lab value_Cal.'!$F20:$F100,'Lab value_Cal.'!$I20:$I100))/(100*(SUMPRODUCT('Lab value_Cal.'!$F20:$F100,'Lab value_Cal.'!$I20:$I100))))&gt;0.008856,((SUMPRODUCT(L38:L118,'Lab value_Cal.'!$F20:$F100,'Lab value_Cal.'!$I20:$I100))/(100*(SUMPRODUCT('Lab value_Cal.'!$F20:$F100,'Lab value_Cal.'!$I20:$I100))))^(1/3),7.787*((SUMPRODUCT(L38:L118,'Lab value_Cal.'!$F20:$F100,'Lab value_Cal.'!$I20:$I100))/(100*(SUMPRODUCT('Lab value_Cal.'!$F20:$F100,'Lab value_Cal.'!$I20:$I100))))+16/116))-IF(((SUMPRODUCT(L38:L118,'Lab value_Cal.'!$G20:$G100,'Lab value_Cal.'!$I20:$I100))/(100*SUMPRODUCT('Lab value_Cal.'!$G20:$G100,'Lab value_Cal.'!$I20:$I100)))&gt;0.008856,((SUMPRODUCT(L38:L118,'Lab value_Cal.'!$G20:$G100,'Lab value_Cal.'!$I20:$I100))/(100*SUMPRODUCT('Lab value_Cal.'!$G20:$G100,'Lab value_Cal.'!$I20:$I100)))^(1/3),7.787*((SUMPRODUCT(L38:L118,'Lab value_Cal.'!$G20:$G100,'Lab value_Cal.'!$I20:$I100))/(100*SUMPRODUCT('Lab value_Cal.'!$G20:$G100,'Lab value_Cal.'!$I20:$I100)))+16/116)))</f>
        <v/>
      </c>
      <c r="M124" s="232" t="str">
        <f>IF(M38="","",200*((IF(((SUMPRODUCT(M38:M118,'Lab value_Cal.'!$F20:$F100,'Lab value_Cal.'!$I20:$I100))/(100*(SUMPRODUCT('Lab value_Cal.'!$F20:$F100,'Lab value_Cal.'!$I20:$I100))))&gt;0.008856,((SUMPRODUCT(M38:M118,'Lab value_Cal.'!$F20:$F100,'Lab value_Cal.'!$I20:$I100))/(100*(SUMPRODUCT('Lab value_Cal.'!$F20:$F100,'Lab value_Cal.'!$I20:$I100))))^(1/3),7.787*((SUMPRODUCT(M38:M118,'Lab value_Cal.'!$F20:$F100,'Lab value_Cal.'!$I20:$I100))/(100*(SUMPRODUCT('Lab value_Cal.'!$F20:$F100,'Lab value_Cal.'!$I20:$I100))))+16/116))-IF(((SUMPRODUCT(M38:M118,'Lab value_Cal.'!$G20:$G100,'Lab value_Cal.'!$I20:$I100))/(100*SUMPRODUCT('Lab value_Cal.'!$G20:$G100,'Lab value_Cal.'!$I20:$I100)))&gt;0.008856,((SUMPRODUCT(M38:M118,'Lab value_Cal.'!$G20:$G100,'Lab value_Cal.'!$I20:$I100))/(100*SUMPRODUCT('Lab value_Cal.'!$G20:$G100,'Lab value_Cal.'!$I20:$I100)))^(1/3),7.787*((SUMPRODUCT(M38:M118,'Lab value_Cal.'!$G20:$G100,'Lab value_Cal.'!$I20:$I100))/(100*SUMPRODUCT('Lab value_Cal.'!$G20:$G100,'Lab value_Cal.'!$I20:$I100)))+16/116)))</f>
        <v/>
      </c>
      <c r="N124" s="232" t="str">
        <f>IF(N38="","",200*((IF(((SUMPRODUCT(N38:N118,'Lab value_Cal.'!$F20:$F100,'Lab value_Cal.'!$I20:$I100))/(100*(SUMPRODUCT('Lab value_Cal.'!$F20:$F100,'Lab value_Cal.'!$I20:$I100))))&gt;0.008856,((SUMPRODUCT(N38:N118,'Lab value_Cal.'!$F20:$F100,'Lab value_Cal.'!$I20:$I100))/(100*(SUMPRODUCT('Lab value_Cal.'!$F20:$F100,'Lab value_Cal.'!$I20:$I100))))^(1/3),7.787*((SUMPRODUCT(N38:N118,'Lab value_Cal.'!$F20:$F100,'Lab value_Cal.'!$I20:$I100))/(100*(SUMPRODUCT('Lab value_Cal.'!$F20:$F100,'Lab value_Cal.'!$I20:$I100))))+16/116))-IF(((SUMPRODUCT(N38:N118,'Lab value_Cal.'!$G20:$G100,'Lab value_Cal.'!$I20:$I100))/(100*SUMPRODUCT('Lab value_Cal.'!$G20:$G100,'Lab value_Cal.'!$I20:$I100)))&gt;0.008856,((SUMPRODUCT(N38:N118,'Lab value_Cal.'!$G20:$G100,'Lab value_Cal.'!$I20:$I100))/(100*SUMPRODUCT('Lab value_Cal.'!$G20:$G100,'Lab value_Cal.'!$I20:$I100)))^(1/3),7.787*((SUMPRODUCT(N38:N118,'Lab value_Cal.'!$G20:$G100,'Lab value_Cal.'!$I20:$I100))/(100*SUMPRODUCT('Lab value_Cal.'!$G20:$G100,'Lab value_Cal.'!$I20:$I100)))+16/116)))</f>
        <v/>
      </c>
      <c r="O124" s="232" t="str">
        <f>IF(O38="","",200*((IF(((SUMPRODUCT(O38:O118,'Lab value_Cal.'!$F20:$F100,'Lab value_Cal.'!$I20:$I100))/(100*(SUMPRODUCT('Lab value_Cal.'!$F20:$F100,'Lab value_Cal.'!$I20:$I100))))&gt;0.008856,((SUMPRODUCT(O38:O118,'Lab value_Cal.'!$F20:$F100,'Lab value_Cal.'!$I20:$I100))/(100*(SUMPRODUCT('Lab value_Cal.'!$F20:$F100,'Lab value_Cal.'!$I20:$I100))))^(1/3),7.787*((SUMPRODUCT(O38:O118,'Lab value_Cal.'!$F20:$F100,'Lab value_Cal.'!$I20:$I100))/(100*(SUMPRODUCT('Lab value_Cal.'!$F20:$F100,'Lab value_Cal.'!$I20:$I100))))+16/116))-IF(((SUMPRODUCT(O38:O118,'Lab value_Cal.'!$G20:$G100,'Lab value_Cal.'!$I20:$I100))/(100*SUMPRODUCT('Lab value_Cal.'!$G20:$G100,'Lab value_Cal.'!$I20:$I100)))&gt;0.008856,((SUMPRODUCT(O38:O118,'Lab value_Cal.'!$G20:$G100,'Lab value_Cal.'!$I20:$I100))/(100*SUMPRODUCT('Lab value_Cal.'!$G20:$G100,'Lab value_Cal.'!$I20:$I100)))^(1/3),7.787*((SUMPRODUCT(O38:O118,'Lab value_Cal.'!$G20:$G100,'Lab value_Cal.'!$I20:$I100))/(100*SUMPRODUCT('Lab value_Cal.'!$G20:$G100,'Lab value_Cal.'!$I20:$I100)))+16/116)))</f>
        <v/>
      </c>
      <c r="P124" s="232" t="str">
        <f>IF(P38="","",200*((IF(((SUMPRODUCT(P38:P118,'Lab value_Cal.'!$F20:$F100,'Lab value_Cal.'!$I20:$I100))/(100*(SUMPRODUCT('Lab value_Cal.'!$F20:$F100,'Lab value_Cal.'!$I20:$I100))))&gt;0.008856,((SUMPRODUCT(P38:P118,'Lab value_Cal.'!$F20:$F100,'Lab value_Cal.'!$I20:$I100))/(100*(SUMPRODUCT('Lab value_Cal.'!$F20:$F100,'Lab value_Cal.'!$I20:$I100))))^(1/3),7.787*((SUMPRODUCT(P38:P118,'Lab value_Cal.'!$F20:$F100,'Lab value_Cal.'!$I20:$I100))/(100*(SUMPRODUCT('Lab value_Cal.'!$F20:$F100,'Lab value_Cal.'!$I20:$I100))))+16/116))-IF(((SUMPRODUCT(P38:P118,'Lab value_Cal.'!$G20:$G100,'Lab value_Cal.'!$I20:$I100))/(100*SUMPRODUCT('Lab value_Cal.'!$G20:$G100,'Lab value_Cal.'!$I20:$I100)))&gt;0.008856,((SUMPRODUCT(P38:P118,'Lab value_Cal.'!$G20:$G100,'Lab value_Cal.'!$I20:$I100))/(100*SUMPRODUCT('Lab value_Cal.'!$G20:$G100,'Lab value_Cal.'!$I20:$I100)))^(1/3),7.787*((SUMPRODUCT(P38:P118,'Lab value_Cal.'!$G20:$G100,'Lab value_Cal.'!$I20:$I100))/(100*SUMPRODUCT('Lab value_Cal.'!$G20:$G100,'Lab value_Cal.'!$I20:$I100)))+16/116)))</f>
        <v/>
      </c>
      <c r="Q124" s="232" t="str">
        <f>IF(Q38="","",200*((IF(((SUMPRODUCT(Q38:Q118,'Lab value_Cal.'!$F20:$F100,'Lab value_Cal.'!$I20:$I100))/(100*(SUMPRODUCT('Lab value_Cal.'!$F20:$F100,'Lab value_Cal.'!$I20:$I100))))&gt;0.008856,((SUMPRODUCT(Q38:Q118,'Lab value_Cal.'!$F20:$F100,'Lab value_Cal.'!$I20:$I100))/(100*(SUMPRODUCT('Lab value_Cal.'!$F20:$F100,'Lab value_Cal.'!$I20:$I100))))^(1/3),7.787*((SUMPRODUCT(Q38:Q118,'Lab value_Cal.'!$F20:$F100,'Lab value_Cal.'!$I20:$I100))/(100*(SUMPRODUCT('Lab value_Cal.'!$F20:$F100,'Lab value_Cal.'!$I20:$I100))))+16/116))-IF(((SUMPRODUCT(Q38:Q118,'Lab value_Cal.'!$G20:$G100,'Lab value_Cal.'!$I20:$I100))/(100*SUMPRODUCT('Lab value_Cal.'!$G20:$G100,'Lab value_Cal.'!$I20:$I100)))&gt;0.008856,((SUMPRODUCT(Q38:Q118,'Lab value_Cal.'!$G20:$G100,'Lab value_Cal.'!$I20:$I100))/(100*SUMPRODUCT('Lab value_Cal.'!$G20:$G100,'Lab value_Cal.'!$I20:$I100)))^(1/3),7.787*((SUMPRODUCT(Q38:Q118,'Lab value_Cal.'!$G20:$G100,'Lab value_Cal.'!$I20:$I100))/(100*SUMPRODUCT('Lab value_Cal.'!$G20:$G100,'Lab value_Cal.'!$I20:$I100)))+16/116)))</f>
        <v/>
      </c>
      <c r="R124" s="232" t="str">
        <f>IF(R38="","",200*((IF(((SUMPRODUCT(R38:R118,'Lab value_Cal.'!$F20:$F100,'Lab value_Cal.'!$I20:$I100))/(100*(SUMPRODUCT('Lab value_Cal.'!$F20:$F100,'Lab value_Cal.'!$I20:$I100))))&gt;0.008856,((SUMPRODUCT(R38:R118,'Lab value_Cal.'!$F20:$F100,'Lab value_Cal.'!$I20:$I100))/(100*(SUMPRODUCT('Lab value_Cal.'!$F20:$F100,'Lab value_Cal.'!$I20:$I100))))^(1/3),7.787*((SUMPRODUCT(R38:R118,'Lab value_Cal.'!$F20:$F100,'Lab value_Cal.'!$I20:$I100))/(100*(SUMPRODUCT('Lab value_Cal.'!$F20:$F100,'Lab value_Cal.'!$I20:$I100))))+16/116))-IF(((SUMPRODUCT(R38:R118,'Lab value_Cal.'!$G20:$G100,'Lab value_Cal.'!$I20:$I100))/(100*SUMPRODUCT('Lab value_Cal.'!$G20:$G100,'Lab value_Cal.'!$I20:$I100)))&gt;0.008856,((SUMPRODUCT(R38:R118,'Lab value_Cal.'!$G20:$G100,'Lab value_Cal.'!$I20:$I100))/(100*SUMPRODUCT('Lab value_Cal.'!$G20:$G100,'Lab value_Cal.'!$I20:$I100)))^(1/3),7.787*((SUMPRODUCT(R38:R118,'Lab value_Cal.'!$G20:$G100,'Lab value_Cal.'!$I20:$I100))/(100*SUMPRODUCT('Lab value_Cal.'!$G20:$G100,'Lab value_Cal.'!$I20:$I100)))+16/116)))</f>
        <v/>
      </c>
      <c r="S124" s="232" t="str">
        <f>IF(S38="","",200*((IF(((SUMPRODUCT(S38:S118,'Lab value_Cal.'!$F20:$F100,'Lab value_Cal.'!$I20:$I100))/(100*(SUMPRODUCT('Lab value_Cal.'!$F20:$F100,'Lab value_Cal.'!$I20:$I100))))&gt;0.008856,((SUMPRODUCT(S38:S118,'Lab value_Cal.'!$F20:$F100,'Lab value_Cal.'!$I20:$I100))/(100*(SUMPRODUCT('Lab value_Cal.'!$F20:$F100,'Lab value_Cal.'!$I20:$I100))))^(1/3),7.787*((SUMPRODUCT(S38:S118,'Lab value_Cal.'!$F20:$F100,'Lab value_Cal.'!$I20:$I100))/(100*(SUMPRODUCT('Lab value_Cal.'!$F20:$F100,'Lab value_Cal.'!$I20:$I100))))+16/116))-IF(((SUMPRODUCT(S38:S118,'Lab value_Cal.'!$G20:$G100,'Lab value_Cal.'!$I20:$I100))/(100*SUMPRODUCT('Lab value_Cal.'!$G20:$G100,'Lab value_Cal.'!$I20:$I100)))&gt;0.008856,((SUMPRODUCT(S38:S118,'Lab value_Cal.'!$G20:$G100,'Lab value_Cal.'!$I20:$I100))/(100*SUMPRODUCT('Lab value_Cal.'!$G20:$G100,'Lab value_Cal.'!$I20:$I100)))^(1/3),7.787*((SUMPRODUCT(S38:S118,'Lab value_Cal.'!$G20:$G100,'Lab value_Cal.'!$I20:$I100))/(100*SUMPRODUCT('Lab value_Cal.'!$G20:$G100,'Lab value_Cal.'!$I20:$I100)))+16/116)))</f>
        <v/>
      </c>
      <c r="T124" s="232" t="str">
        <f>IF(T38="","",200*((IF(((SUMPRODUCT(T38:T118,'Lab value_Cal.'!$F20:$F100,'Lab value_Cal.'!$I20:$I100))/(100*(SUMPRODUCT('Lab value_Cal.'!$F20:$F100,'Lab value_Cal.'!$I20:$I100))))&gt;0.008856,((SUMPRODUCT(T38:T118,'Lab value_Cal.'!$F20:$F100,'Lab value_Cal.'!$I20:$I100))/(100*(SUMPRODUCT('Lab value_Cal.'!$F20:$F100,'Lab value_Cal.'!$I20:$I100))))^(1/3),7.787*((SUMPRODUCT(T38:T118,'Lab value_Cal.'!$F20:$F100,'Lab value_Cal.'!$I20:$I100))/(100*(SUMPRODUCT('Lab value_Cal.'!$F20:$F100,'Lab value_Cal.'!$I20:$I100))))+16/116))-IF(((SUMPRODUCT(T38:T118,'Lab value_Cal.'!$G20:$G100,'Lab value_Cal.'!$I20:$I100))/(100*SUMPRODUCT('Lab value_Cal.'!$G20:$G100,'Lab value_Cal.'!$I20:$I100)))&gt;0.008856,((SUMPRODUCT(T38:T118,'Lab value_Cal.'!$G20:$G100,'Lab value_Cal.'!$I20:$I100))/(100*SUMPRODUCT('Lab value_Cal.'!$G20:$G100,'Lab value_Cal.'!$I20:$I100)))^(1/3),7.787*((SUMPRODUCT(T38:T118,'Lab value_Cal.'!$G20:$G100,'Lab value_Cal.'!$I20:$I100))/(100*SUMPRODUCT('Lab value_Cal.'!$G20:$G100,'Lab value_Cal.'!$I20:$I100)))+16/116)))</f>
        <v/>
      </c>
      <c r="U124" s="232" t="str">
        <f>IF(U38="","",200*((IF(((SUMPRODUCT(U38:U118,'Lab value_Cal.'!$F20:$F100,'Lab value_Cal.'!$I20:$I100))/(100*(SUMPRODUCT('Lab value_Cal.'!$F20:$F100,'Lab value_Cal.'!$I20:$I100))))&gt;0.008856,((SUMPRODUCT(U38:U118,'Lab value_Cal.'!$F20:$F100,'Lab value_Cal.'!$I20:$I100))/(100*(SUMPRODUCT('Lab value_Cal.'!$F20:$F100,'Lab value_Cal.'!$I20:$I100))))^(1/3),7.787*((SUMPRODUCT(U38:U118,'Lab value_Cal.'!$F20:$F100,'Lab value_Cal.'!$I20:$I100))/(100*(SUMPRODUCT('Lab value_Cal.'!$F20:$F100,'Lab value_Cal.'!$I20:$I100))))+16/116))-IF(((SUMPRODUCT(U38:U118,'Lab value_Cal.'!$G20:$G100,'Lab value_Cal.'!$I20:$I100))/(100*SUMPRODUCT('Lab value_Cal.'!$G20:$G100,'Lab value_Cal.'!$I20:$I100)))&gt;0.008856,((SUMPRODUCT(U38:U118,'Lab value_Cal.'!$G20:$G100,'Lab value_Cal.'!$I20:$I100))/(100*SUMPRODUCT('Lab value_Cal.'!$G20:$G100,'Lab value_Cal.'!$I20:$I100)))^(1/3),7.787*((SUMPRODUCT(U38:U118,'Lab value_Cal.'!$G20:$G100,'Lab value_Cal.'!$I20:$I100))/(100*SUMPRODUCT('Lab value_Cal.'!$G20:$G100,'Lab value_Cal.'!$I20:$I100)))+16/116)))</f>
        <v/>
      </c>
      <c r="V124" s="232" t="str">
        <f>IF(V38="","",200*((IF(((SUMPRODUCT(V38:V118,'Lab value_Cal.'!$F20:$F100,'Lab value_Cal.'!$I20:$I100))/(100*(SUMPRODUCT('Lab value_Cal.'!$F20:$F100,'Lab value_Cal.'!$I20:$I100))))&gt;0.008856,((SUMPRODUCT(V38:V118,'Lab value_Cal.'!$F20:$F100,'Lab value_Cal.'!$I20:$I100))/(100*(SUMPRODUCT('Lab value_Cal.'!$F20:$F100,'Lab value_Cal.'!$I20:$I100))))^(1/3),7.787*((SUMPRODUCT(V38:V118,'Lab value_Cal.'!$F20:$F100,'Lab value_Cal.'!$I20:$I100))/(100*(SUMPRODUCT('Lab value_Cal.'!$F20:$F100,'Lab value_Cal.'!$I20:$I100))))+16/116))-IF(((SUMPRODUCT(V38:V118,'Lab value_Cal.'!$G20:$G100,'Lab value_Cal.'!$I20:$I100))/(100*SUMPRODUCT('Lab value_Cal.'!$G20:$G100,'Lab value_Cal.'!$I20:$I100)))&gt;0.008856,((SUMPRODUCT(V38:V118,'Lab value_Cal.'!$G20:$G100,'Lab value_Cal.'!$I20:$I100))/(100*SUMPRODUCT('Lab value_Cal.'!$G20:$G100,'Lab value_Cal.'!$I20:$I100)))^(1/3),7.787*((SUMPRODUCT(V38:V118,'Lab value_Cal.'!$G20:$G100,'Lab value_Cal.'!$I20:$I100))/(100*SUMPRODUCT('Lab value_Cal.'!$G20:$G100,'Lab value_Cal.'!$I20:$I100)))+16/116)))</f>
        <v/>
      </c>
      <c r="W124" s="232" t="str">
        <f>IF(W38="","",200*((IF(((SUMPRODUCT(W38:W118,'Lab value_Cal.'!$F20:$F100,'Lab value_Cal.'!$I20:$I100))/(100*(SUMPRODUCT('Lab value_Cal.'!$F20:$F100,'Lab value_Cal.'!$I20:$I100))))&gt;0.008856,((SUMPRODUCT(W38:W118,'Lab value_Cal.'!$F20:$F100,'Lab value_Cal.'!$I20:$I100))/(100*(SUMPRODUCT('Lab value_Cal.'!$F20:$F100,'Lab value_Cal.'!$I20:$I100))))^(1/3),7.787*((SUMPRODUCT(W38:W118,'Lab value_Cal.'!$F20:$F100,'Lab value_Cal.'!$I20:$I100))/(100*(SUMPRODUCT('Lab value_Cal.'!$F20:$F100,'Lab value_Cal.'!$I20:$I100))))+16/116))-IF(((SUMPRODUCT(W38:W118,'Lab value_Cal.'!$G20:$G100,'Lab value_Cal.'!$I20:$I100))/(100*SUMPRODUCT('Lab value_Cal.'!$G20:$G100,'Lab value_Cal.'!$I20:$I100)))&gt;0.008856,((SUMPRODUCT(W38:W118,'Lab value_Cal.'!$G20:$G100,'Lab value_Cal.'!$I20:$I100))/(100*SUMPRODUCT('Lab value_Cal.'!$G20:$G100,'Lab value_Cal.'!$I20:$I100)))^(1/3),7.787*((SUMPRODUCT(W38:W118,'Lab value_Cal.'!$G20:$G100,'Lab value_Cal.'!$I20:$I100))/(100*SUMPRODUCT('Lab value_Cal.'!$G20:$G100,'Lab value_Cal.'!$I20:$I100)))+16/116)))</f>
        <v/>
      </c>
      <c r="X124" s="232" t="str">
        <f>IF(X38="","",200*((IF(((SUMPRODUCT(X38:X118,'Lab value_Cal.'!$F20:$F100,'Lab value_Cal.'!$I20:$I100))/(100*(SUMPRODUCT('Lab value_Cal.'!$F20:$F100,'Lab value_Cal.'!$I20:$I100))))&gt;0.008856,((SUMPRODUCT(X38:X118,'Lab value_Cal.'!$F20:$F100,'Lab value_Cal.'!$I20:$I100))/(100*(SUMPRODUCT('Lab value_Cal.'!$F20:$F100,'Lab value_Cal.'!$I20:$I100))))^(1/3),7.787*((SUMPRODUCT(X38:X118,'Lab value_Cal.'!$F20:$F100,'Lab value_Cal.'!$I20:$I100))/(100*(SUMPRODUCT('Lab value_Cal.'!$F20:$F100,'Lab value_Cal.'!$I20:$I100))))+16/116))-IF(((SUMPRODUCT(X38:X118,'Lab value_Cal.'!$G20:$G100,'Lab value_Cal.'!$I20:$I100))/(100*SUMPRODUCT('Lab value_Cal.'!$G20:$G100,'Lab value_Cal.'!$I20:$I100)))&gt;0.008856,((SUMPRODUCT(X38:X118,'Lab value_Cal.'!$G20:$G100,'Lab value_Cal.'!$I20:$I100))/(100*SUMPRODUCT('Lab value_Cal.'!$G20:$G100,'Lab value_Cal.'!$I20:$I100)))^(1/3),7.787*((SUMPRODUCT(X38:X118,'Lab value_Cal.'!$G20:$G100,'Lab value_Cal.'!$I20:$I100))/(100*SUMPRODUCT('Lab value_Cal.'!$G20:$G100,'Lab value_Cal.'!$I20:$I100)))+16/116)))</f>
        <v/>
      </c>
      <c r="Y124" s="232" t="str">
        <f>IF(Y38="","",200*((IF(((SUMPRODUCT(Y38:Y118,'Lab value_Cal.'!$F20:$F100,'Lab value_Cal.'!$I20:$I100))/(100*(SUMPRODUCT('Lab value_Cal.'!$F20:$F100,'Lab value_Cal.'!$I20:$I100))))&gt;0.008856,((SUMPRODUCT(Y38:Y118,'Lab value_Cal.'!$F20:$F100,'Lab value_Cal.'!$I20:$I100))/(100*(SUMPRODUCT('Lab value_Cal.'!$F20:$F100,'Lab value_Cal.'!$I20:$I100))))^(1/3),7.787*((SUMPRODUCT(Y38:Y118,'Lab value_Cal.'!$F20:$F100,'Lab value_Cal.'!$I20:$I100))/(100*(SUMPRODUCT('Lab value_Cal.'!$F20:$F100,'Lab value_Cal.'!$I20:$I100))))+16/116))-IF(((SUMPRODUCT(Y38:Y118,'Lab value_Cal.'!$G20:$G100,'Lab value_Cal.'!$I20:$I100))/(100*SUMPRODUCT('Lab value_Cal.'!$G20:$G100,'Lab value_Cal.'!$I20:$I100)))&gt;0.008856,((SUMPRODUCT(Y38:Y118,'Lab value_Cal.'!$G20:$G100,'Lab value_Cal.'!$I20:$I100))/(100*SUMPRODUCT('Lab value_Cal.'!$G20:$G100,'Lab value_Cal.'!$I20:$I100)))^(1/3),7.787*((SUMPRODUCT(Y38:Y118,'Lab value_Cal.'!$G20:$G100,'Lab value_Cal.'!$I20:$I100))/(100*SUMPRODUCT('Lab value_Cal.'!$G20:$G100,'Lab value_Cal.'!$I20:$I100)))+16/116)))</f>
        <v/>
      </c>
      <c r="Z124" s="232" t="str">
        <f>IF(Z38="","",200*((IF(((SUMPRODUCT(Z38:Z118,'Lab value_Cal.'!$F20:$F100,'Lab value_Cal.'!$I20:$I100))/(100*(SUMPRODUCT('Lab value_Cal.'!$F20:$F100,'Lab value_Cal.'!$I20:$I100))))&gt;0.008856,((SUMPRODUCT(Z38:Z118,'Lab value_Cal.'!$F20:$F100,'Lab value_Cal.'!$I20:$I100))/(100*(SUMPRODUCT('Lab value_Cal.'!$F20:$F100,'Lab value_Cal.'!$I20:$I100))))^(1/3),7.787*((SUMPRODUCT(Z38:Z118,'Lab value_Cal.'!$F20:$F100,'Lab value_Cal.'!$I20:$I100))/(100*(SUMPRODUCT('Lab value_Cal.'!$F20:$F100,'Lab value_Cal.'!$I20:$I100))))+16/116))-IF(((SUMPRODUCT(Z38:Z118,'Lab value_Cal.'!$G20:$G100,'Lab value_Cal.'!$I20:$I100))/(100*SUMPRODUCT('Lab value_Cal.'!$G20:$G100,'Lab value_Cal.'!$I20:$I100)))&gt;0.008856,((SUMPRODUCT(Z38:Z118,'Lab value_Cal.'!$G20:$G100,'Lab value_Cal.'!$I20:$I100))/(100*SUMPRODUCT('Lab value_Cal.'!$G20:$G100,'Lab value_Cal.'!$I20:$I100)))^(1/3),7.787*((SUMPRODUCT(Z38:Z118,'Lab value_Cal.'!$G20:$G100,'Lab value_Cal.'!$I20:$I100))/(100*SUMPRODUCT('Lab value_Cal.'!$G20:$G100,'Lab value_Cal.'!$I20:$I100)))+16/116)))</f>
        <v/>
      </c>
      <c r="AA124" s="232" t="str">
        <f>IF(AA38="","",200*((IF(((SUMPRODUCT(AA38:AA118,'Lab value_Cal.'!$F20:$F100,'Lab value_Cal.'!$I20:$I100))/(100*(SUMPRODUCT('Lab value_Cal.'!$F20:$F100,'Lab value_Cal.'!$I20:$I100))))&gt;0.008856,((SUMPRODUCT(AA38:AA118,'Lab value_Cal.'!$F20:$F100,'Lab value_Cal.'!$I20:$I100))/(100*(SUMPRODUCT('Lab value_Cal.'!$F20:$F100,'Lab value_Cal.'!$I20:$I100))))^(1/3),7.787*((SUMPRODUCT(AA38:AA118,'Lab value_Cal.'!$F20:$F100,'Lab value_Cal.'!$I20:$I100))/(100*(SUMPRODUCT('Lab value_Cal.'!$F20:$F100,'Lab value_Cal.'!$I20:$I100))))+16/116))-IF(((SUMPRODUCT(AA38:AA118,'Lab value_Cal.'!$G20:$G100,'Lab value_Cal.'!$I20:$I100))/(100*SUMPRODUCT('Lab value_Cal.'!$G20:$G100,'Lab value_Cal.'!$I20:$I100)))&gt;0.008856,((SUMPRODUCT(AA38:AA118,'Lab value_Cal.'!$G20:$G100,'Lab value_Cal.'!$I20:$I100))/(100*SUMPRODUCT('Lab value_Cal.'!$G20:$G100,'Lab value_Cal.'!$I20:$I100)))^(1/3),7.787*((SUMPRODUCT(AA38:AA118,'Lab value_Cal.'!$G20:$G100,'Lab value_Cal.'!$I20:$I100))/(100*SUMPRODUCT('Lab value_Cal.'!$G20:$G100,'Lab value_Cal.'!$I20:$I100)))+16/116)))</f>
        <v/>
      </c>
      <c r="AB124" s="232" t="str">
        <f>IF(AB38="","",200*((IF(((SUMPRODUCT(AB38:AB118,'Lab value_Cal.'!$F20:$F100,'Lab value_Cal.'!$I20:$I100))/(100*(SUMPRODUCT('Lab value_Cal.'!$F20:$F100,'Lab value_Cal.'!$I20:$I100))))&gt;0.008856,((SUMPRODUCT(AB38:AB118,'Lab value_Cal.'!$F20:$F100,'Lab value_Cal.'!$I20:$I100))/(100*(SUMPRODUCT('Lab value_Cal.'!$F20:$F100,'Lab value_Cal.'!$I20:$I100))))^(1/3),7.787*((SUMPRODUCT(AB38:AB118,'Lab value_Cal.'!$F20:$F100,'Lab value_Cal.'!$I20:$I100))/(100*(SUMPRODUCT('Lab value_Cal.'!$F20:$F100,'Lab value_Cal.'!$I20:$I100))))+16/116))-IF(((SUMPRODUCT(AB38:AB118,'Lab value_Cal.'!$G20:$G100,'Lab value_Cal.'!$I20:$I100))/(100*SUMPRODUCT('Lab value_Cal.'!$G20:$G100,'Lab value_Cal.'!$I20:$I100)))&gt;0.008856,((SUMPRODUCT(AB38:AB118,'Lab value_Cal.'!$G20:$G100,'Lab value_Cal.'!$I20:$I100))/(100*SUMPRODUCT('Lab value_Cal.'!$G20:$G100,'Lab value_Cal.'!$I20:$I100)))^(1/3),7.787*((SUMPRODUCT(AB38:AB118,'Lab value_Cal.'!$G20:$G100,'Lab value_Cal.'!$I20:$I100))/(100*SUMPRODUCT('Lab value_Cal.'!$G20:$G100,'Lab value_Cal.'!$I20:$I100)))+16/116)))</f>
        <v/>
      </c>
      <c r="AC124" s="232" t="str">
        <f>IF(AC38="","",200*((IF(((SUMPRODUCT(AC38:AC118,'Lab value_Cal.'!$F20:$F100,'Lab value_Cal.'!$I20:$I100))/(100*(SUMPRODUCT('Lab value_Cal.'!$F20:$F100,'Lab value_Cal.'!$I20:$I100))))&gt;0.008856,((SUMPRODUCT(AC38:AC118,'Lab value_Cal.'!$F20:$F100,'Lab value_Cal.'!$I20:$I100))/(100*(SUMPRODUCT('Lab value_Cal.'!$F20:$F100,'Lab value_Cal.'!$I20:$I100))))^(1/3),7.787*((SUMPRODUCT(AC38:AC118,'Lab value_Cal.'!$F20:$F100,'Lab value_Cal.'!$I20:$I100))/(100*(SUMPRODUCT('Lab value_Cal.'!$F20:$F100,'Lab value_Cal.'!$I20:$I100))))+16/116))-IF(((SUMPRODUCT(AC38:AC118,'Lab value_Cal.'!$G20:$G100,'Lab value_Cal.'!$I20:$I100))/(100*SUMPRODUCT('Lab value_Cal.'!$G20:$G100,'Lab value_Cal.'!$I20:$I100)))&gt;0.008856,((SUMPRODUCT(AC38:AC118,'Lab value_Cal.'!$G20:$G100,'Lab value_Cal.'!$I20:$I100))/(100*SUMPRODUCT('Lab value_Cal.'!$G20:$G100,'Lab value_Cal.'!$I20:$I100)))^(1/3),7.787*((SUMPRODUCT(AC38:AC118,'Lab value_Cal.'!$G20:$G100,'Lab value_Cal.'!$I20:$I100))/(100*SUMPRODUCT('Lab value_Cal.'!$G20:$G100,'Lab value_Cal.'!$I20:$I100)))+16/116)))</f>
        <v/>
      </c>
      <c r="AD124" s="232" t="str">
        <f>IF(AD38="","",200*((IF(((SUMPRODUCT(AD38:AD118,'Lab value_Cal.'!$F20:$F100,'Lab value_Cal.'!$I20:$I100))/(100*(SUMPRODUCT('Lab value_Cal.'!$F20:$F100,'Lab value_Cal.'!$I20:$I100))))&gt;0.008856,((SUMPRODUCT(AD38:AD118,'Lab value_Cal.'!$F20:$F100,'Lab value_Cal.'!$I20:$I100))/(100*(SUMPRODUCT('Lab value_Cal.'!$F20:$F100,'Lab value_Cal.'!$I20:$I100))))^(1/3),7.787*((SUMPRODUCT(AD38:AD118,'Lab value_Cal.'!$F20:$F100,'Lab value_Cal.'!$I20:$I100))/(100*(SUMPRODUCT('Lab value_Cal.'!$F20:$F100,'Lab value_Cal.'!$I20:$I100))))+16/116))-IF(((SUMPRODUCT(AD38:AD118,'Lab value_Cal.'!$G20:$G100,'Lab value_Cal.'!$I20:$I100))/(100*SUMPRODUCT('Lab value_Cal.'!$G20:$G100,'Lab value_Cal.'!$I20:$I100)))&gt;0.008856,((SUMPRODUCT(AD38:AD118,'Lab value_Cal.'!$G20:$G100,'Lab value_Cal.'!$I20:$I100))/(100*SUMPRODUCT('Lab value_Cal.'!$G20:$G100,'Lab value_Cal.'!$I20:$I100)))^(1/3),7.787*((SUMPRODUCT(AD38:AD118,'Lab value_Cal.'!$G20:$G100,'Lab value_Cal.'!$I20:$I100))/(100*SUMPRODUCT('Lab value_Cal.'!$G20:$G100,'Lab value_Cal.'!$I20:$I100)))+16/116)))</f>
        <v/>
      </c>
      <c r="AE124" s="232" t="str">
        <f>IF(AE38="","",200*((IF(((SUMPRODUCT(AE38:AE118,'Lab value_Cal.'!$F20:$F100,'Lab value_Cal.'!$I20:$I100))/(100*(SUMPRODUCT('Lab value_Cal.'!$F20:$F100,'Lab value_Cal.'!$I20:$I100))))&gt;0.008856,((SUMPRODUCT(AE38:AE118,'Lab value_Cal.'!$F20:$F100,'Lab value_Cal.'!$I20:$I100))/(100*(SUMPRODUCT('Lab value_Cal.'!$F20:$F100,'Lab value_Cal.'!$I20:$I100))))^(1/3),7.787*((SUMPRODUCT(AE38:AE118,'Lab value_Cal.'!$F20:$F100,'Lab value_Cal.'!$I20:$I100))/(100*(SUMPRODUCT('Lab value_Cal.'!$F20:$F100,'Lab value_Cal.'!$I20:$I100))))+16/116))-IF(((SUMPRODUCT(AE38:AE118,'Lab value_Cal.'!$G20:$G100,'Lab value_Cal.'!$I20:$I100))/(100*SUMPRODUCT('Lab value_Cal.'!$G20:$G100,'Lab value_Cal.'!$I20:$I100)))&gt;0.008856,((SUMPRODUCT(AE38:AE118,'Lab value_Cal.'!$G20:$G100,'Lab value_Cal.'!$I20:$I100))/(100*SUMPRODUCT('Lab value_Cal.'!$G20:$G100,'Lab value_Cal.'!$I20:$I100)))^(1/3),7.787*((SUMPRODUCT(AE38:AE118,'Lab value_Cal.'!$G20:$G100,'Lab value_Cal.'!$I20:$I100))/(100*SUMPRODUCT('Lab value_Cal.'!$G20:$G100,'Lab value_Cal.'!$I20:$I100)))+16/116)))</f>
        <v/>
      </c>
      <c r="AF124" s="232" t="str">
        <f>IF(AF38="","",200*((IF(((SUMPRODUCT(AF38:AF118,'Lab value_Cal.'!$F20:$F100,'Lab value_Cal.'!$I20:$I100))/(100*(SUMPRODUCT('Lab value_Cal.'!$F20:$F100,'Lab value_Cal.'!$I20:$I100))))&gt;0.008856,((SUMPRODUCT(AF38:AF118,'Lab value_Cal.'!$F20:$F100,'Lab value_Cal.'!$I20:$I100))/(100*(SUMPRODUCT('Lab value_Cal.'!$F20:$F100,'Lab value_Cal.'!$I20:$I100))))^(1/3),7.787*((SUMPRODUCT(AF38:AF118,'Lab value_Cal.'!$F20:$F100,'Lab value_Cal.'!$I20:$I100))/(100*(SUMPRODUCT('Lab value_Cal.'!$F20:$F100,'Lab value_Cal.'!$I20:$I100))))+16/116))-IF(((SUMPRODUCT(AF38:AF118,'Lab value_Cal.'!$G20:$G100,'Lab value_Cal.'!$I20:$I100))/(100*SUMPRODUCT('Lab value_Cal.'!$G20:$G100,'Lab value_Cal.'!$I20:$I100)))&gt;0.008856,((SUMPRODUCT(AF38:AF118,'Lab value_Cal.'!$G20:$G100,'Lab value_Cal.'!$I20:$I100))/(100*SUMPRODUCT('Lab value_Cal.'!$G20:$G100,'Lab value_Cal.'!$I20:$I100)))^(1/3),7.787*((SUMPRODUCT(AF38:AF118,'Lab value_Cal.'!$G20:$G100,'Lab value_Cal.'!$I20:$I100))/(100*SUMPRODUCT('Lab value_Cal.'!$G20:$G100,'Lab value_Cal.'!$I20:$I100)))+16/116)))</f>
        <v/>
      </c>
      <c r="AG124" s="232" t="str">
        <f>IF(AG38="","",200*((IF(((SUMPRODUCT(AG38:AG118,'Lab value_Cal.'!$F20:$F100,'Lab value_Cal.'!$I20:$I100))/(100*(SUMPRODUCT('Lab value_Cal.'!$F20:$F100,'Lab value_Cal.'!$I20:$I100))))&gt;0.008856,((SUMPRODUCT(AG38:AG118,'Lab value_Cal.'!$F20:$F100,'Lab value_Cal.'!$I20:$I100))/(100*(SUMPRODUCT('Lab value_Cal.'!$F20:$F100,'Lab value_Cal.'!$I20:$I100))))^(1/3),7.787*((SUMPRODUCT(AG38:AG118,'Lab value_Cal.'!$F20:$F100,'Lab value_Cal.'!$I20:$I100))/(100*(SUMPRODUCT('Lab value_Cal.'!$F20:$F100,'Lab value_Cal.'!$I20:$I100))))+16/116))-IF(((SUMPRODUCT(AG38:AG118,'Lab value_Cal.'!$G20:$G100,'Lab value_Cal.'!$I20:$I100))/(100*SUMPRODUCT('Lab value_Cal.'!$G20:$G100,'Lab value_Cal.'!$I20:$I100)))&gt;0.008856,((SUMPRODUCT(AG38:AG118,'Lab value_Cal.'!$G20:$G100,'Lab value_Cal.'!$I20:$I100))/(100*SUMPRODUCT('Lab value_Cal.'!$G20:$G100,'Lab value_Cal.'!$I20:$I100)))^(1/3),7.787*((SUMPRODUCT(AG38:AG118,'Lab value_Cal.'!$G20:$G100,'Lab value_Cal.'!$I20:$I100))/(100*SUMPRODUCT('Lab value_Cal.'!$G20:$G100,'Lab value_Cal.'!$I20:$I100)))+16/116)))</f>
        <v/>
      </c>
      <c r="AH124" s="232" t="str">
        <f>IF(AH38="","",200*((IF(((SUMPRODUCT(AH38:AH118,'Lab value_Cal.'!$F20:$F100,'Lab value_Cal.'!$I20:$I100))/(100*(SUMPRODUCT('Lab value_Cal.'!$F20:$F100,'Lab value_Cal.'!$I20:$I100))))&gt;0.008856,((SUMPRODUCT(AH38:AH118,'Lab value_Cal.'!$F20:$F100,'Lab value_Cal.'!$I20:$I100))/(100*(SUMPRODUCT('Lab value_Cal.'!$F20:$F100,'Lab value_Cal.'!$I20:$I100))))^(1/3),7.787*((SUMPRODUCT(AH38:AH118,'Lab value_Cal.'!$F20:$F100,'Lab value_Cal.'!$I20:$I100))/(100*(SUMPRODUCT('Lab value_Cal.'!$F20:$F100,'Lab value_Cal.'!$I20:$I100))))+16/116))-IF(((SUMPRODUCT(AH38:AH118,'Lab value_Cal.'!$G20:$G100,'Lab value_Cal.'!$I20:$I100))/(100*SUMPRODUCT('Lab value_Cal.'!$G20:$G100,'Lab value_Cal.'!$I20:$I100)))&gt;0.008856,((SUMPRODUCT(AH38:AH118,'Lab value_Cal.'!$G20:$G100,'Lab value_Cal.'!$I20:$I100))/(100*SUMPRODUCT('Lab value_Cal.'!$G20:$G100,'Lab value_Cal.'!$I20:$I100)))^(1/3),7.787*((SUMPRODUCT(AH38:AH118,'Lab value_Cal.'!$G20:$G100,'Lab value_Cal.'!$I20:$I100))/(100*SUMPRODUCT('Lab value_Cal.'!$G20:$G100,'Lab value_Cal.'!$I20:$I100)))+16/116)))</f>
        <v/>
      </c>
      <c r="AI124" s="234"/>
      <c r="AJ124" s="234"/>
      <c r="AK124" s="235"/>
    </row>
    <row r="125" ht="8.25" customHeight="1"/>
  </sheetData>
  <protectedRanges>
    <protectedRange algorithmName="SHA-512" hashValue="WoWJVBkyuqXCDZsYRInL6q5Nbn0mWwxEsJpiECFtVwBghsgIcf7I3ydGYSxB+TMlx2QAqCvSYmiVKHADYA/8JQ==" saltValue="PQQ8eHhwJGYo1vcSUyLJmg==" spinCount="100000" sqref="B1:H1 B3 C4:D4 K4:AH14 J17 K18:AH118 M120:N120 R1:T1" name="可编辑区" securityDescriptor="O:WDG:WDD:(A;;CC;;;S-1-5-21-907112402-3766131179-2979934366-324834)(A;;CC;;;S-1-5-21-907112402-3766131179-2979934366-351811)(A;;CC;;;S-1-5-21-907112402-3766131179-2979934366-382924)(A;;CC;;;S-1-5-21-907112402-3766131179-2979934366-497993)(A;;CC;;;S-1-5-21-907112402-3766131179-2979934366-442656)(A;;CC;;;S-1-5-21-907112402-3766131179-2979934366-466120)(A;;CC;;;S-1-5-21-907112402-3766131179-2979934366-485600)"/>
  </protectedRanges>
  <mergeCells count="30">
    <mergeCell ref="C1:D1"/>
    <mergeCell ref="E1:F1"/>
    <mergeCell ref="G1:H1"/>
    <mergeCell ref="I1:P1"/>
    <mergeCell ref="J3:L3"/>
    <mergeCell ref="E5:F5"/>
    <mergeCell ref="G5:H5"/>
    <mergeCell ref="E6:F6"/>
    <mergeCell ref="G6:H6"/>
    <mergeCell ref="E7:F7"/>
    <mergeCell ref="G7:H7"/>
    <mergeCell ref="E8:F8"/>
    <mergeCell ref="G8:H8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J16:L16"/>
    <mergeCell ref="J120:L120"/>
    <mergeCell ref="B3:B4"/>
    <mergeCell ref="E3:F4"/>
    <mergeCell ref="G3:H4"/>
  </mergeCells>
  <conditionalFormatting sqref="G120:H120">
    <cfRule type="cellIs" dxfId="0" priority="1" operator="between">
      <formula>14</formula>
      <formula>26</formula>
    </cfRule>
    <cfRule type="cellIs" dxfId="1" priority="2" operator="notBetween">
      <formula>14</formula>
      <formula>26</formula>
    </cfRule>
  </conditionalFormatting>
  <conditionalFormatting sqref="C5:H13">
    <cfRule type="containsText" dxfId="2" priority="3" operator="between" text="\">
      <formula>NOT(ISERROR(SEARCH("\",C5)))</formula>
    </cfRule>
  </conditionalFormatting>
  <conditionalFormatting sqref="E5:F13">
    <cfRule type="cellIs" dxfId="3" priority="4" operator="greaterThan">
      <formula>0</formula>
    </cfRule>
    <cfRule type="cellIs" dxfId="4" priority="5" operator="lessThan">
      <formula>0</formula>
    </cfRule>
  </conditionalFormatting>
  <conditionalFormatting sqref="G5:H13">
    <cfRule type="cellIs" dxfId="5" priority="8" operator="lessThan">
      <formula>0</formula>
    </cfRule>
    <cfRule type="cellIs" dxfId="3" priority="9" operator="greaterThan">
      <formula>0</formula>
    </cfRule>
  </conditionalFormatting>
  <dataValidations count="12">
    <dataValidation type="list" allowBlank="1" showInputMessage="1" showErrorMessage="1" sqref="B1">
      <formula1>'Title Infomation'!$B$2:$B$48</formula1>
    </dataValidation>
    <dataValidation type="list" allowBlank="1" showInputMessage="1" showErrorMessage="1" sqref="C1:D1">
      <formula1>'Title Infomation'!$C$2:$C$9</formula1>
    </dataValidation>
    <dataValidation type="list" allowBlank="1" showInputMessage="1" showErrorMessage="1" sqref="G1:H1">
      <formula1>'Title Infomation'!$F$2:$F$11</formula1>
    </dataValidation>
    <dataValidation type="list" allowBlank="1" showInputMessage="1" showErrorMessage="1" sqref="E1:F1">
      <formula1>'Title Infomation'!$D$2:$D$6</formula1>
    </dataValidation>
    <dataValidation type="list" showInputMessage="1" showErrorMessage="1" sqref="R1">
      <formula1>'Title Infomation'!$I$2:$I$13</formula1>
    </dataValidation>
    <dataValidation type="list" showInputMessage="1" showErrorMessage="1" sqref="S1">
      <formula1>'Title Infomation'!$J$2:$J$14</formula1>
    </dataValidation>
    <dataValidation type="list" allowBlank="1" showInputMessage="1" showErrorMessage="1" sqref="C4:D4">
      <formula1>$K$4:$AH$4</formula1>
    </dataValidation>
    <dataValidation type="list" showInputMessage="1" showErrorMessage="1" sqref="T1">
      <formula1>'Title Infomation'!$K$2:$K$33</formula1>
    </dataValidation>
    <dataValidation type="list" allowBlank="1" showInputMessage="1" showErrorMessage="1" sqref="J17">
      <formula1>'MCS standard curve'!$B$3:$T$3</formula1>
    </dataValidation>
    <dataValidation type="list" allowBlank="1" showInputMessage="1" showErrorMessage="1" sqref="M120">
      <formula1>'Lab value_Cal.'!$I$3:$I$6</formula1>
    </dataValidation>
    <dataValidation type="list" allowBlank="1" showInputMessage="1" showErrorMessage="1" sqref="N120">
      <formula1>'Lab value_Cal.'!$E$3:$E$4</formula1>
    </dataValidation>
    <dataValidation type="list" allowBlank="1" showInputMessage="1" showErrorMessage="1" sqref="B3:B4">
      <formula1>'Product Material'!$C$2:$L$2</formula1>
    </dataValidation>
  </dataValidations>
  <pageMargins left="0.7" right="0.7" top="0.75" bottom="0.75" header="0.3" footer="0.3"/>
  <pageSetup paperSize="9" scale="1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8"/>
  <sheetViews>
    <sheetView workbookViewId="0">
      <selection activeCell="J2" sqref="J2"/>
    </sheetView>
  </sheetViews>
  <sheetFormatPr defaultColWidth="9" defaultRowHeight="13.5"/>
  <cols>
    <col min="1" max="1" width="2.5" style="2" customWidth="1"/>
    <col min="2" max="16384" width="9" style="2"/>
  </cols>
  <sheetData>
    <row r="2" spans="2:11">
      <c r="B2" s="126" t="s">
        <v>4</v>
      </c>
      <c r="C2" s="126" t="s">
        <v>5</v>
      </c>
      <c r="D2" s="126" t="s">
        <v>6</v>
      </c>
      <c r="E2" s="126" t="s">
        <v>31</v>
      </c>
      <c r="F2" s="126" t="s">
        <v>7</v>
      </c>
      <c r="I2" s="2" t="s">
        <v>10</v>
      </c>
      <c r="J2" s="2" t="s">
        <v>11</v>
      </c>
      <c r="K2" s="2" t="s">
        <v>12</v>
      </c>
    </row>
    <row r="3" spans="2:11"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I3" s="2">
        <v>2017</v>
      </c>
      <c r="J3" s="2" t="s">
        <v>37</v>
      </c>
      <c r="K3" s="2" t="s">
        <v>37</v>
      </c>
    </row>
    <row r="4" spans="2:11">
      <c r="B4" s="2" t="s">
        <v>38</v>
      </c>
      <c r="C4" s="2" t="s">
        <v>39</v>
      </c>
      <c r="D4" s="2" t="s">
        <v>40</v>
      </c>
      <c r="E4" s="2" t="s">
        <v>41</v>
      </c>
      <c r="F4" s="2" t="s">
        <v>42</v>
      </c>
      <c r="I4" s="2">
        <v>2018</v>
      </c>
      <c r="J4" s="2" t="s">
        <v>43</v>
      </c>
      <c r="K4" s="2" t="s">
        <v>43</v>
      </c>
    </row>
    <row r="5" spans="2:11">
      <c r="B5" s="2" t="s">
        <v>44</v>
      </c>
      <c r="C5" s="2">
        <v>1.53</v>
      </c>
      <c r="D5" s="2" t="s">
        <v>45</v>
      </c>
      <c r="E5" s="2" t="s">
        <v>46</v>
      </c>
      <c r="F5" s="2" t="s">
        <v>47</v>
      </c>
      <c r="I5" s="2">
        <v>2019</v>
      </c>
      <c r="J5" s="2" t="s">
        <v>48</v>
      </c>
      <c r="K5" s="2" t="s">
        <v>48</v>
      </c>
    </row>
    <row r="6" spans="2:11">
      <c r="B6" s="2" t="s">
        <v>49</v>
      </c>
      <c r="C6" s="2">
        <v>1.56</v>
      </c>
      <c r="E6" s="2" t="s">
        <v>50</v>
      </c>
      <c r="F6" s="2" t="s">
        <v>51</v>
      </c>
      <c r="I6" s="2">
        <v>2020</v>
      </c>
      <c r="J6" s="2" t="s">
        <v>52</v>
      </c>
      <c r="K6" s="2" t="s">
        <v>52</v>
      </c>
    </row>
    <row r="7" spans="2:11">
      <c r="B7" s="2" t="s">
        <v>53</v>
      </c>
      <c r="C7" s="2">
        <v>1.6</v>
      </c>
      <c r="E7" s="2" t="s">
        <v>54</v>
      </c>
      <c r="F7" s="2" t="s">
        <v>55</v>
      </c>
      <c r="I7" s="2">
        <v>2021</v>
      </c>
      <c r="J7" s="2" t="s">
        <v>56</v>
      </c>
      <c r="K7" s="2" t="s">
        <v>56</v>
      </c>
    </row>
    <row r="8" spans="2:11">
      <c r="B8" s="2" t="s">
        <v>57</v>
      </c>
      <c r="C8" s="2">
        <v>1.67</v>
      </c>
      <c r="E8" s="2" t="s">
        <v>58</v>
      </c>
      <c r="F8" s="2" t="s">
        <v>59</v>
      </c>
      <c r="I8" s="2">
        <v>2022</v>
      </c>
      <c r="J8" s="2" t="s">
        <v>60</v>
      </c>
      <c r="K8" s="2" t="s">
        <v>60</v>
      </c>
    </row>
    <row r="9" spans="2:11">
      <c r="B9" s="2" t="s">
        <v>61</v>
      </c>
      <c r="C9" s="2">
        <v>1.74</v>
      </c>
      <c r="F9" s="2" t="s">
        <v>62</v>
      </c>
      <c r="I9" s="2">
        <v>2023</v>
      </c>
      <c r="J9" s="2" t="s">
        <v>63</v>
      </c>
      <c r="K9" s="2" t="s">
        <v>63</v>
      </c>
    </row>
    <row r="10" spans="2:11">
      <c r="B10" s="2" t="s">
        <v>64</v>
      </c>
      <c r="F10" s="2" t="s">
        <v>65</v>
      </c>
      <c r="I10" s="2">
        <v>2024</v>
      </c>
      <c r="J10" s="2" t="s">
        <v>66</v>
      </c>
      <c r="K10" s="2" t="s">
        <v>66</v>
      </c>
    </row>
    <row r="11" spans="2:11">
      <c r="B11" s="2" t="s">
        <v>67</v>
      </c>
      <c r="F11" s="2" t="s">
        <v>68</v>
      </c>
      <c r="I11" s="2">
        <v>2025</v>
      </c>
      <c r="J11" s="2" t="s">
        <v>69</v>
      </c>
      <c r="K11" s="2" t="s">
        <v>69</v>
      </c>
    </row>
    <row r="12" spans="2:11">
      <c r="B12" s="2" t="s">
        <v>70</v>
      </c>
      <c r="I12" s="2">
        <v>2026</v>
      </c>
      <c r="J12" s="2" t="s">
        <v>26</v>
      </c>
      <c r="K12" s="2" t="s">
        <v>26</v>
      </c>
    </row>
    <row r="13" spans="2:11">
      <c r="B13" s="2" t="s">
        <v>71</v>
      </c>
      <c r="I13" s="2">
        <v>2027</v>
      </c>
      <c r="J13" s="2" t="s">
        <v>72</v>
      </c>
      <c r="K13" s="2" t="s">
        <v>72</v>
      </c>
    </row>
    <row r="14" spans="2:11">
      <c r="B14" s="2" t="s">
        <v>73</v>
      </c>
      <c r="J14" s="2" t="s">
        <v>74</v>
      </c>
      <c r="K14" s="2" t="s">
        <v>74</v>
      </c>
    </row>
    <row r="15" spans="2:11">
      <c r="B15" s="2" t="s">
        <v>75</v>
      </c>
      <c r="K15" s="2" t="s">
        <v>76</v>
      </c>
    </row>
    <row r="16" spans="2:11">
      <c r="B16" s="2" t="s">
        <v>77</v>
      </c>
      <c r="K16" s="2" t="s">
        <v>78</v>
      </c>
    </row>
    <row r="17" spans="2:11">
      <c r="B17" s="2" t="s">
        <v>79</v>
      </c>
      <c r="K17" s="2" t="s">
        <v>80</v>
      </c>
    </row>
    <row r="18" spans="2:11">
      <c r="B18" s="2" t="s">
        <v>81</v>
      </c>
      <c r="K18" s="2" t="s">
        <v>82</v>
      </c>
    </row>
    <row r="19" spans="2:11">
      <c r="B19" s="2" t="s">
        <v>83</v>
      </c>
      <c r="K19" s="2" t="s">
        <v>84</v>
      </c>
    </row>
    <row r="20" spans="2:11">
      <c r="B20" s="2" t="s">
        <v>85</v>
      </c>
      <c r="K20" s="2" t="s">
        <v>86</v>
      </c>
    </row>
    <row r="21" spans="2:11">
      <c r="B21" s="2" t="s">
        <v>87</v>
      </c>
      <c r="K21" s="2" t="s">
        <v>88</v>
      </c>
    </row>
    <row r="22" spans="2:11">
      <c r="B22" s="2" t="s">
        <v>89</v>
      </c>
      <c r="K22" s="2" t="s">
        <v>90</v>
      </c>
    </row>
    <row r="23" spans="2:11">
      <c r="B23" s="2" t="s">
        <v>91</v>
      </c>
      <c r="K23" s="2" t="s">
        <v>92</v>
      </c>
    </row>
    <row r="24" spans="2:11">
      <c r="B24" s="2" t="s">
        <v>93</v>
      </c>
      <c r="K24" s="2" t="s">
        <v>94</v>
      </c>
    </row>
    <row r="25" spans="2:11">
      <c r="B25" s="2" t="s">
        <v>95</v>
      </c>
      <c r="K25" s="2" t="s">
        <v>96</v>
      </c>
    </row>
    <row r="26" spans="2:11">
      <c r="B26" s="2" t="s">
        <v>97</v>
      </c>
      <c r="K26" s="2" t="s">
        <v>98</v>
      </c>
    </row>
    <row r="27" spans="2:11">
      <c r="B27" s="2" t="s">
        <v>99</v>
      </c>
      <c r="K27" s="2" t="s">
        <v>100</v>
      </c>
    </row>
    <row r="28" spans="2:11">
      <c r="B28" s="2" t="s">
        <v>101</v>
      </c>
      <c r="K28" s="2" t="s">
        <v>102</v>
      </c>
    </row>
    <row r="29" spans="2:11">
      <c r="B29" s="2" t="s">
        <v>103</v>
      </c>
      <c r="K29" s="2" t="s">
        <v>104</v>
      </c>
    </row>
    <row r="30" spans="2:11">
      <c r="B30" s="2" t="s">
        <v>105</v>
      </c>
      <c r="K30" s="2" t="s">
        <v>106</v>
      </c>
    </row>
    <row r="31" spans="2:11">
      <c r="B31" s="2" t="s">
        <v>107</v>
      </c>
      <c r="K31" s="2" t="s">
        <v>108</v>
      </c>
    </row>
    <row r="32" spans="2:11">
      <c r="B32" s="2" t="s">
        <v>109</v>
      </c>
      <c r="K32" s="2" t="s">
        <v>110</v>
      </c>
    </row>
    <row r="33" spans="2:11">
      <c r="B33" s="2" t="s">
        <v>111</v>
      </c>
      <c r="K33" s="2" t="s">
        <v>112</v>
      </c>
    </row>
    <row r="34" spans="2:2">
      <c r="B34" s="2" t="s">
        <v>113</v>
      </c>
    </row>
    <row r="35" spans="2:2">
      <c r="B35" s="2" t="s">
        <v>114</v>
      </c>
    </row>
    <row r="36" spans="2:2">
      <c r="B36" s="2" t="s">
        <v>115</v>
      </c>
    </row>
    <row r="37" spans="2:2">
      <c r="B37" s="2" t="s">
        <v>116</v>
      </c>
    </row>
    <row r="38" spans="2:2">
      <c r="B38" s="2" t="s">
        <v>117</v>
      </c>
    </row>
    <row r="39" spans="2:2">
      <c r="B39" s="2" t="s">
        <v>118</v>
      </c>
    </row>
    <row r="40" spans="2:2">
      <c r="B40" s="2" t="s">
        <v>119</v>
      </c>
    </row>
    <row r="41" spans="2:2">
      <c r="B41" s="2" t="s">
        <v>120</v>
      </c>
    </row>
    <row r="42" spans="2:2">
      <c r="B42" s="2" t="s">
        <v>121</v>
      </c>
    </row>
    <row r="43" spans="2:2">
      <c r="B43" s="2" t="s">
        <v>122</v>
      </c>
    </row>
    <row r="44" spans="2:2">
      <c r="B44" s="2" t="s">
        <v>123</v>
      </c>
    </row>
    <row r="45" spans="2:2">
      <c r="B45" s="2" t="s">
        <v>124</v>
      </c>
    </row>
    <row r="46" spans="2:2">
      <c r="B46" s="2" t="s">
        <v>125</v>
      </c>
    </row>
    <row r="47" spans="2:2">
      <c r="B47" s="2" t="s">
        <v>126</v>
      </c>
    </row>
    <row r="48" spans="2:2">
      <c r="B48" s="2" t="s">
        <v>127</v>
      </c>
    </row>
  </sheetData>
  <sheetProtection algorithmName="SHA-512" hashValue="SHOnBsHmG8ySNiK7PHc7OXrIhQorMYS9K5MagEq85SwWLvFTQdRAclw/UzpkVjOW548SS3cRuCNukbzIqrPxdQ==" saltValue="Us3S53EnNtymAXqtjq67sA==" spinCount="100000" sheet="1" objects="1" scenarios="1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"/>
  <sheetViews>
    <sheetView workbookViewId="0">
      <selection activeCell="E10" sqref="E10"/>
    </sheetView>
  </sheetViews>
  <sheetFormatPr defaultColWidth="9" defaultRowHeight="13.5"/>
  <cols>
    <col min="1" max="1" width="3" style="124" customWidth="1"/>
    <col min="2" max="2" width="17.25" style="124" customWidth="1"/>
    <col min="3" max="16384" width="9" style="124"/>
  </cols>
  <sheetData>
    <row r="2" ht="18.75" spans="2:12">
      <c r="B2" s="125" t="s">
        <v>128</v>
      </c>
      <c r="C2" s="126" t="s">
        <v>13</v>
      </c>
      <c r="D2" s="126" t="s">
        <v>36</v>
      </c>
      <c r="E2" s="126" t="s">
        <v>42</v>
      </c>
      <c r="F2" s="126" t="s">
        <v>47</v>
      </c>
      <c r="G2" s="126" t="s">
        <v>51</v>
      </c>
      <c r="H2" s="126" t="s">
        <v>55</v>
      </c>
      <c r="I2" s="126" t="s">
        <v>59</v>
      </c>
      <c r="J2" s="126" t="s">
        <v>62</v>
      </c>
      <c r="K2" s="126" t="s">
        <v>65</v>
      </c>
      <c r="L2" s="126" t="s">
        <v>68</v>
      </c>
    </row>
    <row r="3" spans="2:12">
      <c r="B3" s="42">
        <v>1</v>
      </c>
      <c r="C3" s="42" t="s">
        <v>129</v>
      </c>
      <c r="D3" s="42" t="s">
        <v>130</v>
      </c>
      <c r="E3" s="42" t="s">
        <v>130</v>
      </c>
      <c r="F3" s="42" t="s">
        <v>131</v>
      </c>
      <c r="G3" s="42" t="s">
        <v>131</v>
      </c>
      <c r="H3" s="42" t="s">
        <v>132</v>
      </c>
      <c r="I3" s="42" t="s">
        <v>132</v>
      </c>
      <c r="J3" s="42" t="s">
        <v>130</v>
      </c>
      <c r="K3" s="42" t="s">
        <v>130</v>
      </c>
      <c r="L3" s="42" t="s">
        <v>132</v>
      </c>
    </row>
    <row r="4" spans="2:12">
      <c r="B4" s="42">
        <v>2</v>
      </c>
      <c r="C4" s="42" t="s">
        <v>129</v>
      </c>
      <c r="D4" s="42" t="s">
        <v>133</v>
      </c>
      <c r="E4" s="42" t="s">
        <v>134</v>
      </c>
      <c r="F4" s="42" t="s">
        <v>132</v>
      </c>
      <c r="G4" s="42" t="s">
        <v>132</v>
      </c>
      <c r="H4" s="42" t="s">
        <v>135</v>
      </c>
      <c r="I4" s="42" t="s">
        <v>131</v>
      </c>
      <c r="J4" s="42" t="s">
        <v>133</v>
      </c>
      <c r="K4" s="42" t="s">
        <v>134</v>
      </c>
      <c r="L4" s="42" t="s">
        <v>135</v>
      </c>
    </row>
    <row r="5" spans="2:12">
      <c r="B5" s="42">
        <v>3</v>
      </c>
      <c r="C5" s="42" t="s">
        <v>129</v>
      </c>
      <c r="D5" s="42" t="s">
        <v>136</v>
      </c>
      <c r="E5" s="42" t="s">
        <v>132</v>
      </c>
      <c r="F5" s="42" t="s">
        <v>137</v>
      </c>
      <c r="G5" s="42" t="s">
        <v>137</v>
      </c>
      <c r="H5" s="42" t="s">
        <v>137</v>
      </c>
      <c r="I5" s="42" t="s">
        <v>132</v>
      </c>
      <c r="J5" s="42" t="s">
        <v>136</v>
      </c>
      <c r="K5" s="42" t="s">
        <v>132</v>
      </c>
      <c r="L5" s="42" t="s">
        <v>137</v>
      </c>
    </row>
    <row r="6" spans="2:12">
      <c r="B6" s="42">
        <v>4</v>
      </c>
      <c r="C6" s="42" t="s">
        <v>129</v>
      </c>
      <c r="D6" s="42" t="s">
        <v>137</v>
      </c>
      <c r="E6" s="42" t="s">
        <v>137</v>
      </c>
      <c r="F6" s="42" t="s">
        <v>132</v>
      </c>
      <c r="G6" s="42" t="s">
        <v>132</v>
      </c>
      <c r="H6" s="42" t="s">
        <v>132</v>
      </c>
      <c r="I6" s="42" t="s">
        <v>135</v>
      </c>
      <c r="J6" s="42" t="s">
        <v>137</v>
      </c>
      <c r="K6" s="42" t="s">
        <v>137</v>
      </c>
      <c r="L6" s="42" t="s">
        <v>132</v>
      </c>
    </row>
    <row r="7" spans="2:12">
      <c r="B7" s="42">
        <v>5</v>
      </c>
      <c r="C7" s="42" t="s">
        <v>129</v>
      </c>
      <c r="D7" s="42" t="s">
        <v>136</v>
      </c>
      <c r="E7" s="42" t="s">
        <v>132</v>
      </c>
      <c r="F7" s="42" t="s">
        <v>137</v>
      </c>
      <c r="G7" s="42" t="s">
        <v>135</v>
      </c>
      <c r="H7" s="42" t="s">
        <v>137</v>
      </c>
      <c r="I7" s="42" t="s">
        <v>131</v>
      </c>
      <c r="J7" s="42" t="s">
        <v>136</v>
      </c>
      <c r="K7" s="42" t="s">
        <v>132</v>
      </c>
      <c r="L7" s="42" t="s">
        <v>137</v>
      </c>
    </row>
    <row r="8" spans="2:12">
      <c r="B8" s="42">
        <v>6</v>
      </c>
      <c r="C8" s="42" t="s">
        <v>129</v>
      </c>
      <c r="D8" s="42" t="s">
        <v>135</v>
      </c>
      <c r="E8" s="42" t="s">
        <v>135</v>
      </c>
      <c r="F8" s="42" t="s">
        <v>132</v>
      </c>
      <c r="G8" s="42" t="s">
        <v>137</v>
      </c>
      <c r="H8" s="42" t="s">
        <v>132</v>
      </c>
      <c r="I8" s="42" t="s">
        <v>132</v>
      </c>
      <c r="J8" s="42" t="s">
        <v>135</v>
      </c>
      <c r="K8" s="42" t="s">
        <v>135</v>
      </c>
      <c r="L8" s="42" t="s">
        <v>132</v>
      </c>
    </row>
    <row r="9" spans="2:12">
      <c r="B9" s="42">
        <v>7</v>
      </c>
      <c r="C9" s="42" t="s">
        <v>129</v>
      </c>
      <c r="D9" s="42" t="s">
        <v>137</v>
      </c>
      <c r="E9" s="42" t="s">
        <v>137</v>
      </c>
      <c r="F9" s="42" t="s">
        <v>135</v>
      </c>
      <c r="G9" s="42" t="s">
        <v>132</v>
      </c>
      <c r="H9" s="42" t="s">
        <v>129</v>
      </c>
      <c r="I9" s="42" t="s">
        <v>129</v>
      </c>
      <c r="J9" s="42" t="s">
        <v>137</v>
      </c>
      <c r="K9" s="42" t="s">
        <v>137</v>
      </c>
      <c r="L9" s="42" t="s">
        <v>129</v>
      </c>
    </row>
    <row r="10" spans="2:12">
      <c r="B10" s="42">
        <v>8</v>
      </c>
      <c r="C10" s="42" t="s">
        <v>129</v>
      </c>
      <c r="D10" s="42" t="s">
        <v>136</v>
      </c>
      <c r="E10" s="42" t="s">
        <v>132</v>
      </c>
      <c r="F10" s="42" t="s">
        <v>137</v>
      </c>
      <c r="G10" s="42" t="s">
        <v>129</v>
      </c>
      <c r="H10" s="42" t="s">
        <v>129</v>
      </c>
      <c r="I10" s="42" t="s">
        <v>129</v>
      </c>
      <c r="J10" s="42" t="s">
        <v>136</v>
      </c>
      <c r="K10" s="42" t="s">
        <v>132</v>
      </c>
      <c r="L10" s="42" t="s">
        <v>129</v>
      </c>
    </row>
    <row r="11" spans="2:12">
      <c r="B11" s="42">
        <v>9</v>
      </c>
      <c r="C11" s="42" t="s">
        <v>129</v>
      </c>
      <c r="D11" s="42" t="s">
        <v>129</v>
      </c>
      <c r="E11" s="42" t="s">
        <v>129</v>
      </c>
      <c r="F11" s="42" t="s">
        <v>132</v>
      </c>
      <c r="G11" s="42" t="s">
        <v>129</v>
      </c>
      <c r="H11" s="42" t="s">
        <v>129</v>
      </c>
      <c r="I11" s="42" t="s">
        <v>129</v>
      </c>
      <c r="J11" s="42" t="s">
        <v>129</v>
      </c>
      <c r="K11" s="42" t="s">
        <v>129</v>
      </c>
      <c r="L11" s="42" t="s">
        <v>129</v>
      </c>
    </row>
  </sheetData>
  <sheetProtection algorithmName="SHA-512" hashValue="yiIRptvGEUjSIIa+fvrXEfrM+AT45XZjXOJfR7s/IVmMMlCikz1TNFy/3fHk85P6iLZtFOBBn4SULoTyBt0cuQ==" saltValue="dUGPPRhvxTmulN93bOHMEw==" spinCount="100000" sheet="1" objects="1" scenarios="1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L15" sqref="L15"/>
    </sheetView>
  </sheetViews>
  <sheetFormatPr defaultColWidth="9" defaultRowHeight="13.5"/>
  <cols>
    <col min="2" max="20" width="11.875" customWidth="1"/>
  </cols>
  <sheetData>
    <row r="1" ht="31.5" spans="1:1">
      <c r="A1" s="116" t="s">
        <v>138</v>
      </c>
    </row>
    <row r="2" spans="1:1">
      <c r="A2" s="117"/>
    </row>
    <row r="3" spans="1:20">
      <c r="A3" s="118" t="s">
        <v>139</v>
      </c>
      <c r="B3" s="119" t="s">
        <v>13</v>
      </c>
      <c r="C3" s="120" t="s">
        <v>140</v>
      </c>
      <c r="D3" s="120" t="s">
        <v>141</v>
      </c>
      <c r="E3" s="120" t="s">
        <v>142</v>
      </c>
      <c r="F3" s="120" t="s">
        <v>143</v>
      </c>
      <c r="G3" s="121" t="s">
        <v>144</v>
      </c>
      <c r="H3" s="121" t="s">
        <v>144</v>
      </c>
      <c r="I3" s="120" t="s">
        <v>145</v>
      </c>
      <c r="J3" s="120" t="s">
        <v>146</v>
      </c>
      <c r="K3" s="120" t="s">
        <v>147</v>
      </c>
      <c r="L3" s="120" t="s">
        <v>148</v>
      </c>
      <c r="M3" s="120" t="s">
        <v>149</v>
      </c>
      <c r="N3" s="120" t="s">
        <v>150</v>
      </c>
      <c r="O3" s="119" t="s">
        <v>151</v>
      </c>
      <c r="P3" s="119" t="s">
        <v>152</v>
      </c>
      <c r="Q3" s="120" t="s">
        <v>153</v>
      </c>
      <c r="R3" s="119" t="s">
        <v>154</v>
      </c>
      <c r="S3" s="119" t="s">
        <v>155</v>
      </c>
      <c r="T3" s="119" t="s">
        <v>156</v>
      </c>
    </row>
    <row r="4" spans="1:20">
      <c r="A4" s="118"/>
      <c r="B4" s="121"/>
      <c r="C4" s="120"/>
      <c r="D4" s="120"/>
      <c r="E4" s="120"/>
      <c r="F4" s="120"/>
      <c r="G4" s="121"/>
      <c r="H4" s="121"/>
      <c r="I4" s="120"/>
      <c r="J4" s="120"/>
      <c r="K4" s="120"/>
      <c r="L4" s="120"/>
      <c r="M4" s="120"/>
      <c r="N4" s="120"/>
      <c r="O4" s="121"/>
      <c r="P4" s="121"/>
      <c r="Q4" s="121"/>
      <c r="R4" s="121"/>
      <c r="S4" s="121"/>
      <c r="T4" s="121"/>
    </row>
    <row r="5" spans="1:20">
      <c r="A5" s="118"/>
      <c r="B5" s="121"/>
      <c r="C5" s="120"/>
      <c r="D5" s="120"/>
      <c r="E5" s="120"/>
      <c r="F5" s="120"/>
      <c r="G5" s="121"/>
      <c r="H5" s="121"/>
      <c r="I5" s="120"/>
      <c r="J5" s="120"/>
      <c r="K5" s="120"/>
      <c r="L5" s="120"/>
      <c r="M5" s="120"/>
      <c r="N5" s="120"/>
      <c r="O5" s="121"/>
      <c r="P5" s="121"/>
      <c r="Q5" s="121"/>
      <c r="R5" s="121"/>
      <c r="S5" s="121"/>
      <c r="T5" s="121"/>
    </row>
    <row r="6" spans="1:20">
      <c r="A6" s="118"/>
      <c r="B6" s="121"/>
      <c r="C6" s="120"/>
      <c r="D6" s="120"/>
      <c r="E6" s="120"/>
      <c r="F6" s="120"/>
      <c r="G6" s="121"/>
      <c r="H6" s="121"/>
      <c r="I6" s="120"/>
      <c r="J6" s="120"/>
      <c r="K6" s="120"/>
      <c r="L6" s="120"/>
      <c r="M6" s="120"/>
      <c r="N6" s="120"/>
      <c r="O6" s="121"/>
      <c r="P6" s="121"/>
      <c r="Q6" s="121"/>
      <c r="R6" s="121"/>
      <c r="S6" s="121"/>
      <c r="T6" s="121"/>
    </row>
    <row r="7" spans="1:20">
      <c r="A7" s="118"/>
      <c r="B7" s="121"/>
      <c r="C7" s="120"/>
      <c r="D7" s="120"/>
      <c r="E7" s="120"/>
      <c r="F7" s="120"/>
      <c r="G7" s="121"/>
      <c r="H7" s="121"/>
      <c r="I7" s="120"/>
      <c r="J7" s="120"/>
      <c r="K7" s="120"/>
      <c r="L7" s="120"/>
      <c r="M7" s="120"/>
      <c r="N7" s="120"/>
      <c r="O7" s="121"/>
      <c r="P7" s="121"/>
      <c r="Q7" s="121"/>
      <c r="R7" s="121"/>
      <c r="S7" s="121"/>
      <c r="T7" s="121"/>
    </row>
    <row r="8" spans="1:20">
      <c r="A8" s="118"/>
      <c r="B8" s="121"/>
      <c r="C8" s="120"/>
      <c r="D8" s="120"/>
      <c r="E8" s="120"/>
      <c r="F8" s="120"/>
      <c r="G8" s="121"/>
      <c r="H8" s="121"/>
      <c r="I8" s="120"/>
      <c r="J8" s="120"/>
      <c r="K8" s="120"/>
      <c r="L8" s="120"/>
      <c r="M8" s="120"/>
      <c r="N8" s="120"/>
      <c r="O8" s="121"/>
      <c r="P8" s="121"/>
      <c r="Q8" s="121"/>
      <c r="R8" s="121"/>
      <c r="S8" s="121"/>
      <c r="T8" s="121"/>
    </row>
    <row r="9" spans="1:20">
      <c r="A9" s="118"/>
      <c r="B9" s="121"/>
      <c r="C9" s="120"/>
      <c r="D9" s="120"/>
      <c r="E9" s="120"/>
      <c r="F9" s="120"/>
      <c r="G9" s="121"/>
      <c r="H9" s="121"/>
      <c r="I9" s="120"/>
      <c r="J9" s="120"/>
      <c r="K9" s="120"/>
      <c r="L9" s="120"/>
      <c r="M9" s="120"/>
      <c r="N9" s="120"/>
      <c r="O9" s="121"/>
      <c r="P9" s="121"/>
      <c r="Q9" s="121"/>
      <c r="R9" s="121"/>
      <c r="S9" s="121"/>
      <c r="T9" s="121"/>
    </row>
    <row r="10" spans="1:20">
      <c r="A10" s="118"/>
      <c r="B10" s="121"/>
      <c r="C10" s="120"/>
      <c r="D10" s="120"/>
      <c r="E10" s="120"/>
      <c r="F10" s="120"/>
      <c r="G10" s="121"/>
      <c r="H10" s="121"/>
      <c r="I10" s="120"/>
      <c r="J10" s="120"/>
      <c r="K10" s="120"/>
      <c r="L10" s="120"/>
      <c r="M10" s="120"/>
      <c r="N10" s="120"/>
      <c r="O10" s="121"/>
      <c r="P10" s="121"/>
      <c r="Q10" s="121"/>
      <c r="R10" s="121"/>
      <c r="S10" s="121"/>
      <c r="T10" s="121"/>
    </row>
    <row r="11" spans="1:20">
      <c r="A11" s="118"/>
      <c r="B11" s="121"/>
      <c r="C11" s="120"/>
      <c r="D11" s="120"/>
      <c r="E11" s="120"/>
      <c r="F11" s="120"/>
      <c r="G11" s="121"/>
      <c r="H11" s="121"/>
      <c r="I11" s="120"/>
      <c r="J11" s="120"/>
      <c r="K11" s="120"/>
      <c r="L11" s="120"/>
      <c r="M11" s="120"/>
      <c r="N11" s="120"/>
      <c r="O11" s="121"/>
      <c r="P11" s="121"/>
      <c r="Q11" s="121"/>
      <c r="R11" s="121"/>
      <c r="S11" s="121"/>
      <c r="T11" s="121"/>
    </row>
    <row r="12" spans="1:20">
      <c r="A12" s="118"/>
      <c r="B12" s="121"/>
      <c r="C12" s="120"/>
      <c r="D12" s="120"/>
      <c r="E12" s="120"/>
      <c r="F12" s="120"/>
      <c r="G12" s="121"/>
      <c r="H12" s="121"/>
      <c r="I12" s="120"/>
      <c r="J12" s="120"/>
      <c r="K12" s="120"/>
      <c r="L12" s="120"/>
      <c r="M12" s="120"/>
      <c r="N12" s="120"/>
      <c r="O12" s="121"/>
      <c r="P12" s="121"/>
      <c r="Q12" s="121"/>
      <c r="R12" s="121"/>
      <c r="S12" s="121"/>
      <c r="T12" s="121"/>
    </row>
    <row r="13" spans="1:20">
      <c r="A13" s="118"/>
      <c r="B13" s="121"/>
      <c r="C13" s="120"/>
      <c r="D13" s="120"/>
      <c r="E13" s="120"/>
      <c r="F13" s="120"/>
      <c r="G13" s="121"/>
      <c r="H13" s="121"/>
      <c r="I13" s="120"/>
      <c r="J13" s="120"/>
      <c r="K13" s="120"/>
      <c r="L13" s="120"/>
      <c r="M13" s="120"/>
      <c r="N13" s="120"/>
      <c r="O13" s="121"/>
      <c r="P13" s="121"/>
      <c r="Q13" s="121"/>
      <c r="R13" s="121"/>
      <c r="S13" s="121"/>
      <c r="T13" s="121"/>
    </row>
    <row r="14" spans="1:20">
      <c r="A14" s="118"/>
      <c r="B14" s="121"/>
      <c r="C14" s="120"/>
      <c r="D14" s="120"/>
      <c r="E14" s="120"/>
      <c r="F14" s="120"/>
      <c r="G14" s="121"/>
      <c r="H14" s="121"/>
      <c r="I14" s="120"/>
      <c r="J14" s="120"/>
      <c r="K14" s="120"/>
      <c r="L14" s="120"/>
      <c r="M14" s="120"/>
      <c r="N14" s="120"/>
      <c r="O14" s="121"/>
      <c r="P14" s="121"/>
      <c r="Q14" s="121"/>
      <c r="R14" s="121"/>
      <c r="S14" s="121"/>
      <c r="T14" s="121"/>
    </row>
    <row r="15" spans="1:20">
      <c r="A15" s="118"/>
      <c r="B15" s="121"/>
      <c r="C15" s="120"/>
      <c r="D15" s="120"/>
      <c r="E15" s="120"/>
      <c r="F15" s="120"/>
      <c r="G15" s="121"/>
      <c r="H15" s="121"/>
      <c r="I15" s="120"/>
      <c r="J15" s="120"/>
      <c r="K15" s="120"/>
      <c r="L15" s="120"/>
      <c r="M15" s="120"/>
      <c r="N15" s="120"/>
      <c r="O15" s="121"/>
      <c r="P15" s="121"/>
      <c r="Q15" s="121"/>
      <c r="R15" s="121"/>
      <c r="S15" s="121"/>
      <c r="T15" s="121"/>
    </row>
    <row r="16" spans="1:20">
      <c r="A16" s="118"/>
      <c r="B16" s="121"/>
      <c r="C16" s="120"/>
      <c r="D16" s="120"/>
      <c r="E16" s="120"/>
      <c r="F16" s="120"/>
      <c r="G16" s="121"/>
      <c r="H16" s="121"/>
      <c r="I16" s="120"/>
      <c r="J16" s="120"/>
      <c r="K16" s="120"/>
      <c r="L16" s="120"/>
      <c r="M16" s="120"/>
      <c r="N16" s="120"/>
      <c r="O16" s="121"/>
      <c r="P16" s="121"/>
      <c r="Q16" s="121"/>
      <c r="R16" s="121"/>
      <c r="S16" s="121"/>
      <c r="T16" s="121"/>
    </row>
    <row r="17" spans="1:20">
      <c r="A17" s="118"/>
      <c r="B17" s="121"/>
      <c r="C17" s="120"/>
      <c r="D17" s="120"/>
      <c r="E17" s="120"/>
      <c r="F17" s="120"/>
      <c r="G17" s="121"/>
      <c r="H17" s="121"/>
      <c r="I17" s="120"/>
      <c r="J17" s="120"/>
      <c r="K17" s="120"/>
      <c r="L17" s="120"/>
      <c r="M17" s="120"/>
      <c r="N17" s="120"/>
      <c r="O17" s="121"/>
      <c r="P17" s="121"/>
      <c r="Q17" s="121"/>
      <c r="R17" s="121"/>
      <c r="S17" s="121"/>
      <c r="T17" s="121"/>
    </row>
    <row r="18" spans="1:20">
      <c r="A18" s="118"/>
      <c r="B18" s="121"/>
      <c r="C18" s="120"/>
      <c r="D18" s="120"/>
      <c r="E18" s="120"/>
      <c r="F18" s="120"/>
      <c r="G18" s="121"/>
      <c r="H18" s="121"/>
      <c r="I18" s="120"/>
      <c r="J18" s="120"/>
      <c r="K18" s="120"/>
      <c r="L18" s="120"/>
      <c r="M18" s="120"/>
      <c r="N18" s="120"/>
      <c r="O18" s="121"/>
      <c r="P18" s="121"/>
      <c r="Q18" s="121"/>
      <c r="R18" s="121"/>
      <c r="S18" s="121"/>
      <c r="T18" s="121"/>
    </row>
    <row r="19" spans="1:20">
      <c r="A19" s="118"/>
      <c r="B19" s="121"/>
      <c r="C19" s="120"/>
      <c r="D19" s="120"/>
      <c r="E19" s="120"/>
      <c r="F19" s="120"/>
      <c r="G19" s="121"/>
      <c r="H19" s="121"/>
      <c r="I19" s="120"/>
      <c r="J19" s="120"/>
      <c r="K19" s="120"/>
      <c r="L19" s="120"/>
      <c r="M19" s="120"/>
      <c r="N19" s="120"/>
      <c r="O19" s="121"/>
      <c r="P19" s="121"/>
      <c r="Q19" s="121"/>
      <c r="R19" s="121"/>
      <c r="S19" s="121"/>
      <c r="T19" s="121"/>
    </row>
    <row r="20" spans="1:20">
      <c r="A20" s="118"/>
      <c r="B20" s="121"/>
      <c r="C20" s="120"/>
      <c r="D20" s="120"/>
      <c r="E20" s="120"/>
      <c r="F20" s="120"/>
      <c r="G20" s="121"/>
      <c r="H20" s="121"/>
      <c r="I20" s="120"/>
      <c r="J20" s="120"/>
      <c r="K20" s="120"/>
      <c r="L20" s="120"/>
      <c r="M20" s="120"/>
      <c r="N20" s="120"/>
      <c r="O20" s="121"/>
      <c r="P20" s="121"/>
      <c r="Q20" s="121"/>
      <c r="R20" s="121"/>
      <c r="S20" s="121"/>
      <c r="T20" s="121"/>
    </row>
    <row r="21" spans="1:20">
      <c r="A21" s="118"/>
      <c r="B21" s="121"/>
      <c r="C21" s="120"/>
      <c r="D21" s="120"/>
      <c r="E21" s="120"/>
      <c r="F21" s="120"/>
      <c r="G21" s="121"/>
      <c r="H21" s="121"/>
      <c r="I21" s="120"/>
      <c r="J21" s="120"/>
      <c r="K21" s="120"/>
      <c r="L21" s="120"/>
      <c r="M21" s="120"/>
      <c r="N21" s="120"/>
      <c r="O21" s="121"/>
      <c r="P21" s="121"/>
      <c r="Q21" s="121"/>
      <c r="R21" s="121"/>
      <c r="S21" s="121"/>
      <c r="T21" s="121"/>
    </row>
    <row r="22" spans="1:20">
      <c r="A22" s="118"/>
      <c r="B22" s="121"/>
      <c r="C22" s="120"/>
      <c r="D22" s="120"/>
      <c r="E22" s="120"/>
      <c r="F22" s="120"/>
      <c r="G22" s="121"/>
      <c r="H22" s="121"/>
      <c r="I22" s="120"/>
      <c r="J22" s="120"/>
      <c r="K22" s="120"/>
      <c r="L22" s="120"/>
      <c r="M22" s="120"/>
      <c r="N22" s="120"/>
      <c r="O22" s="121"/>
      <c r="P22" s="121"/>
      <c r="Q22" s="121"/>
      <c r="R22" s="121"/>
      <c r="S22" s="121"/>
      <c r="T22" s="121"/>
    </row>
    <row r="23" spans="1:20">
      <c r="A23" s="118"/>
      <c r="B23" s="121"/>
      <c r="C23" s="120"/>
      <c r="D23" s="120"/>
      <c r="E23" s="120"/>
      <c r="F23" s="120"/>
      <c r="G23" s="121"/>
      <c r="H23" s="121"/>
      <c r="I23" s="120"/>
      <c r="J23" s="120"/>
      <c r="K23" s="120"/>
      <c r="L23" s="120"/>
      <c r="M23" s="120"/>
      <c r="N23" s="120"/>
      <c r="O23" s="121"/>
      <c r="P23" s="121"/>
      <c r="Q23" s="121"/>
      <c r="R23" s="121"/>
      <c r="S23" s="121"/>
      <c r="T23" s="121"/>
    </row>
    <row r="24" spans="1:20">
      <c r="A24" s="42">
        <v>380</v>
      </c>
      <c r="B24" s="120"/>
      <c r="C24" s="120">
        <v>9.3502</v>
      </c>
      <c r="D24" s="122">
        <v>14.396</v>
      </c>
      <c r="E24" s="122">
        <v>5.32</v>
      </c>
      <c r="F24" s="122">
        <v>42.981</v>
      </c>
      <c r="G24" s="123">
        <v>17.3228606</v>
      </c>
      <c r="H24" s="123">
        <v>17.3228606</v>
      </c>
      <c r="I24" s="123">
        <v>12.3098909</v>
      </c>
      <c r="J24" s="122">
        <v>5.285</v>
      </c>
      <c r="K24" s="122">
        <v>9.47</v>
      </c>
      <c r="L24" s="122">
        <v>8.7458</v>
      </c>
      <c r="M24" s="122">
        <v>12.602</v>
      </c>
      <c r="N24" s="122">
        <v>15.738</v>
      </c>
      <c r="O24" s="120">
        <v>4.9068</v>
      </c>
      <c r="P24" s="120">
        <v>12.1661</v>
      </c>
      <c r="Q24" s="122">
        <v>8.945</v>
      </c>
      <c r="R24" s="120">
        <v>9.8394</v>
      </c>
      <c r="S24" s="122">
        <v>3.3047</v>
      </c>
      <c r="T24" s="120">
        <v>7.3062</v>
      </c>
    </row>
    <row r="25" spans="1:20">
      <c r="A25" s="42">
        <v>385</v>
      </c>
      <c r="B25" s="120"/>
      <c r="C25" s="120">
        <v>7.249</v>
      </c>
      <c r="D25" s="122">
        <v>10.836</v>
      </c>
      <c r="E25" s="122">
        <v>3.6</v>
      </c>
      <c r="F25" s="122">
        <v>38.932</v>
      </c>
      <c r="G25" s="123">
        <v>12.4723301</v>
      </c>
      <c r="H25" s="123">
        <v>12.4723301</v>
      </c>
      <c r="I25" s="123">
        <v>8.57763905</v>
      </c>
      <c r="J25" s="122">
        <v>4.16</v>
      </c>
      <c r="K25" s="122">
        <v>6.92</v>
      </c>
      <c r="L25" s="122">
        <v>6.0584</v>
      </c>
      <c r="M25" s="122">
        <v>10.343</v>
      </c>
      <c r="N25" s="122">
        <v>12.117</v>
      </c>
      <c r="O25" s="120">
        <v>4.19375</v>
      </c>
      <c r="P25" s="120">
        <v>9.84575</v>
      </c>
      <c r="Q25" s="122">
        <v>6.665</v>
      </c>
      <c r="R25" s="120">
        <v>6.70695</v>
      </c>
      <c r="S25" s="122">
        <v>2.3308</v>
      </c>
      <c r="T25" s="120">
        <v>5.9017</v>
      </c>
    </row>
    <row r="26" spans="1:20">
      <c r="A26" s="42">
        <v>390</v>
      </c>
      <c r="B26" s="120"/>
      <c r="C26" s="120">
        <v>6.0956</v>
      </c>
      <c r="D26" s="122">
        <v>7.542</v>
      </c>
      <c r="E26" s="122">
        <v>2.315</v>
      </c>
      <c r="F26" s="122">
        <v>35.364</v>
      </c>
      <c r="G26" s="123">
        <v>8.6236535</v>
      </c>
      <c r="H26" s="123">
        <v>8.6236535</v>
      </c>
      <c r="I26" s="123">
        <v>5.686431</v>
      </c>
      <c r="J26" s="122">
        <v>2.875</v>
      </c>
      <c r="K26" s="122">
        <v>4.745</v>
      </c>
      <c r="L26" s="122">
        <v>4.3134</v>
      </c>
      <c r="M26" s="122">
        <v>8.278</v>
      </c>
      <c r="N26" s="122">
        <v>9.192</v>
      </c>
      <c r="O26" s="120">
        <v>3.3957</v>
      </c>
      <c r="P26" s="120">
        <v>7.7654</v>
      </c>
      <c r="Q26" s="122">
        <v>4.69</v>
      </c>
      <c r="R26" s="120">
        <v>4.4245</v>
      </c>
      <c r="S26" s="122">
        <v>1.5277</v>
      </c>
      <c r="T26" s="120">
        <v>4.4323</v>
      </c>
    </row>
    <row r="27" spans="1:20">
      <c r="A27" s="42">
        <v>395</v>
      </c>
      <c r="B27" s="120"/>
      <c r="C27" s="120">
        <v>3.4627</v>
      </c>
      <c r="D27" s="122">
        <v>5.076</v>
      </c>
      <c r="E27" s="122">
        <v>1.2</v>
      </c>
      <c r="F27" s="122">
        <v>32.033</v>
      </c>
      <c r="G27" s="123">
        <v>6.09251805</v>
      </c>
      <c r="H27" s="123">
        <v>6.09251805</v>
      </c>
      <c r="I27" s="123">
        <v>3.63726455</v>
      </c>
      <c r="J27" s="122">
        <v>1.92</v>
      </c>
      <c r="K27" s="122">
        <v>2.63</v>
      </c>
      <c r="L27" s="122">
        <v>3.0643</v>
      </c>
      <c r="M27" s="122">
        <v>6.112</v>
      </c>
      <c r="N27" s="122">
        <v>6.894</v>
      </c>
      <c r="O27" s="120">
        <v>2.59915</v>
      </c>
      <c r="P27" s="120">
        <v>5.8101</v>
      </c>
      <c r="Q27" s="122">
        <v>3.23</v>
      </c>
      <c r="R27" s="120">
        <v>2.9042</v>
      </c>
      <c r="S27" s="122">
        <v>0.8651</v>
      </c>
      <c r="T27" s="120">
        <v>3.28705</v>
      </c>
    </row>
    <row r="28" spans="1:20">
      <c r="A28" s="42">
        <v>400</v>
      </c>
      <c r="B28" s="120"/>
      <c r="C28" s="120">
        <v>2.7247</v>
      </c>
      <c r="D28" s="122">
        <v>3.278</v>
      </c>
      <c r="E28" s="122">
        <v>0.87</v>
      </c>
      <c r="F28" s="122">
        <v>28.395</v>
      </c>
      <c r="G28" s="123">
        <v>3.9169583</v>
      </c>
      <c r="H28" s="123">
        <v>3.9169583</v>
      </c>
      <c r="I28" s="123">
        <v>2.0603763</v>
      </c>
      <c r="J28" s="122">
        <v>1.25</v>
      </c>
      <c r="K28" s="122">
        <v>1.335</v>
      </c>
      <c r="L28" s="122">
        <v>1.8685</v>
      </c>
      <c r="M28" s="122">
        <v>4.505</v>
      </c>
      <c r="N28" s="122">
        <v>4.895</v>
      </c>
      <c r="O28" s="120">
        <v>1.9999</v>
      </c>
      <c r="P28" s="120">
        <v>4.2635</v>
      </c>
      <c r="Q28" s="122">
        <v>2.025</v>
      </c>
      <c r="R28" s="120">
        <v>1.6672</v>
      </c>
      <c r="S28" s="122">
        <v>0.5487</v>
      </c>
      <c r="T28" s="120">
        <v>2.4951</v>
      </c>
    </row>
    <row r="29" spans="1:20">
      <c r="A29" s="42">
        <v>405</v>
      </c>
      <c r="B29" s="120"/>
      <c r="C29" s="120">
        <v>2.2803</v>
      </c>
      <c r="D29" s="122">
        <v>1.85</v>
      </c>
      <c r="E29" s="122">
        <v>0.57</v>
      </c>
      <c r="F29" s="122">
        <v>25.328</v>
      </c>
      <c r="G29" s="123">
        <v>2.0676046</v>
      </c>
      <c r="H29" s="123">
        <v>2.0676046</v>
      </c>
      <c r="I29" s="123">
        <v>1.1170202</v>
      </c>
      <c r="J29" s="122">
        <v>0.855</v>
      </c>
      <c r="K29" s="122">
        <v>0.545</v>
      </c>
      <c r="L29" s="122">
        <v>1.2216</v>
      </c>
      <c r="M29" s="122">
        <v>3.269</v>
      </c>
      <c r="N29" s="122">
        <v>3.187</v>
      </c>
      <c r="O29" s="120">
        <v>1.57615</v>
      </c>
      <c r="P29" s="120">
        <v>3.0227</v>
      </c>
      <c r="Q29" s="122">
        <v>1.225</v>
      </c>
      <c r="R29" s="120">
        <v>0.83915</v>
      </c>
      <c r="S29" s="122">
        <v>0.3667</v>
      </c>
      <c r="T29" s="120">
        <v>1.8722</v>
      </c>
    </row>
    <row r="30" spans="1:20">
      <c r="A30" s="42">
        <v>410</v>
      </c>
      <c r="B30" s="120"/>
      <c r="C30" s="120">
        <v>1.0067</v>
      </c>
      <c r="D30" s="122">
        <v>0.98</v>
      </c>
      <c r="E30" s="122">
        <v>0.45</v>
      </c>
      <c r="F30" s="122">
        <v>22.913</v>
      </c>
      <c r="G30" s="123">
        <v>1.1244818</v>
      </c>
      <c r="H30" s="123">
        <v>1.1244818</v>
      </c>
      <c r="I30" s="123">
        <v>0.5288608</v>
      </c>
      <c r="J30" s="122">
        <v>0.69</v>
      </c>
      <c r="K30" s="122">
        <v>0.26</v>
      </c>
      <c r="L30" s="122">
        <v>0.9462</v>
      </c>
      <c r="M30" s="122">
        <v>2.11</v>
      </c>
      <c r="N30" s="122">
        <v>1.897</v>
      </c>
      <c r="O30" s="120">
        <v>1.1595</v>
      </c>
      <c r="P30" s="120">
        <v>1.9519</v>
      </c>
      <c r="Q30" s="122">
        <v>0.785</v>
      </c>
      <c r="R30" s="120">
        <v>0.4049</v>
      </c>
      <c r="S30" s="122">
        <v>0.172</v>
      </c>
      <c r="T30" s="120">
        <v>1.245</v>
      </c>
    </row>
    <row r="31" spans="1:20">
      <c r="A31" s="42">
        <v>415</v>
      </c>
      <c r="B31" s="120"/>
      <c r="C31" s="120">
        <v>0.8761</v>
      </c>
      <c r="D31" s="122">
        <v>0.545</v>
      </c>
      <c r="E31" s="122">
        <v>0.695</v>
      </c>
      <c r="F31" s="122">
        <v>19.892</v>
      </c>
      <c r="G31" s="123">
        <v>0.65749035</v>
      </c>
      <c r="H31" s="123">
        <v>0.65749035</v>
      </c>
      <c r="I31" s="123">
        <v>0.1672283</v>
      </c>
      <c r="J31" s="122">
        <v>0.67</v>
      </c>
      <c r="K31" s="122">
        <v>0.325</v>
      </c>
      <c r="L31" s="122">
        <v>0.6608</v>
      </c>
      <c r="M31" s="122">
        <v>1.298</v>
      </c>
      <c r="N31" s="122">
        <v>1.086</v>
      </c>
      <c r="O31" s="120">
        <v>0.7713</v>
      </c>
      <c r="P31" s="120">
        <v>1.2693</v>
      </c>
      <c r="Q31" s="122">
        <v>0.53</v>
      </c>
      <c r="R31" s="120">
        <v>0.2648</v>
      </c>
      <c r="S31" s="122">
        <v>0.0666</v>
      </c>
      <c r="T31" s="120">
        <v>0.72705</v>
      </c>
    </row>
    <row r="32" spans="1:20">
      <c r="A32" s="42">
        <v>420</v>
      </c>
      <c r="B32" s="120"/>
      <c r="C32" s="120">
        <v>0.9819</v>
      </c>
      <c r="D32" s="122">
        <v>0.266</v>
      </c>
      <c r="E32" s="122">
        <v>1.025</v>
      </c>
      <c r="F32" s="122">
        <v>17.026</v>
      </c>
      <c r="G32" s="123">
        <v>0.1925469</v>
      </c>
      <c r="H32" s="123">
        <v>0.1925469</v>
      </c>
      <c r="I32" s="123">
        <v>0.0289828</v>
      </c>
      <c r="J32" s="122">
        <v>0.805</v>
      </c>
      <c r="K32" s="122">
        <v>0.585</v>
      </c>
      <c r="L32" s="122">
        <v>0.5658</v>
      </c>
      <c r="M32" s="122">
        <v>0.809</v>
      </c>
      <c r="N32" s="122">
        <v>0.6</v>
      </c>
      <c r="O32" s="120">
        <v>0.4931</v>
      </c>
      <c r="P32" s="120">
        <v>0.7655</v>
      </c>
      <c r="Q32" s="122">
        <v>0.465</v>
      </c>
      <c r="R32" s="120">
        <v>0.1962</v>
      </c>
      <c r="S32" s="122">
        <v>0.0513</v>
      </c>
      <c r="T32" s="120">
        <v>0.3947</v>
      </c>
    </row>
    <row r="33" spans="1:20">
      <c r="A33" s="42">
        <v>425</v>
      </c>
      <c r="B33" s="120"/>
      <c r="C33" s="120">
        <v>0.4396</v>
      </c>
      <c r="D33" s="122">
        <v>0.209</v>
      </c>
      <c r="E33" s="122">
        <v>1.235</v>
      </c>
      <c r="F33" s="122">
        <v>15.199</v>
      </c>
      <c r="G33" s="123">
        <v>0.0098625</v>
      </c>
      <c r="H33" s="123">
        <v>0.0098625</v>
      </c>
      <c r="I33" s="123">
        <v>0.0084171</v>
      </c>
      <c r="J33" s="122">
        <v>1.04</v>
      </c>
      <c r="K33" s="122">
        <v>0.84</v>
      </c>
      <c r="L33" s="122">
        <v>0.6985</v>
      </c>
      <c r="M33" s="122">
        <v>0.437</v>
      </c>
      <c r="N33" s="122">
        <v>0.317</v>
      </c>
      <c r="O33" s="120">
        <v>0.35895</v>
      </c>
      <c r="P33" s="120">
        <v>0.3995</v>
      </c>
      <c r="Q33" s="122">
        <v>0.515</v>
      </c>
      <c r="R33" s="120">
        <v>0.2185</v>
      </c>
      <c r="S33" s="122">
        <v>0.0332</v>
      </c>
      <c r="T33" s="120">
        <v>0.2378</v>
      </c>
    </row>
    <row r="34" spans="1:20">
      <c r="A34" s="42">
        <v>430</v>
      </c>
      <c r="B34" s="120"/>
      <c r="C34" s="120">
        <v>0.4676</v>
      </c>
      <c r="D34" s="122">
        <v>0.248</v>
      </c>
      <c r="E34" s="122">
        <v>1.43</v>
      </c>
      <c r="F34" s="122">
        <v>13.193</v>
      </c>
      <c r="G34" s="123">
        <v>0.0122715</v>
      </c>
      <c r="H34" s="123">
        <v>0.0122715</v>
      </c>
      <c r="I34" s="123">
        <v>0.0638741</v>
      </c>
      <c r="J34" s="122">
        <v>1.33</v>
      </c>
      <c r="K34" s="122">
        <v>1.24</v>
      </c>
      <c r="L34" s="122">
        <v>0.7674</v>
      </c>
      <c r="M34" s="122">
        <v>0.189</v>
      </c>
      <c r="N34" s="122">
        <v>0.15</v>
      </c>
      <c r="O34" s="120">
        <v>0.2643</v>
      </c>
      <c r="P34" s="120">
        <v>0.1924</v>
      </c>
      <c r="Q34" s="122">
        <v>0.605</v>
      </c>
      <c r="R34" s="120">
        <v>0.338</v>
      </c>
      <c r="S34" s="122">
        <v>0.0299</v>
      </c>
      <c r="T34" s="120">
        <v>0.1384</v>
      </c>
    </row>
    <row r="35" spans="1:20">
      <c r="A35" s="42">
        <v>435</v>
      </c>
      <c r="B35" s="120"/>
      <c r="C35" s="120">
        <v>0.8904</v>
      </c>
      <c r="D35" s="122">
        <v>0.303</v>
      </c>
      <c r="E35" s="122">
        <v>1.61</v>
      </c>
      <c r="F35" s="122">
        <v>10.825</v>
      </c>
      <c r="G35" s="123">
        <v>0.0229627</v>
      </c>
      <c r="H35" s="123">
        <v>0.0229627</v>
      </c>
      <c r="I35" s="123">
        <v>0.1419136</v>
      </c>
      <c r="J35" s="122">
        <v>1.505</v>
      </c>
      <c r="K35" s="122">
        <v>1.56</v>
      </c>
      <c r="L35" s="122">
        <v>0.7727</v>
      </c>
      <c r="M35" s="122">
        <v>0.093</v>
      </c>
      <c r="N35" s="122">
        <v>0.095</v>
      </c>
      <c r="O35" s="120">
        <v>0.189</v>
      </c>
      <c r="P35" s="120">
        <v>0.12115</v>
      </c>
      <c r="Q35" s="122">
        <v>0.725</v>
      </c>
      <c r="R35" s="120">
        <v>0.48745</v>
      </c>
      <c r="S35" s="122">
        <v>0.0881</v>
      </c>
      <c r="T35" s="120">
        <v>0.08105</v>
      </c>
    </row>
    <row r="36" spans="1:20">
      <c r="A36" s="42">
        <v>440</v>
      </c>
      <c r="B36" s="120"/>
      <c r="C36" s="120">
        <v>0.6839</v>
      </c>
      <c r="D36" s="122">
        <v>0.444</v>
      </c>
      <c r="E36" s="122">
        <v>1.865</v>
      </c>
      <c r="F36" s="122">
        <v>9.044</v>
      </c>
      <c r="G36" s="123">
        <v>0.1644446</v>
      </c>
      <c r="H36" s="123">
        <v>0.1644446</v>
      </c>
      <c r="I36" s="123">
        <v>0.2082258</v>
      </c>
      <c r="J36" s="122">
        <v>1.63</v>
      </c>
      <c r="K36" s="122">
        <v>1.72</v>
      </c>
      <c r="L36" s="122">
        <v>0.9129</v>
      </c>
      <c r="M36" s="122">
        <v>0.077</v>
      </c>
      <c r="N36" s="122">
        <v>0.13</v>
      </c>
      <c r="O36" s="120">
        <v>0.1613</v>
      </c>
      <c r="P36" s="120">
        <v>0.1127</v>
      </c>
      <c r="Q36" s="122">
        <v>0.845</v>
      </c>
      <c r="R36" s="120">
        <v>0.5736</v>
      </c>
      <c r="S36" s="122">
        <v>0.1581</v>
      </c>
      <c r="T36" s="120">
        <v>0.0816</v>
      </c>
    </row>
    <row r="37" spans="1:20">
      <c r="A37" s="42">
        <v>445</v>
      </c>
      <c r="B37" s="120"/>
      <c r="C37" s="120">
        <v>0.426</v>
      </c>
      <c r="D37" s="122">
        <v>0.63</v>
      </c>
      <c r="E37" s="122">
        <v>2.14</v>
      </c>
      <c r="F37" s="122">
        <v>7.752</v>
      </c>
      <c r="G37" s="123">
        <v>0.35115275</v>
      </c>
      <c r="H37" s="123">
        <v>0.35115275</v>
      </c>
      <c r="I37" s="123">
        <v>0.3402921</v>
      </c>
      <c r="J37" s="122">
        <v>1.72</v>
      </c>
      <c r="K37" s="122">
        <v>1.875</v>
      </c>
      <c r="L37" s="122">
        <v>1.113</v>
      </c>
      <c r="M37" s="122">
        <v>0.127</v>
      </c>
      <c r="N37" s="122">
        <v>0.22</v>
      </c>
      <c r="O37" s="120">
        <v>0.2104</v>
      </c>
      <c r="P37" s="120">
        <v>0.17295</v>
      </c>
      <c r="Q37" s="122">
        <v>0.94</v>
      </c>
      <c r="R37" s="120">
        <v>0.58675</v>
      </c>
      <c r="S37" s="122">
        <v>0.1924</v>
      </c>
      <c r="T37" s="120">
        <v>0.15625</v>
      </c>
    </row>
    <row r="38" spans="1:20">
      <c r="A38" s="42">
        <v>450</v>
      </c>
      <c r="B38" s="120"/>
      <c r="C38" s="120">
        <v>0.8327</v>
      </c>
      <c r="D38" s="122">
        <v>0.71</v>
      </c>
      <c r="E38" s="122">
        <v>2.235</v>
      </c>
      <c r="F38" s="122">
        <v>6.384</v>
      </c>
      <c r="G38" s="123">
        <v>0.3680751</v>
      </c>
      <c r="H38" s="123">
        <v>0.3680751</v>
      </c>
      <c r="I38" s="123">
        <v>0.4653904</v>
      </c>
      <c r="J38" s="122">
        <v>1.765</v>
      </c>
      <c r="K38" s="122">
        <v>1.955</v>
      </c>
      <c r="L38" s="122">
        <v>1.1668</v>
      </c>
      <c r="M38" s="122">
        <v>0.234</v>
      </c>
      <c r="N38" s="122">
        <v>0.314</v>
      </c>
      <c r="O38" s="120">
        <v>0.2859</v>
      </c>
      <c r="P38" s="120">
        <v>0.2485</v>
      </c>
      <c r="Q38" s="122">
        <v>1.015</v>
      </c>
      <c r="R38" s="120">
        <v>0.6136</v>
      </c>
      <c r="S38" s="122">
        <v>0.2428</v>
      </c>
      <c r="T38" s="120">
        <v>0.2461</v>
      </c>
    </row>
    <row r="39" spans="1:20">
      <c r="A39" s="42">
        <v>455</v>
      </c>
      <c r="B39" s="120"/>
      <c r="C39" s="120">
        <v>1.1813</v>
      </c>
      <c r="D39" s="122">
        <v>0.704</v>
      </c>
      <c r="E39" s="122">
        <v>2.13</v>
      </c>
      <c r="F39" s="122">
        <v>5.026</v>
      </c>
      <c r="G39" s="123">
        <v>0.3605156</v>
      </c>
      <c r="H39" s="123">
        <v>0.3605156</v>
      </c>
      <c r="I39" s="123">
        <v>0.48990795</v>
      </c>
      <c r="J39" s="122">
        <v>1.76</v>
      </c>
      <c r="K39" s="122">
        <v>1.965</v>
      </c>
      <c r="L39" s="122">
        <v>1.1113</v>
      </c>
      <c r="M39" s="122">
        <v>0.345</v>
      </c>
      <c r="N39" s="122">
        <v>0.395</v>
      </c>
      <c r="O39" s="120">
        <v>0.34495</v>
      </c>
      <c r="P39" s="120">
        <v>0.33895</v>
      </c>
      <c r="Q39" s="122">
        <v>1.065</v>
      </c>
      <c r="R39" s="120">
        <v>0.7048</v>
      </c>
      <c r="S39" s="122">
        <v>0.3636</v>
      </c>
      <c r="T39" s="120">
        <v>0.31355</v>
      </c>
    </row>
    <row r="40" spans="1:20">
      <c r="A40" s="42">
        <v>460</v>
      </c>
      <c r="B40" s="120"/>
      <c r="C40" s="120">
        <v>0.8699</v>
      </c>
      <c r="D40" s="122">
        <v>0.769</v>
      </c>
      <c r="E40" s="122">
        <v>1.975</v>
      </c>
      <c r="F40" s="122">
        <v>3.884</v>
      </c>
      <c r="G40" s="123">
        <v>0.535544</v>
      </c>
      <c r="H40" s="123">
        <v>0.535544</v>
      </c>
      <c r="I40" s="123">
        <v>0.5422376</v>
      </c>
      <c r="J40" s="122">
        <v>1.735</v>
      </c>
      <c r="K40" s="122">
        <v>1.945</v>
      </c>
      <c r="L40" s="122">
        <v>1.1311</v>
      </c>
      <c r="M40" s="122">
        <v>0.421</v>
      </c>
      <c r="N40" s="122">
        <v>0.486</v>
      </c>
      <c r="O40" s="120">
        <v>0.3933</v>
      </c>
      <c r="P40" s="120">
        <v>0.477</v>
      </c>
      <c r="Q40" s="122">
        <v>1.07</v>
      </c>
      <c r="R40" s="120">
        <v>0.8079</v>
      </c>
      <c r="S40" s="122">
        <v>0.5071</v>
      </c>
      <c r="T40" s="120">
        <v>0.3735</v>
      </c>
    </row>
    <row r="41" spans="1:20">
      <c r="A41" s="42">
        <v>465</v>
      </c>
      <c r="B41" s="120"/>
      <c r="C41" s="120">
        <v>0.5413</v>
      </c>
      <c r="D41" s="122">
        <v>0.899</v>
      </c>
      <c r="E41" s="122">
        <v>1.875</v>
      </c>
      <c r="F41" s="122">
        <v>3.007</v>
      </c>
      <c r="G41" s="123">
        <v>0.74191265</v>
      </c>
      <c r="H41" s="123">
        <v>0.74191265</v>
      </c>
      <c r="I41" s="123">
        <v>0.6791679</v>
      </c>
      <c r="J41" s="122">
        <v>1.685</v>
      </c>
      <c r="K41" s="122">
        <v>1.915</v>
      </c>
      <c r="L41" s="122">
        <v>1.2385</v>
      </c>
      <c r="M41" s="122">
        <v>0.52</v>
      </c>
      <c r="N41" s="122">
        <v>0.611</v>
      </c>
      <c r="O41" s="120">
        <v>0.4752</v>
      </c>
      <c r="P41" s="120">
        <v>0.6319</v>
      </c>
      <c r="Q41" s="122">
        <v>1.065</v>
      </c>
      <c r="R41" s="120">
        <v>0.83525</v>
      </c>
      <c r="S41" s="122">
        <v>0.5914</v>
      </c>
      <c r="T41" s="120">
        <v>0.47645</v>
      </c>
    </row>
    <row r="42" spans="1:20">
      <c r="A42" s="42">
        <v>470</v>
      </c>
      <c r="B42" s="120"/>
      <c r="C42" s="120">
        <v>0.8157</v>
      </c>
      <c r="D42" s="122">
        <v>0.939</v>
      </c>
      <c r="E42" s="122">
        <v>1.905</v>
      </c>
      <c r="F42" s="122">
        <v>2.356</v>
      </c>
      <c r="G42" s="123">
        <v>0.7637266</v>
      </c>
      <c r="H42" s="123">
        <v>0.7637266</v>
      </c>
      <c r="I42" s="123">
        <v>0.7411628</v>
      </c>
      <c r="J42" s="122">
        <v>1.61</v>
      </c>
      <c r="K42" s="122">
        <v>1.835</v>
      </c>
      <c r="L42" s="122">
        <v>1.2767</v>
      </c>
      <c r="M42" s="122">
        <v>0.678</v>
      </c>
      <c r="N42" s="122">
        <v>0.771</v>
      </c>
      <c r="O42" s="120">
        <v>0.6029</v>
      </c>
      <c r="P42" s="120">
        <v>0.7346</v>
      </c>
      <c r="Q42" s="122">
        <v>1.06</v>
      </c>
      <c r="R42" s="120">
        <v>0.7772</v>
      </c>
      <c r="S42" s="122">
        <v>0.6222</v>
      </c>
      <c r="T42" s="120">
        <v>0.6307</v>
      </c>
    </row>
    <row r="43" spans="1:20">
      <c r="A43" s="42">
        <v>475</v>
      </c>
      <c r="B43" s="120"/>
      <c r="C43" s="120">
        <v>1.2243</v>
      </c>
      <c r="D43" s="122">
        <v>0.835</v>
      </c>
      <c r="E43" s="122">
        <v>1.92</v>
      </c>
      <c r="F43" s="122">
        <v>1.807</v>
      </c>
      <c r="G43" s="123">
        <v>0.68078755</v>
      </c>
      <c r="H43" s="123">
        <v>0.68078755</v>
      </c>
      <c r="I43" s="123">
        <v>0.7009338</v>
      </c>
      <c r="J43" s="122">
        <v>1.515</v>
      </c>
      <c r="K43" s="122">
        <v>1.64</v>
      </c>
      <c r="L43" s="122">
        <v>1.1747</v>
      </c>
      <c r="M43" s="122">
        <v>0.825</v>
      </c>
      <c r="N43" s="122">
        <v>0.936</v>
      </c>
      <c r="O43" s="120">
        <v>0.7449</v>
      </c>
      <c r="P43" s="120">
        <v>0.79235</v>
      </c>
      <c r="Q43" s="122">
        <v>1.03</v>
      </c>
      <c r="R43" s="120">
        <v>0.6704</v>
      </c>
      <c r="S43" s="122">
        <v>0.6819</v>
      </c>
      <c r="T43" s="120">
        <v>0.8057</v>
      </c>
    </row>
    <row r="44" spans="1:20">
      <c r="A44" s="42">
        <v>480</v>
      </c>
      <c r="B44" s="120"/>
      <c r="C44" s="120">
        <v>1.1032</v>
      </c>
      <c r="D44" s="122">
        <v>0.738</v>
      </c>
      <c r="E44" s="122">
        <v>1.815</v>
      </c>
      <c r="F44" s="122">
        <v>1.231</v>
      </c>
      <c r="G44" s="123">
        <v>0.699307</v>
      </c>
      <c r="H44" s="123">
        <v>0.699307</v>
      </c>
      <c r="I44" s="123">
        <v>0.7327452</v>
      </c>
      <c r="J44" s="122">
        <v>1.4</v>
      </c>
      <c r="K44" s="122">
        <v>1.45</v>
      </c>
      <c r="L44" s="122">
        <v>1.0372</v>
      </c>
      <c r="M44" s="122">
        <v>0.886</v>
      </c>
      <c r="N44" s="122">
        <v>1.061</v>
      </c>
      <c r="O44" s="120">
        <v>0.8485</v>
      </c>
      <c r="P44" s="120">
        <v>0.8841</v>
      </c>
      <c r="Q44" s="122">
        <v>0.96</v>
      </c>
      <c r="R44" s="120">
        <v>0.5944</v>
      </c>
      <c r="S44" s="122">
        <v>0.8121</v>
      </c>
      <c r="T44" s="120">
        <v>0.9402</v>
      </c>
    </row>
    <row r="45" spans="1:20">
      <c r="A45" s="42">
        <v>485</v>
      </c>
      <c r="B45" s="120"/>
      <c r="C45" s="120">
        <v>0.6335</v>
      </c>
      <c r="D45" s="122">
        <v>0.751</v>
      </c>
      <c r="E45" s="122">
        <v>1.635</v>
      </c>
      <c r="F45" s="122">
        <v>0.752</v>
      </c>
      <c r="G45" s="123">
        <v>0.8334838</v>
      </c>
      <c r="H45" s="123">
        <v>0.8334838</v>
      </c>
      <c r="I45" s="123">
        <v>0.8573628</v>
      </c>
      <c r="J45" s="122">
        <v>1.29</v>
      </c>
      <c r="K45" s="122">
        <v>1.35</v>
      </c>
      <c r="L45" s="122">
        <v>0.9829</v>
      </c>
      <c r="M45" s="122">
        <v>0.893</v>
      </c>
      <c r="N45" s="122">
        <v>1.116</v>
      </c>
      <c r="O45" s="120">
        <v>0.88395</v>
      </c>
      <c r="P45" s="120">
        <v>1.0182</v>
      </c>
      <c r="Q45" s="122">
        <v>0.89</v>
      </c>
      <c r="R45" s="120">
        <v>0.58795</v>
      </c>
      <c r="S45" s="122">
        <v>0.9568</v>
      </c>
      <c r="T45" s="120">
        <v>0.98345</v>
      </c>
    </row>
    <row r="46" spans="1:20">
      <c r="A46" s="42">
        <v>490</v>
      </c>
      <c r="B46" s="120"/>
      <c r="C46" s="120">
        <v>0.469</v>
      </c>
      <c r="D46" s="122">
        <v>0.794</v>
      </c>
      <c r="E46" s="122">
        <v>1.385</v>
      </c>
      <c r="F46" s="122">
        <v>0.497</v>
      </c>
      <c r="G46" s="123">
        <v>0.9371345</v>
      </c>
      <c r="H46" s="123">
        <v>0.9371345</v>
      </c>
      <c r="I46" s="123">
        <v>0.9010541</v>
      </c>
      <c r="J46" s="122">
        <v>1.16</v>
      </c>
      <c r="K46" s="122">
        <v>1.245</v>
      </c>
      <c r="L46" s="122">
        <v>0.9959</v>
      </c>
      <c r="M46" s="122">
        <v>0.942</v>
      </c>
      <c r="N46" s="122">
        <v>1.111</v>
      </c>
      <c r="O46" s="120">
        <v>0.8925</v>
      </c>
      <c r="P46" s="120">
        <v>1.1093</v>
      </c>
      <c r="Q46" s="122">
        <v>0.845</v>
      </c>
      <c r="R46" s="120">
        <v>0.6096</v>
      </c>
      <c r="S46" s="122">
        <v>1.0326</v>
      </c>
      <c r="T46" s="120">
        <v>0.9736</v>
      </c>
    </row>
    <row r="47" spans="1:20">
      <c r="A47" s="42">
        <v>495</v>
      </c>
      <c r="B47" s="120"/>
      <c r="C47" s="120">
        <v>0.7579</v>
      </c>
      <c r="D47" s="122">
        <v>0.749</v>
      </c>
      <c r="E47" s="122">
        <v>1.14</v>
      </c>
      <c r="F47" s="122">
        <v>0.387</v>
      </c>
      <c r="G47" s="123">
        <v>0.93336245</v>
      </c>
      <c r="H47" s="123">
        <v>0.93336245</v>
      </c>
      <c r="I47" s="123">
        <v>0.8293279</v>
      </c>
      <c r="J47" s="122">
        <v>1.035</v>
      </c>
      <c r="K47" s="122">
        <v>1.095</v>
      </c>
      <c r="L47" s="122">
        <v>0.9719</v>
      </c>
      <c r="M47" s="122">
        <v>1.045</v>
      </c>
      <c r="N47" s="122">
        <v>1.075</v>
      </c>
      <c r="O47" s="120">
        <v>0.92275</v>
      </c>
      <c r="P47" s="120">
        <v>1.10645</v>
      </c>
      <c r="Q47" s="122">
        <v>0.805</v>
      </c>
      <c r="R47" s="120">
        <v>0.6031</v>
      </c>
      <c r="S47" s="122">
        <v>1.025</v>
      </c>
      <c r="T47" s="120">
        <v>0.96095</v>
      </c>
    </row>
    <row r="48" spans="1:20">
      <c r="A48" s="42">
        <v>500</v>
      </c>
      <c r="B48" s="120"/>
      <c r="C48" s="120">
        <v>1.0193</v>
      </c>
      <c r="D48" s="122">
        <v>0.618</v>
      </c>
      <c r="E48" s="122">
        <v>1.045</v>
      </c>
      <c r="F48" s="122">
        <v>0.258</v>
      </c>
      <c r="G48" s="123">
        <v>0.8759216</v>
      </c>
      <c r="H48" s="123">
        <v>0.8759216</v>
      </c>
      <c r="I48" s="123">
        <v>0.8102245</v>
      </c>
      <c r="J48" s="122">
        <v>0.93</v>
      </c>
      <c r="K48" s="122">
        <v>0.94</v>
      </c>
      <c r="L48" s="122">
        <v>0.8584</v>
      </c>
      <c r="M48" s="122">
        <v>1.129</v>
      </c>
      <c r="N48" s="122">
        <v>1.049</v>
      </c>
      <c r="O48" s="120">
        <v>0.9909</v>
      </c>
      <c r="P48" s="120">
        <v>1.0829</v>
      </c>
      <c r="Q48" s="122">
        <v>0.74</v>
      </c>
      <c r="R48" s="120">
        <v>0.5472</v>
      </c>
      <c r="S48" s="122">
        <v>0.9982</v>
      </c>
      <c r="T48" s="120">
        <v>0.9908</v>
      </c>
    </row>
    <row r="49" spans="1:20">
      <c r="A49" s="42">
        <v>505</v>
      </c>
      <c r="B49" s="120"/>
      <c r="C49" s="120">
        <v>0.8693</v>
      </c>
      <c r="D49" s="122">
        <v>0.493</v>
      </c>
      <c r="E49" s="122">
        <v>1.02</v>
      </c>
      <c r="F49" s="122">
        <v>0.128</v>
      </c>
      <c r="G49" s="123">
        <v>0.83984175</v>
      </c>
      <c r="H49" s="123">
        <v>0.83984175</v>
      </c>
      <c r="I49" s="123">
        <v>0.9121894</v>
      </c>
      <c r="J49" s="122">
        <v>0.81</v>
      </c>
      <c r="K49" s="122">
        <v>0.81</v>
      </c>
      <c r="L49" s="122">
        <v>0.7059</v>
      </c>
      <c r="M49" s="122">
        <v>1.121</v>
      </c>
      <c r="N49" s="122">
        <v>1.058</v>
      </c>
      <c r="O49" s="120">
        <v>1.0813</v>
      </c>
      <c r="P49" s="120">
        <v>1.117</v>
      </c>
      <c r="Q49" s="122">
        <v>0.655</v>
      </c>
      <c r="R49" s="120">
        <v>0.45025</v>
      </c>
      <c r="S49" s="122">
        <v>1.0195</v>
      </c>
      <c r="T49" s="120">
        <v>1.07345</v>
      </c>
    </row>
    <row r="50" spans="1:20">
      <c r="A50" s="42">
        <v>510</v>
      </c>
      <c r="B50" s="120"/>
      <c r="C50" s="120">
        <v>0.4705</v>
      </c>
      <c r="D50" s="122">
        <v>0.452</v>
      </c>
      <c r="E50" s="122">
        <v>1.01</v>
      </c>
      <c r="F50" s="122">
        <v>0.082</v>
      </c>
      <c r="G50" s="123">
        <v>0.8584649</v>
      </c>
      <c r="H50" s="123">
        <v>0.8584649</v>
      </c>
      <c r="I50" s="123">
        <v>0.9895975</v>
      </c>
      <c r="J50" s="122">
        <v>0.7</v>
      </c>
      <c r="K50" s="122">
        <v>0.73</v>
      </c>
      <c r="L50" s="122">
        <v>0.5965</v>
      </c>
      <c r="M50" s="122">
        <v>1.062</v>
      </c>
      <c r="N50" s="122">
        <v>1.101</v>
      </c>
      <c r="O50" s="120">
        <v>1.145</v>
      </c>
      <c r="P50" s="120">
        <v>1.1829</v>
      </c>
      <c r="Q50" s="122">
        <v>0.595</v>
      </c>
      <c r="R50" s="120">
        <v>0.359</v>
      </c>
      <c r="S50" s="122">
        <v>1.0905</v>
      </c>
      <c r="T50" s="120">
        <v>1.1657</v>
      </c>
    </row>
    <row r="51" spans="1:20">
      <c r="A51" s="42">
        <v>515</v>
      </c>
      <c r="B51" s="120"/>
      <c r="C51" s="120">
        <v>0.2507</v>
      </c>
      <c r="D51" s="122">
        <v>0.47</v>
      </c>
      <c r="E51" s="122">
        <v>0.96</v>
      </c>
      <c r="F51" s="122">
        <v>0.11</v>
      </c>
      <c r="G51" s="123">
        <v>0.92305525</v>
      </c>
      <c r="H51" s="123">
        <v>0.92305525</v>
      </c>
      <c r="I51" s="123">
        <v>0.930297</v>
      </c>
      <c r="J51" s="122">
        <v>0.61</v>
      </c>
      <c r="K51" s="122">
        <v>0.655</v>
      </c>
      <c r="L51" s="122">
        <v>0.5551</v>
      </c>
      <c r="M51" s="122">
        <v>1.022</v>
      </c>
      <c r="N51" s="122">
        <v>1.155</v>
      </c>
      <c r="O51" s="120">
        <v>1.14285</v>
      </c>
      <c r="P51" s="120">
        <v>1.2042</v>
      </c>
      <c r="Q51" s="122">
        <v>0.565</v>
      </c>
      <c r="R51" s="120">
        <v>0.31245</v>
      </c>
      <c r="S51" s="122">
        <v>1.1514</v>
      </c>
      <c r="T51" s="120">
        <v>1.21085</v>
      </c>
    </row>
    <row r="52" spans="1:20">
      <c r="A52" s="42">
        <v>520</v>
      </c>
      <c r="B52" s="120"/>
      <c r="C52" s="120">
        <v>0.3745</v>
      </c>
      <c r="D52" s="122">
        <v>0.462</v>
      </c>
      <c r="E52" s="122">
        <v>0.835</v>
      </c>
      <c r="F52" s="122">
        <v>0.125</v>
      </c>
      <c r="G52" s="123">
        <v>0.9841739</v>
      </c>
      <c r="H52" s="123">
        <v>0.9841739</v>
      </c>
      <c r="I52" s="123">
        <v>0.8318371</v>
      </c>
      <c r="J52" s="122">
        <v>0.535</v>
      </c>
      <c r="K52" s="122">
        <v>0.58</v>
      </c>
      <c r="L52" s="122">
        <v>0.5379</v>
      </c>
      <c r="M52" s="122">
        <v>1.038</v>
      </c>
      <c r="N52" s="122">
        <v>1.193</v>
      </c>
      <c r="O52" s="120">
        <v>1.0898</v>
      </c>
      <c r="P52" s="120">
        <v>1.1539</v>
      </c>
      <c r="Q52" s="122">
        <v>0.54</v>
      </c>
      <c r="R52" s="120">
        <v>0.307</v>
      </c>
      <c r="S52" s="122">
        <v>1.1441</v>
      </c>
      <c r="T52" s="120">
        <v>1.1915</v>
      </c>
    </row>
    <row r="53" spans="1:20">
      <c r="A53" s="42">
        <v>525</v>
      </c>
      <c r="B53" s="120"/>
      <c r="C53" s="120">
        <v>0.6077</v>
      </c>
      <c r="D53" s="122">
        <v>0.387</v>
      </c>
      <c r="E53" s="122">
        <v>0.665</v>
      </c>
      <c r="F53" s="122">
        <v>0.122</v>
      </c>
      <c r="G53" s="123">
        <v>0.98160605</v>
      </c>
      <c r="H53" s="123">
        <v>0.98160605</v>
      </c>
      <c r="I53" s="123">
        <v>0.8361726</v>
      </c>
      <c r="J53" s="122">
        <v>0.48</v>
      </c>
      <c r="K53" s="122">
        <v>0.51</v>
      </c>
      <c r="L53" s="122">
        <v>0.49</v>
      </c>
      <c r="M53" s="122">
        <v>1.078</v>
      </c>
      <c r="N53" s="122">
        <v>1.187</v>
      </c>
      <c r="O53" s="120">
        <v>1.0101</v>
      </c>
      <c r="P53" s="120">
        <v>1.06395</v>
      </c>
      <c r="Q53" s="122">
        <v>0.5</v>
      </c>
      <c r="R53" s="120">
        <v>0.32395</v>
      </c>
      <c r="S53" s="122">
        <v>1.0636</v>
      </c>
      <c r="T53" s="120">
        <v>1.0995</v>
      </c>
    </row>
    <row r="54" spans="1:20">
      <c r="A54" s="42">
        <v>530</v>
      </c>
      <c r="B54" s="120"/>
      <c r="C54" s="120">
        <v>0.6446</v>
      </c>
      <c r="D54" s="122">
        <v>0.284</v>
      </c>
      <c r="E54" s="122">
        <v>0.53</v>
      </c>
      <c r="F54" s="122">
        <v>0.161</v>
      </c>
      <c r="G54" s="123">
        <v>0.9019804</v>
      </c>
      <c r="H54" s="123">
        <v>0.9019804</v>
      </c>
      <c r="I54" s="123">
        <v>0.9200047</v>
      </c>
      <c r="J54" s="122">
        <v>0.42</v>
      </c>
      <c r="K54" s="122">
        <v>0.475</v>
      </c>
      <c r="L54" s="122">
        <v>0.399</v>
      </c>
      <c r="M54" s="122">
        <v>1.08</v>
      </c>
      <c r="N54" s="122">
        <v>1.135</v>
      </c>
      <c r="O54" s="120">
        <v>0.9451</v>
      </c>
      <c r="P54" s="120">
        <v>1.0069</v>
      </c>
      <c r="Q54" s="122">
        <v>0.435</v>
      </c>
      <c r="R54" s="120">
        <v>0.3312</v>
      </c>
      <c r="S54" s="122">
        <v>0.9563</v>
      </c>
      <c r="T54" s="120">
        <v>0.9819</v>
      </c>
    </row>
    <row r="55" spans="1:20">
      <c r="A55" s="42">
        <v>535</v>
      </c>
      <c r="B55" s="120"/>
      <c r="C55" s="120">
        <v>0.4316</v>
      </c>
      <c r="D55" s="122">
        <v>0.213</v>
      </c>
      <c r="E55" s="122">
        <v>0.455</v>
      </c>
      <c r="F55" s="122">
        <v>0.26</v>
      </c>
      <c r="G55" s="123">
        <v>0.7925892</v>
      </c>
      <c r="H55" s="123">
        <v>0.7925892</v>
      </c>
      <c r="I55" s="123">
        <v>0.94570045</v>
      </c>
      <c r="J55" s="122">
        <v>0.37</v>
      </c>
      <c r="K55" s="122">
        <v>0.445</v>
      </c>
      <c r="L55" s="122">
        <v>0.2972</v>
      </c>
      <c r="M55" s="122">
        <v>1.011</v>
      </c>
      <c r="N55" s="122">
        <v>1.042</v>
      </c>
      <c r="O55" s="120">
        <v>0.9194</v>
      </c>
      <c r="P55" s="120">
        <v>1.00675</v>
      </c>
      <c r="Q55" s="122">
        <v>0.385</v>
      </c>
      <c r="R55" s="120">
        <v>0.3069</v>
      </c>
      <c r="S55" s="122">
        <v>0.8756</v>
      </c>
      <c r="T55" s="120">
        <v>0.8829</v>
      </c>
    </row>
    <row r="56" spans="1:20">
      <c r="A56" s="42">
        <v>540</v>
      </c>
      <c r="B56" s="120"/>
      <c r="C56" s="120">
        <v>0.169</v>
      </c>
      <c r="D56" s="122">
        <v>0.195</v>
      </c>
      <c r="E56" s="122">
        <v>0.46</v>
      </c>
      <c r="F56" s="122">
        <v>0.357</v>
      </c>
      <c r="G56" s="123">
        <v>0.7350054</v>
      </c>
      <c r="H56" s="123">
        <v>0.7350054</v>
      </c>
      <c r="I56" s="123">
        <v>0.8553802</v>
      </c>
      <c r="J56" s="122">
        <v>0.33</v>
      </c>
      <c r="K56" s="122">
        <v>0.385</v>
      </c>
      <c r="L56" s="122">
        <v>0.2236</v>
      </c>
      <c r="M56" s="122">
        <v>0.912</v>
      </c>
      <c r="N56" s="122">
        <v>0.932</v>
      </c>
      <c r="O56" s="120">
        <v>0.9191</v>
      </c>
      <c r="P56" s="120">
        <v>1.0147</v>
      </c>
      <c r="Q56" s="122">
        <v>0.365</v>
      </c>
      <c r="R56" s="120">
        <v>0.2601</v>
      </c>
      <c r="S56" s="122">
        <v>0.8396</v>
      </c>
      <c r="T56" s="120">
        <v>0.8229</v>
      </c>
    </row>
    <row r="57" spans="1:20">
      <c r="A57" s="42">
        <v>545</v>
      </c>
      <c r="B57" s="120"/>
      <c r="C57" s="120">
        <v>0.0725</v>
      </c>
      <c r="D57" s="122">
        <v>0.208</v>
      </c>
      <c r="E57" s="122">
        <v>0.51</v>
      </c>
      <c r="F57" s="122">
        <v>0.397</v>
      </c>
      <c r="G57" s="123">
        <v>0.7678277</v>
      </c>
      <c r="H57" s="123">
        <v>0.7678277</v>
      </c>
      <c r="I57" s="123">
        <v>0.72794785</v>
      </c>
      <c r="J57" s="122">
        <v>0.31</v>
      </c>
      <c r="K57" s="122">
        <v>0.385</v>
      </c>
      <c r="L57" s="122">
        <v>0.1902</v>
      </c>
      <c r="M57" s="122">
        <v>0.837</v>
      </c>
      <c r="N57" s="122">
        <v>0.828</v>
      </c>
      <c r="O57" s="120">
        <v>0.91685</v>
      </c>
      <c r="P57" s="120">
        <v>0.9716</v>
      </c>
      <c r="Q57" s="122">
        <v>0.36</v>
      </c>
      <c r="R57" s="120">
        <v>0.2087</v>
      </c>
      <c r="S57" s="122">
        <v>0.8238</v>
      </c>
      <c r="T57" s="120">
        <v>0.80835</v>
      </c>
    </row>
    <row r="58" spans="1:20">
      <c r="A58" s="42">
        <v>550</v>
      </c>
      <c r="B58" s="120"/>
      <c r="C58" s="120">
        <v>0.1695</v>
      </c>
      <c r="D58" s="122">
        <v>0.207</v>
      </c>
      <c r="E58" s="122">
        <v>0.57</v>
      </c>
      <c r="F58" s="122">
        <v>0.397</v>
      </c>
      <c r="G58" s="123">
        <v>0.8340984</v>
      </c>
      <c r="H58" s="123">
        <v>0.8340984</v>
      </c>
      <c r="I58" s="123">
        <v>0.6762349</v>
      </c>
      <c r="J58" s="122">
        <v>0.27</v>
      </c>
      <c r="K58" s="122">
        <v>0.34</v>
      </c>
      <c r="L58" s="122">
        <v>0.1782</v>
      </c>
      <c r="M58" s="122">
        <v>0.807</v>
      </c>
      <c r="N58" s="122">
        <v>0.748</v>
      </c>
      <c r="O58" s="120">
        <v>0.889</v>
      </c>
      <c r="P58" s="120">
        <v>0.8783</v>
      </c>
      <c r="Q58" s="122">
        <v>0.35</v>
      </c>
      <c r="R58" s="120">
        <v>0.1727</v>
      </c>
      <c r="S58" s="122">
        <v>0.789</v>
      </c>
      <c r="T58" s="120">
        <v>0.8091</v>
      </c>
    </row>
    <row r="59" spans="1:20">
      <c r="A59" s="42">
        <v>555</v>
      </c>
      <c r="B59" s="120"/>
      <c r="C59" s="120">
        <v>0.3119</v>
      </c>
      <c r="D59" s="122">
        <v>0.172</v>
      </c>
      <c r="E59" s="122">
        <v>0.59</v>
      </c>
      <c r="F59" s="122">
        <v>0.399</v>
      </c>
      <c r="G59" s="123">
        <v>0.8406076</v>
      </c>
      <c r="H59" s="123">
        <v>0.8406076</v>
      </c>
      <c r="I59" s="123">
        <v>0.70968615</v>
      </c>
      <c r="J59" s="122">
        <v>0.25</v>
      </c>
      <c r="K59" s="122">
        <v>0.31</v>
      </c>
      <c r="L59" s="122">
        <v>0.1608</v>
      </c>
      <c r="M59" s="122">
        <v>0.806</v>
      </c>
      <c r="N59" s="122">
        <v>0.696</v>
      </c>
      <c r="O59" s="120">
        <v>0.8169</v>
      </c>
      <c r="P59" s="120">
        <v>0.76765</v>
      </c>
      <c r="Q59" s="122">
        <v>0.315</v>
      </c>
      <c r="R59" s="120">
        <v>0.1667</v>
      </c>
      <c r="S59" s="122">
        <v>0.7102</v>
      </c>
      <c r="T59" s="120">
        <v>0.7942</v>
      </c>
    </row>
    <row r="60" spans="1:20">
      <c r="A60" s="42">
        <v>560</v>
      </c>
      <c r="B60" s="120"/>
      <c r="C60" s="120">
        <v>0.3438</v>
      </c>
      <c r="D60" s="122">
        <v>0.119</v>
      </c>
      <c r="E60" s="122">
        <v>0.54</v>
      </c>
      <c r="F60" s="122">
        <v>0.42</v>
      </c>
      <c r="G60" s="123">
        <v>0.7467294</v>
      </c>
      <c r="H60" s="123">
        <v>0.7467294</v>
      </c>
      <c r="I60" s="123">
        <v>0.731013</v>
      </c>
      <c r="J60" s="122">
        <v>0.23</v>
      </c>
      <c r="K60" s="122">
        <v>0.295</v>
      </c>
      <c r="L60" s="122">
        <v>0.126</v>
      </c>
      <c r="M60" s="122">
        <v>0.79</v>
      </c>
      <c r="N60" s="122">
        <v>0.665</v>
      </c>
      <c r="O60" s="120">
        <v>0.717</v>
      </c>
      <c r="P60" s="120">
        <v>0.6837</v>
      </c>
      <c r="Q60" s="122">
        <v>0.27</v>
      </c>
      <c r="R60" s="120">
        <v>0.1809</v>
      </c>
      <c r="S60" s="122">
        <v>0.5918</v>
      </c>
      <c r="T60" s="120">
        <v>0.7473</v>
      </c>
    </row>
    <row r="61" spans="1:20">
      <c r="A61" s="42">
        <v>565</v>
      </c>
      <c r="B61" s="120"/>
      <c r="C61" s="120">
        <v>0.2361</v>
      </c>
      <c r="D61" s="122">
        <v>0.078</v>
      </c>
      <c r="E61" s="122">
        <v>0.41</v>
      </c>
      <c r="F61" s="122">
        <v>0.455</v>
      </c>
      <c r="G61" s="123">
        <v>0.58650365</v>
      </c>
      <c r="H61" s="123">
        <v>0.58650365</v>
      </c>
      <c r="I61" s="123">
        <v>0.66102145</v>
      </c>
      <c r="J61" s="122">
        <v>0.215</v>
      </c>
      <c r="K61" s="122">
        <v>0.26</v>
      </c>
      <c r="L61" s="122">
        <v>0.0814</v>
      </c>
      <c r="M61" s="122">
        <v>0.731</v>
      </c>
      <c r="N61" s="122">
        <v>0.646</v>
      </c>
      <c r="O61" s="120">
        <v>0.6088</v>
      </c>
      <c r="P61" s="120">
        <v>0.647</v>
      </c>
      <c r="Q61" s="122">
        <v>0.235</v>
      </c>
      <c r="R61" s="120">
        <v>0.2013</v>
      </c>
      <c r="S61" s="122">
        <v>0.4631</v>
      </c>
      <c r="T61" s="120">
        <v>0.6582</v>
      </c>
    </row>
    <row r="62" spans="1:20">
      <c r="A62" s="42">
        <v>570</v>
      </c>
      <c r="B62" s="120"/>
      <c r="C62" s="120">
        <v>0.084</v>
      </c>
      <c r="D62" s="122">
        <v>0.061</v>
      </c>
      <c r="E62" s="122">
        <v>0.33</v>
      </c>
      <c r="F62" s="122">
        <v>0.488</v>
      </c>
      <c r="G62" s="123">
        <v>0.4499751</v>
      </c>
      <c r="H62" s="123">
        <v>0.4499751</v>
      </c>
      <c r="I62" s="123">
        <v>0.5271049</v>
      </c>
      <c r="J62" s="122">
        <v>0.205</v>
      </c>
      <c r="K62" s="122">
        <v>0.22</v>
      </c>
      <c r="L62" s="122">
        <v>0.0439</v>
      </c>
      <c r="M62" s="122">
        <v>0.641</v>
      </c>
      <c r="N62" s="122">
        <v>0.625</v>
      </c>
      <c r="O62" s="120">
        <v>0.516</v>
      </c>
      <c r="P62" s="120">
        <v>0.6277</v>
      </c>
      <c r="Q62" s="122">
        <v>0.22</v>
      </c>
      <c r="R62" s="120">
        <v>0.2127</v>
      </c>
      <c r="S62" s="122">
        <v>0.3561</v>
      </c>
      <c r="T62" s="120">
        <v>0.5479</v>
      </c>
    </row>
    <row r="63" spans="1:20">
      <c r="A63" s="42">
        <v>575</v>
      </c>
      <c r="B63" s="120"/>
      <c r="C63" s="120">
        <v>0.0047</v>
      </c>
      <c r="D63" s="122">
        <v>0.066</v>
      </c>
      <c r="E63" s="122">
        <v>0.26</v>
      </c>
      <c r="F63" s="122">
        <v>0.511</v>
      </c>
      <c r="G63" s="123">
        <v>0.4013872</v>
      </c>
      <c r="H63" s="123">
        <v>0.4013872</v>
      </c>
      <c r="I63" s="123">
        <v>0.41003315</v>
      </c>
      <c r="J63" s="122">
        <v>0.2</v>
      </c>
      <c r="K63" s="122">
        <v>0.205</v>
      </c>
      <c r="L63" s="122">
        <v>0.0241</v>
      </c>
      <c r="M63" s="122">
        <v>0.548</v>
      </c>
      <c r="N63" s="122">
        <v>0.59</v>
      </c>
      <c r="O63" s="120">
        <v>0.4537</v>
      </c>
      <c r="P63" s="120">
        <v>0.5909</v>
      </c>
      <c r="Q63" s="122">
        <v>0.215</v>
      </c>
      <c r="R63" s="120">
        <v>0.20285</v>
      </c>
      <c r="S63" s="122">
        <v>0.2854</v>
      </c>
      <c r="T63" s="120">
        <v>0.4375</v>
      </c>
    </row>
    <row r="64" spans="1:20">
      <c r="A64" s="42">
        <v>580</v>
      </c>
      <c r="B64" s="120"/>
      <c r="C64" s="120">
        <v>0.0375</v>
      </c>
      <c r="D64" s="122">
        <v>0.073</v>
      </c>
      <c r="E64" s="122">
        <v>0.24</v>
      </c>
      <c r="F64" s="122">
        <v>0.523</v>
      </c>
      <c r="G64" s="123">
        <v>0.4229916</v>
      </c>
      <c r="H64" s="123">
        <v>0.4229916</v>
      </c>
      <c r="I64" s="123">
        <v>0.3603153</v>
      </c>
      <c r="J64" s="122">
        <v>0.19</v>
      </c>
      <c r="K64" s="122">
        <v>0.185</v>
      </c>
      <c r="L64" s="122">
        <v>0.0199</v>
      </c>
      <c r="M64" s="122">
        <v>0.477</v>
      </c>
      <c r="N64" s="122">
        <v>0.54</v>
      </c>
      <c r="O64" s="120">
        <v>0.4156</v>
      </c>
      <c r="P64" s="120">
        <v>0.5234</v>
      </c>
      <c r="Q64" s="122">
        <v>0.21</v>
      </c>
      <c r="R64" s="120">
        <v>0.177</v>
      </c>
      <c r="S64" s="122">
        <v>0.2426</v>
      </c>
      <c r="T64" s="120">
        <v>0.3454</v>
      </c>
    </row>
    <row r="65" spans="1:20">
      <c r="A65" s="42">
        <v>585</v>
      </c>
      <c r="B65" s="120"/>
      <c r="C65" s="120">
        <v>0.1266</v>
      </c>
      <c r="D65" s="122">
        <v>0.068</v>
      </c>
      <c r="E65" s="122">
        <v>0.275</v>
      </c>
      <c r="F65" s="122">
        <v>0.506</v>
      </c>
      <c r="G65" s="123">
        <v>0.45098045</v>
      </c>
      <c r="H65" s="123">
        <v>0.45098045</v>
      </c>
      <c r="I65" s="123">
        <v>0.3600163</v>
      </c>
      <c r="J65" s="122">
        <v>0.175</v>
      </c>
      <c r="K65" s="122">
        <v>0.175</v>
      </c>
      <c r="L65" s="122">
        <v>0.0211</v>
      </c>
      <c r="M65" s="122">
        <v>0.439</v>
      </c>
      <c r="N65" s="122">
        <v>0.472</v>
      </c>
      <c r="O65" s="120">
        <v>0.39385</v>
      </c>
      <c r="P65" s="120">
        <v>0.4318</v>
      </c>
      <c r="Q65" s="122">
        <v>0.185</v>
      </c>
      <c r="R65" s="120">
        <v>0.14275</v>
      </c>
      <c r="S65" s="122">
        <v>0.2073</v>
      </c>
      <c r="T65" s="120">
        <v>0.28905</v>
      </c>
    </row>
    <row r="66" spans="1:20">
      <c r="A66" s="42">
        <v>590</v>
      </c>
      <c r="B66" s="120"/>
      <c r="C66" s="120">
        <v>0.1824</v>
      </c>
      <c r="D66" s="122">
        <v>0.053</v>
      </c>
      <c r="E66" s="122">
        <v>0.32</v>
      </c>
      <c r="F66" s="122">
        <v>0.458</v>
      </c>
      <c r="G66" s="123">
        <v>0.4254851</v>
      </c>
      <c r="H66" s="123">
        <v>0.4254851</v>
      </c>
      <c r="I66" s="123">
        <v>0.3471536</v>
      </c>
      <c r="J66" s="122">
        <v>0.16</v>
      </c>
      <c r="K66" s="122">
        <v>0.165</v>
      </c>
      <c r="L66" s="122">
        <v>0.0188</v>
      </c>
      <c r="M66" s="122">
        <v>0.418</v>
      </c>
      <c r="N66" s="122">
        <v>0.396</v>
      </c>
      <c r="O66" s="120">
        <v>0.3708</v>
      </c>
      <c r="P66" s="120">
        <v>0.3448</v>
      </c>
      <c r="Q66" s="122">
        <v>0.155</v>
      </c>
      <c r="R66" s="120">
        <v>0.113</v>
      </c>
      <c r="S66" s="122">
        <v>0.1624</v>
      </c>
      <c r="T66" s="120">
        <v>0.2603</v>
      </c>
    </row>
    <row r="67" spans="1:20">
      <c r="A67" s="42">
        <v>595</v>
      </c>
      <c r="B67" s="120"/>
      <c r="C67" s="120">
        <v>0.1573</v>
      </c>
      <c r="D67" s="122">
        <v>0.04</v>
      </c>
      <c r="E67" s="122">
        <v>0.35</v>
      </c>
      <c r="F67" s="122">
        <v>0.385</v>
      </c>
      <c r="G67" s="123">
        <v>0.3305912</v>
      </c>
      <c r="H67" s="123">
        <v>0.3305912</v>
      </c>
      <c r="I67" s="123">
        <v>0.2837634</v>
      </c>
      <c r="J67" s="122">
        <v>0.175</v>
      </c>
      <c r="K67" s="122">
        <v>0.145</v>
      </c>
      <c r="L67" s="122">
        <v>0.0117</v>
      </c>
      <c r="M67" s="122">
        <v>0.392</v>
      </c>
      <c r="N67" s="122">
        <v>0.318</v>
      </c>
      <c r="O67" s="120">
        <v>0.3344</v>
      </c>
      <c r="P67" s="120">
        <v>0.28565</v>
      </c>
      <c r="Q67" s="122">
        <v>0.125</v>
      </c>
      <c r="R67" s="120">
        <v>0.0981</v>
      </c>
      <c r="S67" s="122">
        <v>0.1061</v>
      </c>
      <c r="T67" s="120">
        <v>0.25245</v>
      </c>
    </row>
    <row r="68" spans="1:20">
      <c r="A68" s="42">
        <v>600</v>
      </c>
      <c r="B68" s="120"/>
      <c r="C68" s="120">
        <v>0.0764</v>
      </c>
      <c r="D68" s="122">
        <v>0.034</v>
      </c>
      <c r="E68" s="122">
        <v>0.36</v>
      </c>
      <c r="F68" s="122">
        <v>0.318</v>
      </c>
      <c r="G68" s="123">
        <v>0.2080176</v>
      </c>
      <c r="H68" s="123">
        <v>0.2080176</v>
      </c>
      <c r="I68" s="123">
        <v>0.1883877</v>
      </c>
      <c r="J68" s="122">
        <v>0.175</v>
      </c>
      <c r="K68" s="122">
        <v>0.105</v>
      </c>
      <c r="L68" s="122">
        <v>0.0059</v>
      </c>
      <c r="M68" s="122">
        <v>0.35</v>
      </c>
      <c r="N68" s="122">
        <v>0.244</v>
      </c>
      <c r="O68" s="120">
        <v>0.2862</v>
      </c>
      <c r="P68" s="120">
        <v>0.2507</v>
      </c>
      <c r="Q68" s="122">
        <v>0.1</v>
      </c>
      <c r="R68" s="120">
        <v>0.0968</v>
      </c>
      <c r="S68" s="122">
        <v>0.0512</v>
      </c>
      <c r="T68" s="120">
        <v>0.2476</v>
      </c>
    </row>
    <row r="69" spans="1:20">
      <c r="A69" s="42">
        <v>605</v>
      </c>
      <c r="B69" s="120"/>
      <c r="C69" s="120">
        <v>0.009</v>
      </c>
      <c r="D69" s="122">
        <v>0.043</v>
      </c>
      <c r="E69" s="122">
        <v>0.32</v>
      </c>
      <c r="F69" s="122">
        <v>0.289</v>
      </c>
      <c r="G69" s="123">
        <v>0.11171965</v>
      </c>
      <c r="H69" s="123">
        <v>0.11171965</v>
      </c>
      <c r="I69" s="123">
        <v>0.10403385</v>
      </c>
      <c r="J69" s="122">
        <v>0.17</v>
      </c>
      <c r="K69" s="122">
        <v>0.1</v>
      </c>
      <c r="L69" s="122">
        <v>0.009</v>
      </c>
      <c r="M69" s="122">
        <v>0.289</v>
      </c>
      <c r="N69" s="122">
        <v>0.185</v>
      </c>
      <c r="O69" s="120">
        <v>0.23275</v>
      </c>
      <c r="P69" s="120">
        <v>0.23115</v>
      </c>
      <c r="Q69" s="122">
        <v>0.085</v>
      </c>
      <c r="R69" s="120">
        <v>0.10845</v>
      </c>
      <c r="S69" s="122">
        <v>0.0134</v>
      </c>
      <c r="T69" s="120">
        <v>0.23455</v>
      </c>
    </row>
    <row r="70" spans="1:20">
      <c r="A70" s="42">
        <v>610</v>
      </c>
      <c r="B70" s="120"/>
      <c r="C70" s="120">
        <v>0.0125</v>
      </c>
      <c r="D70" s="122">
        <v>0.054</v>
      </c>
      <c r="E70" s="122">
        <v>0.245</v>
      </c>
      <c r="F70" s="122">
        <v>0.293</v>
      </c>
      <c r="G70" s="123">
        <v>0.0686394</v>
      </c>
      <c r="H70" s="123">
        <v>0.0686394</v>
      </c>
      <c r="I70" s="123">
        <v>0.0574604</v>
      </c>
      <c r="J70" s="122">
        <v>0.165</v>
      </c>
      <c r="K70" s="122">
        <v>0.09</v>
      </c>
      <c r="L70" s="122">
        <v>0.0241</v>
      </c>
      <c r="M70" s="122">
        <v>0.224</v>
      </c>
      <c r="N70" s="122">
        <v>0.139</v>
      </c>
      <c r="O70" s="120">
        <v>0.1862</v>
      </c>
      <c r="P70" s="120">
        <v>0.2084</v>
      </c>
      <c r="Q70" s="122">
        <v>0.08</v>
      </c>
      <c r="R70" s="120">
        <v>0.1211</v>
      </c>
      <c r="S70" s="122">
        <v>0.0013</v>
      </c>
      <c r="T70" s="120">
        <v>0.2107</v>
      </c>
    </row>
    <row r="71" spans="1:20">
      <c r="A71" s="42">
        <v>615</v>
      </c>
      <c r="B71" s="120"/>
      <c r="C71" s="120">
        <v>0.0908</v>
      </c>
      <c r="D71" s="122">
        <v>0.06</v>
      </c>
      <c r="E71" s="122">
        <v>0.21</v>
      </c>
      <c r="F71" s="122">
        <v>0.305</v>
      </c>
      <c r="G71" s="123">
        <v>0.07250845</v>
      </c>
      <c r="H71" s="123">
        <v>0.07250845</v>
      </c>
      <c r="I71" s="123">
        <v>0.04473845</v>
      </c>
      <c r="J71" s="122">
        <v>0.155</v>
      </c>
      <c r="K71" s="122">
        <v>0.07</v>
      </c>
      <c r="L71" s="122">
        <v>0.0478</v>
      </c>
      <c r="M71" s="122">
        <v>0.171</v>
      </c>
      <c r="N71" s="122">
        <v>0.107</v>
      </c>
      <c r="O71" s="120">
        <v>0.16</v>
      </c>
      <c r="P71" s="120">
        <v>0.1735</v>
      </c>
      <c r="Q71" s="122">
        <v>0.075</v>
      </c>
      <c r="R71" s="120">
        <v>0.1275</v>
      </c>
      <c r="S71" s="122">
        <v>0.0123</v>
      </c>
      <c r="T71" s="120">
        <v>0.1789</v>
      </c>
    </row>
    <row r="72" spans="1:20">
      <c r="A72" s="42">
        <v>620</v>
      </c>
      <c r="B72" s="120"/>
      <c r="C72" s="120">
        <v>0.1945</v>
      </c>
      <c r="D72" s="122">
        <v>0.058</v>
      </c>
      <c r="E72" s="122">
        <v>0.14</v>
      </c>
      <c r="F72" s="122">
        <v>0.293</v>
      </c>
      <c r="G72" s="123">
        <v>0.0871371</v>
      </c>
      <c r="H72" s="123">
        <v>0.0871371</v>
      </c>
      <c r="I72" s="123">
        <v>0.0387416</v>
      </c>
      <c r="J72" s="122">
        <v>0.15</v>
      </c>
      <c r="K72" s="122">
        <v>0.04</v>
      </c>
      <c r="L72" s="122">
        <v>0.0722</v>
      </c>
      <c r="M72" s="122">
        <v>0.133</v>
      </c>
      <c r="N72" s="122">
        <v>0.085</v>
      </c>
      <c r="O72" s="120">
        <v>0.155</v>
      </c>
      <c r="P72" s="120">
        <v>0.1323</v>
      </c>
      <c r="Q72" s="122">
        <v>0.07</v>
      </c>
      <c r="R72" s="120">
        <v>0.1239</v>
      </c>
      <c r="S72" s="122">
        <v>0.0367</v>
      </c>
      <c r="T72" s="120">
        <v>0.149</v>
      </c>
    </row>
    <row r="73" spans="1:20">
      <c r="A73" s="42">
        <v>625</v>
      </c>
      <c r="B73" s="120"/>
      <c r="C73" s="120">
        <v>0.2576</v>
      </c>
      <c r="D73" s="122">
        <v>0.054</v>
      </c>
      <c r="E73" s="122">
        <v>0.085</v>
      </c>
      <c r="F73" s="122">
        <v>0.24</v>
      </c>
      <c r="G73" s="123">
        <v>0.0829154</v>
      </c>
      <c r="H73" s="123">
        <v>0.0829154</v>
      </c>
      <c r="I73" s="123">
        <v>0.02321755</v>
      </c>
      <c r="J73" s="122">
        <v>0.155</v>
      </c>
      <c r="K73" s="122">
        <v>0.05</v>
      </c>
      <c r="L73" s="122">
        <v>0.0906</v>
      </c>
      <c r="M73" s="122">
        <v>0.112</v>
      </c>
      <c r="N73" s="122">
        <v>0.07</v>
      </c>
      <c r="O73" s="120">
        <v>0.1746</v>
      </c>
      <c r="P73" s="120">
        <v>0.0974</v>
      </c>
      <c r="Q73" s="122">
        <v>0.06</v>
      </c>
      <c r="R73" s="120">
        <v>0.10975</v>
      </c>
      <c r="S73" s="122">
        <v>0.0649</v>
      </c>
      <c r="T73" s="120">
        <v>0.1352</v>
      </c>
    </row>
    <row r="74" spans="1:20">
      <c r="A74" s="42">
        <v>630</v>
      </c>
      <c r="B74" s="120"/>
      <c r="C74" s="120">
        <v>0.2417</v>
      </c>
      <c r="D74" s="122">
        <v>0.058</v>
      </c>
      <c r="E74" s="122">
        <v>0.075</v>
      </c>
      <c r="F74" s="122">
        <v>0.166</v>
      </c>
      <c r="G74" s="123">
        <v>0.0559398</v>
      </c>
      <c r="H74" s="123">
        <v>0.0559398</v>
      </c>
      <c r="I74" s="123">
        <v>0.0048616</v>
      </c>
      <c r="J74" s="122">
        <v>0.18</v>
      </c>
      <c r="K74" s="122">
        <v>0.085</v>
      </c>
      <c r="L74" s="122">
        <v>0.1018</v>
      </c>
      <c r="M74" s="122">
        <v>0.099</v>
      </c>
      <c r="N74" s="122">
        <v>0.063</v>
      </c>
      <c r="O74" s="120">
        <v>0.2084</v>
      </c>
      <c r="P74" s="120">
        <v>0.0763</v>
      </c>
      <c r="Q74" s="122">
        <v>0.06</v>
      </c>
      <c r="R74" s="120">
        <v>0.0923</v>
      </c>
      <c r="S74" s="122">
        <v>0.0943</v>
      </c>
      <c r="T74" s="120">
        <v>0.1428</v>
      </c>
    </row>
    <row r="75" spans="1:20">
      <c r="A75" s="42">
        <v>635</v>
      </c>
      <c r="B75" s="120"/>
      <c r="C75" s="120">
        <v>0.1604</v>
      </c>
      <c r="D75" s="122">
        <v>0.082</v>
      </c>
      <c r="E75" s="122">
        <v>0.1</v>
      </c>
      <c r="F75" s="122">
        <v>0.104</v>
      </c>
      <c r="G75" s="123">
        <v>0.02447775</v>
      </c>
      <c r="H75" s="123">
        <v>0.02447775</v>
      </c>
      <c r="I75" s="123">
        <v>0.0034316</v>
      </c>
      <c r="J75" s="122">
        <v>0.2</v>
      </c>
      <c r="K75" s="122">
        <v>0.1</v>
      </c>
      <c r="L75" s="122">
        <v>0.111</v>
      </c>
      <c r="M75" s="122">
        <v>0.086</v>
      </c>
      <c r="N75" s="122">
        <v>0.062</v>
      </c>
      <c r="O75" s="120">
        <v>0.24795</v>
      </c>
      <c r="P75" s="120">
        <v>0.0749</v>
      </c>
      <c r="Q75" s="122">
        <v>0.055</v>
      </c>
      <c r="R75" s="120">
        <v>0.07945</v>
      </c>
      <c r="S75" s="122">
        <v>0.1315</v>
      </c>
      <c r="T75" s="120">
        <v>0.18035</v>
      </c>
    </row>
    <row r="76" spans="1:20">
      <c r="A76" s="42">
        <v>640</v>
      </c>
      <c r="B76" s="120"/>
      <c r="C76" s="120">
        <v>0.0706</v>
      </c>
      <c r="D76" s="122">
        <v>0.125</v>
      </c>
      <c r="E76" s="122">
        <v>0.145</v>
      </c>
      <c r="F76" s="122">
        <v>0.069</v>
      </c>
      <c r="G76" s="123">
        <v>0.0151415</v>
      </c>
      <c r="H76" s="123">
        <v>0.0151415</v>
      </c>
      <c r="I76" s="123">
        <v>0.0285777</v>
      </c>
      <c r="J76" s="122">
        <v>0.195</v>
      </c>
      <c r="K76" s="122">
        <v>0.165</v>
      </c>
      <c r="L76" s="122">
        <v>0.1271</v>
      </c>
      <c r="M76" s="122">
        <v>0.071</v>
      </c>
      <c r="N76" s="122">
        <v>0.066</v>
      </c>
      <c r="O76" s="120">
        <v>0.2859</v>
      </c>
      <c r="P76" s="120">
        <v>0.083</v>
      </c>
      <c r="Q76" s="122">
        <v>0.06</v>
      </c>
      <c r="R76" s="120">
        <v>0.077</v>
      </c>
      <c r="S76" s="122">
        <v>0.1888</v>
      </c>
      <c r="T76" s="120">
        <v>0.2401</v>
      </c>
    </row>
    <row r="77" spans="1:20">
      <c r="A77" s="42">
        <v>645</v>
      </c>
      <c r="B77" s="120"/>
      <c r="C77" s="120">
        <v>0.0401</v>
      </c>
      <c r="D77" s="122">
        <v>0.18</v>
      </c>
      <c r="E77" s="122">
        <v>0.195</v>
      </c>
      <c r="F77" s="122">
        <v>0.068</v>
      </c>
      <c r="G77" s="123">
        <v>0.04653855</v>
      </c>
      <c r="H77" s="123">
        <v>0.04653855</v>
      </c>
      <c r="I77" s="123">
        <v>0.0739275</v>
      </c>
      <c r="J77" s="122">
        <v>0.22</v>
      </c>
      <c r="K77" s="122">
        <v>0.175</v>
      </c>
      <c r="L77" s="122">
        <v>0.1582</v>
      </c>
      <c r="M77" s="122">
        <v>0.055</v>
      </c>
      <c r="N77" s="122">
        <v>0.08</v>
      </c>
      <c r="O77" s="120">
        <v>0.3177</v>
      </c>
      <c r="P77" s="120">
        <v>0.0937</v>
      </c>
      <c r="Q77" s="122">
        <v>0.06</v>
      </c>
      <c r="R77" s="120">
        <v>0.092</v>
      </c>
      <c r="S77" s="122">
        <v>0.2777</v>
      </c>
      <c r="T77" s="120">
        <v>0.3165</v>
      </c>
    </row>
    <row r="78" spans="1:20">
      <c r="A78" s="42">
        <v>650</v>
      </c>
      <c r="B78" s="120"/>
      <c r="C78" s="120">
        <v>0.1096</v>
      </c>
      <c r="D78" s="122">
        <v>0.234</v>
      </c>
      <c r="E78" s="122">
        <v>0.215</v>
      </c>
      <c r="F78" s="122">
        <v>0.077</v>
      </c>
      <c r="G78" s="123">
        <v>0.1116317</v>
      </c>
      <c r="H78" s="123">
        <v>0.1116317</v>
      </c>
      <c r="I78" s="123">
        <v>0.1187761</v>
      </c>
      <c r="J78" s="122">
        <v>0.24</v>
      </c>
      <c r="K78" s="122">
        <v>0.18</v>
      </c>
      <c r="L78" s="122">
        <v>0.2073</v>
      </c>
      <c r="M78" s="122">
        <v>0.043</v>
      </c>
      <c r="N78" s="122">
        <v>0.102</v>
      </c>
      <c r="O78" s="120">
        <v>0.3471</v>
      </c>
      <c r="P78" s="120">
        <v>0.1018</v>
      </c>
      <c r="Q78" s="122">
        <v>0.07</v>
      </c>
      <c r="R78" s="120">
        <v>0.1205</v>
      </c>
      <c r="S78" s="122">
        <v>0.4025</v>
      </c>
      <c r="T78" s="120">
        <v>0.3978</v>
      </c>
    </row>
    <row r="79" spans="1:20">
      <c r="A79" s="42">
        <v>655</v>
      </c>
      <c r="B79" s="120"/>
      <c r="C79" s="120">
        <v>0.2703</v>
      </c>
      <c r="D79" s="122">
        <v>0.272</v>
      </c>
      <c r="E79" s="122">
        <v>0.195</v>
      </c>
      <c r="F79" s="122">
        <v>0.079</v>
      </c>
      <c r="G79" s="123">
        <v>0.1916688</v>
      </c>
      <c r="H79" s="123">
        <v>0.1916688</v>
      </c>
      <c r="I79" s="123">
        <v>0.1492804</v>
      </c>
      <c r="J79" s="122">
        <v>0.275</v>
      </c>
      <c r="K79" s="122">
        <v>0.24</v>
      </c>
      <c r="L79" s="122">
        <v>0.271</v>
      </c>
      <c r="M79" s="122">
        <v>0.046</v>
      </c>
      <c r="N79" s="122">
        <v>0.136</v>
      </c>
      <c r="O79" s="120">
        <v>0.3815</v>
      </c>
      <c r="P79" s="120">
        <v>0.11</v>
      </c>
      <c r="Q79" s="122">
        <v>0.09</v>
      </c>
      <c r="R79" s="120">
        <v>0.16145</v>
      </c>
      <c r="S79" s="122">
        <v>0.5576</v>
      </c>
      <c r="T79" s="120">
        <v>0.4738</v>
      </c>
    </row>
    <row r="80" spans="1:20">
      <c r="A80" s="42">
        <v>660</v>
      </c>
      <c r="B80" s="120"/>
      <c r="C80" s="120">
        <v>0.4682</v>
      </c>
      <c r="D80" s="122">
        <v>0.291</v>
      </c>
      <c r="E80" s="122">
        <v>0.17</v>
      </c>
      <c r="F80" s="122">
        <v>0.07</v>
      </c>
      <c r="G80" s="123">
        <v>0.2630784</v>
      </c>
      <c r="H80" s="123">
        <v>0.2630784</v>
      </c>
      <c r="I80" s="123">
        <v>0.172904</v>
      </c>
      <c r="J80" s="122">
        <v>0.33</v>
      </c>
      <c r="K80" s="122">
        <v>0.295</v>
      </c>
      <c r="L80" s="122">
        <v>0.3405</v>
      </c>
      <c r="M80" s="122">
        <v>0.061</v>
      </c>
      <c r="N80" s="122">
        <v>0.183</v>
      </c>
      <c r="O80" s="120">
        <v>0.4287</v>
      </c>
      <c r="P80" s="120">
        <v>0.1257</v>
      </c>
      <c r="Q80" s="122">
        <v>0.12</v>
      </c>
      <c r="R80" s="120">
        <v>0.2064</v>
      </c>
      <c r="S80" s="122">
        <v>0.7292</v>
      </c>
      <c r="T80" s="120">
        <v>0.5399</v>
      </c>
    </row>
    <row r="81" spans="1:20">
      <c r="A81" s="42">
        <v>665</v>
      </c>
      <c r="B81" s="120"/>
      <c r="C81" s="120">
        <v>0.631</v>
      </c>
      <c r="D81" s="122">
        <v>0.297</v>
      </c>
      <c r="E81" s="122">
        <v>0.145</v>
      </c>
      <c r="F81" s="122">
        <v>0.059</v>
      </c>
      <c r="G81" s="123">
        <v>0.31246745</v>
      </c>
      <c r="H81" s="123">
        <v>0.31246745</v>
      </c>
      <c r="I81" s="123">
        <v>0.21554955</v>
      </c>
      <c r="J81" s="122">
        <v>0.37</v>
      </c>
      <c r="K81" s="122">
        <v>0.37</v>
      </c>
      <c r="L81" s="122">
        <v>0.4059</v>
      </c>
      <c r="M81" s="122">
        <v>0.087</v>
      </c>
      <c r="N81" s="122">
        <v>0.241</v>
      </c>
      <c r="O81" s="120">
        <v>0.5008</v>
      </c>
      <c r="P81" s="120">
        <v>0.16075</v>
      </c>
      <c r="Q81" s="122">
        <v>0.165</v>
      </c>
      <c r="R81" s="120">
        <v>0.2477</v>
      </c>
      <c r="S81" s="122">
        <v>0.9009</v>
      </c>
      <c r="T81" s="120">
        <v>0.5942</v>
      </c>
    </row>
    <row r="82" spans="1:20">
      <c r="A82" s="42">
        <v>670</v>
      </c>
      <c r="B82" s="120"/>
      <c r="C82" s="120">
        <v>0.7015</v>
      </c>
      <c r="D82" s="122">
        <v>0.305</v>
      </c>
      <c r="E82" s="122">
        <v>0.125</v>
      </c>
      <c r="F82" s="122">
        <v>0.065</v>
      </c>
      <c r="G82" s="123">
        <v>0.3459031</v>
      </c>
      <c r="H82" s="123">
        <v>0.3459031</v>
      </c>
      <c r="I82" s="123">
        <v>0.3020741</v>
      </c>
      <c r="J82" s="122">
        <v>0.475</v>
      </c>
      <c r="K82" s="122">
        <v>0.46</v>
      </c>
      <c r="L82" s="122">
        <v>0.4602</v>
      </c>
      <c r="M82" s="122">
        <v>0.119</v>
      </c>
      <c r="N82" s="122">
        <v>0.31</v>
      </c>
      <c r="O82" s="120">
        <v>0.5972</v>
      </c>
      <c r="P82" s="120">
        <v>0.2157</v>
      </c>
      <c r="Q82" s="122">
        <v>0.22</v>
      </c>
      <c r="R82" s="120">
        <v>0.2825</v>
      </c>
      <c r="S82" s="122">
        <v>1.06</v>
      </c>
      <c r="T82" s="120">
        <v>0.6435</v>
      </c>
    </row>
    <row r="83" spans="1:20">
      <c r="A83" s="42">
        <v>675</v>
      </c>
      <c r="B83" s="120"/>
      <c r="C83" s="120">
        <v>0.663</v>
      </c>
      <c r="D83" s="122">
        <v>0.337</v>
      </c>
      <c r="E83" s="122">
        <v>0.125</v>
      </c>
      <c r="F83" s="122">
        <v>0.106</v>
      </c>
      <c r="G83" s="123">
        <v>0.38150245</v>
      </c>
      <c r="H83" s="123">
        <v>0.38150245</v>
      </c>
      <c r="I83" s="123">
        <v>0.4460963</v>
      </c>
      <c r="J83" s="122">
        <v>0.495</v>
      </c>
      <c r="K83" s="122">
        <v>0.54</v>
      </c>
      <c r="L83" s="122">
        <v>0.5021</v>
      </c>
      <c r="M83" s="122">
        <v>0.15</v>
      </c>
      <c r="N83" s="122">
        <v>0.388</v>
      </c>
      <c r="O83" s="120">
        <v>0.72455</v>
      </c>
      <c r="P83" s="120">
        <v>0.29265</v>
      </c>
      <c r="Q83" s="122">
        <v>0.285</v>
      </c>
      <c r="R83" s="120">
        <v>0.3072</v>
      </c>
      <c r="S83" s="122">
        <v>1.2025</v>
      </c>
      <c r="T83" s="120">
        <v>0.6965</v>
      </c>
    </row>
    <row r="84" spans="1:20">
      <c r="A84" s="42">
        <v>680</v>
      </c>
      <c r="B84" s="120"/>
      <c r="C84" s="120">
        <v>0.5463</v>
      </c>
      <c r="D84" s="122">
        <v>0.4</v>
      </c>
      <c r="E84" s="122">
        <v>0.16</v>
      </c>
      <c r="F84" s="122">
        <v>0.17</v>
      </c>
      <c r="G84" s="123">
        <v>0.4408018</v>
      </c>
      <c r="H84" s="123">
        <v>0.4408018</v>
      </c>
      <c r="I84" s="123">
        <v>0.6275487</v>
      </c>
      <c r="J84" s="122">
        <v>0.51</v>
      </c>
      <c r="K84" s="122">
        <v>0.62</v>
      </c>
      <c r="L84" s="122">
        <v>0.537</v>
      </c>
      <c r="M84" s="122">
        <v>0.182</v>
      </c>
      <c r="N84" s="122">
        <v>0.468</v>
      </c>
      <c r="O84" s="120">
        <v>0.8716</v>
      </c>
      <c r="P84" s="120">
        <v>0.3789</v>
      </c>
      <c r="Q84" s="122">
        <v>0.35</v>
      </c>
      <c r="R84" s="120">
        <v>0.3274</v>
      </c>
      <c r="S84" s="122">
        <v>1.3346</v>
      </c>
      <c r="T84" s="120">
        <v>0.7624</v>
      </c>
    </row>
    <row r="85" spans="1:20">
      <c r="A85" s="42">
        <v>685</v>
      </c>
      <c r="B85" s="120"/>
      <c r="C85" s="120">
        <v>0.4173</v>
      </c>
      <c r="D85" s="122">
        <v>0.505</v>
      </c>
      <c r="E85" s="122">
        <v>0.24</v>
      </c>
      <c r="F85" s="122">
        <v>0.248</v>
      </c>
      <c r="G85" s="123">
        <v>0.5420174</v>
      </c>
      <c r="H85" s="123">
        <v>0.5420174</v>
      </c>
      <c r="I85" s="123">
        <v>0.81255415</v>
      </c>
      <c r="J85" s="122">
        <v>0.595</v>
      </c>
      <c r="K85" s="122">
        <v>0.72</v>
      </c>
      <c r="L85" s="122">
        <v>0.5744</v>
      </c>
      <c r="M85" s="122">
        <v>0.213</v>
      </c>
      <c r="N85" s="122">
        <v>0.552</v>
      </c>
      <c r="O85" s="120">
        <v>1.0325</v>
      </c>
      <c r="P85" s="120">
        <v>0.465</v>
      </c>
      <c r="Q85" s="122">
        <v>0.41</v>
      </c>
      <c r="R85" s="120">
        <v>0.34895</v>
      </c>
      <c r="S85" s="122">
        <v>1.4706</v>
      </c>
      <c r="T85" s="120">
        <v>0.8552</v>
      </c>
    </row>
    <row r="86" spans="1:20">
      <c r="A86" s="42">
        <v>690</v>
      </c>
      <c r="B86" s="120"/>
      <c r="C86" s="120">
        <v>0.3516</v>
      </c>
      <c r="D86" s="122">
        <v>0.636</v>
      </c>
      <c r="E86" s="122">
        <v>0.365</v>
      </c>
      <c r="F86" s="122">
        <v>0.318</v>
      </c>
      <c r="G86" s="123">
        <v>0.6849887</v>
      </c>
      <c r="H86" s="123">
        <v>0.6849887</v>
      </c>
      <c r="I86" s="123">
        <v>0.9668334</v>
      </c>
      <c r="J86" s="122">
        <v>0.685</v>
      </c>
      <c r="K86" s="122">
        <v>0.88</v>
      </c>
      <c r="L86" s="122">
        <v>0.6253</v>
      </c>
      <c r="M86" s="122">
        <v>0.251</v>
      </c>
      <c r="N86" s="122">
        <v>0.636</v>
      </c>
      <c r="O86" s="120">
        <v>1.197</v>
      </c>
      <c r="P86" s="120">
        <v>0.5419</v>
      </c>
      <c r="Q86" s="122">
        <v>0.46</v>
      </c>
      <c r="R86" s="120">
        <v>0.3781</v>
      </c>
      <c r="S86" s="122">
        <v>1.6279</v>
      </c>
      <c r="T86" s="120">
        <v>0.9758</v>
      </c>
    </row>
    <row r="87" spans="1:20">
      <c r="A87" s="42">
        <v>695</v>
      </c>
      <c r="B87" s="120"/>
      <c r="C87" s="120">
        <v>0.4046</v>
      </c>
      <c r="D87" s="122">
        <v>0.778</v>
      </c>
      <c r="E87" s="122">
        <v>0.52</v>
      </c>
      <c r="F87" s="122">
        <v>0.368</v>
      </c>
      <c r="G87" s="123">
        <v>0.8620189</v>
      </c>
      <c r="H87" s="123">
        <v>0.8620189</v>
      </c>
      <c r="I87" s="123">
        <v>1.0726915</v>
      </c>
      <c r="J87" s="122">
        <v>0.755</v>
      </c>
      <c r="K87" s="122">
        <v>1.035</v>
      </c>
      <c r="L87" s="122">
        <v>0.6975</v>
      </c>
      <c r="M87" s="122">
        <v>0.306</v>
      </c>
      <c r="N87" s="122">
        <v>0.717</v>
      </c>
      <c r="O87" s="120">
        <v>1.3528</v>
      </c>
      <c r="P87" s="120">
        <v>0.6066</v>
      </c>
      <c r="Q87" s="122">
        <v>0.515</v>
      </c>
      <c r="R87" s="120">
        <v>0.4275</v>
      </c>
      <c r="S87" s="122">
        <v>1.8211</v>
      </c>
      <c r="T87" s="120">
        <v>1.13055</v>
      </c>
    </row>
    <row r="88" spans="1:20">
      <c r="A88" s="42">
        <v>700</v>
      </c>
      <c r="B88" s="120"/>
      <c r="C88" s="120">
        <v>0.591</v>
      </c>
      <c r="D88" s="122">
        <v>0.913</v>
      </c>
      <c r="E88" s="122">
        <v>0.67</v>
      </c>
      <c r="F88" s="122">
        <v>0.405</v>
      </c>
      <c r="G88" s="123">
        <v>1.0528606</v>
      </c>
      <c r="H88" s="123">
        <v>1.0528606</v>
      </c>
      <c r="I88" s="123">
        <v>1.1474673</v>
      </c>
      <c r="J88" s="122">
        <v>0.87</v>
      </c>
      <c r="K88" s="122">
        <v>1.18</v>
      </c>
      <c r="L88" s="122">
        <v>0.7937</v>
      </c>
      <c r="M88" s="122">
        <v>0.379</v>
      </c>
      <c r="N88" s="122">
        <v>0.798</v>
      </c>
      <c r="O88" s="120">
        <v>1.4975</v>
      </c>
      <c r="P88" s="120">
        <v>0.6674</v>
      </c>
      <c r="Q88" s="122">
        <v>0.575</v>
      </c>
      <c r="R88" s="120">
        <v>0.4984</v>
      </c>
      <c r="S88" s="122">
        <v>2.057</v>
      </c>
      <c r="T88" s="120">
        <v>1.3107</v>
      </c>
    </row>
    <row r="89" spans="1:20">
      <c r="A89" s="42">
        <v>705</v>
      </c>
      <c r="B89" s="120"/>
      <c r="C89" s="120">
        <v>0.8796</v>
      </c>
      <c r="D89" s="122">
        <v>1.017</v>
      </c>
      <c r="E89" s="122">
        <v>0.79</v>
      </c>
      <c r="F89" s="122">
        <v>0.439</v>
      </c>
      <c r="G89" s="123">
        <v>1.2397006</v>
      </c>
      <c r="H89" s="123">
        <v>1.2397006</v>
      </c>
      <c r="I89" s="123">
        <v>1.22789355</v>
      </c>
      <c r="J89" s="122">
        <v>0.955</v>
      </c>
      <c r="K89" s="122">
        <v>1.325</v>
      </c>
      <c r="L89" s="122">
        <v>0.9106</v>
      </c>
      <c r="M89" s="122">
        <v>0.476</v>
      </c>
      <c r="N89" s="122">
        <v>0.882</v>
      </c>
      <c r="O89" s="120">
        <v>1.62625</v>
      </c>
      <c r="P89" s="120">
        <v>0.7364</v>
      </c>
      <c r="Q89" s="122">
        <v>0.655</v>
      </c>
      <c r="R89" s="120">
        <v>0.59815</v>
      </c>
      <c r="S89" s="122">
        <v>2.3325</v>
      </c>
      <c r="T89" s="120">
        <v>1.51305</v>
      </c>
    </row>
    <row r="90" spans="1:20">
      <c r="A90" s="42">
        <v>710</v>
      </c>
      <c r="B90" s="120"/>
      <c r="C90" s="120">
        <v>1.2058</v>
      </c>
      <c r="D90" s="122">
        <v>1.093</v>
      </c>
      <c r="E90" s="122">
        <v>0.85</v>
      </c>
      <c r="F90" s="122">
        <v>0.488</v>
      </c>
      <c r="G90" s="123">
        <v>1.4103682</v>
      </c>
      <c r="H90" s="123">
        <v>1.4103682</v>
      </c>
      <c r="I90" s="123">
        <v>1.3556064</v>
      </c>
      <c r="J90" s="122">
        <v>1.03</v>
      </c>
      <c r="K90" s="122">
        <v>1.46</v>
      </c>
      <c r="L90" s="122">
        <v>1.0397</v>
      </c>
      <c r="M90" s="122">
        <v>0.587</v>
      </c>
      <c r="N90" s="122">
        <v>0.971</v>
      </c>
      <c r="O90" s="120">
        <v>1.7458</v>
      </c>
      <c r="P90" s="120">
        <v>0.8238</v>
      </c>
      <c r="Q90" s="122">
        <v>0.765</v>
      </c>
      <c r="R90" s="120">
        <v>0.7203</v>
      </c>
      <c r="S90" s="122">
        <v>2.6351</v>
      </c>
      <c r="T90" s="120">
        <v>1.7225</v>
      </c>
    </row>
    <row r="91" spans="1:20">
      <c r="A91" s="42">
        <v>715</v>
      </c>
      <c r="B91" s="120"/>
      <c r="C91" s="120">
        <v>1.4939</v>
      </c>
      <c r="D91" s="122">
        <v>1.14</v>
      </c>
      <c r="E91" s="122">
        <v>0.89</v>
      </c>
      <c r="F91" s="122">
        <v>0.572</v>
      </c>
      <c r="G91" s="123">
        <v>1.5599441</v>
      </c>
      <c r="H91" s="123">
        <v>1.5599441</v>
      </c>
      <c r="I91" s="123">
        <v>1.56302725</v>
      </c>
      <c r="J91" s="122">
        <v>1.115</v>
      </c>
      <c r="K91" s="122">
        <v>1.64</v>
      </c>
      <c r="L91" s="122">
        <v>1.1704</v>
      </c>
      <c r="M91" s="122">
        <v>0.708</v>
      </c>
      <c r="N91" s="122">
        <v>1.068</v>
      </c>
      <c r="O91" s="120">
        <v>1.86135</v>
      </c>
      <c r="P91" s="120">
        <v>0.9438</v>
      </c>
      <c r="Q91" s="122">
        <v>0.895</v>
      </c>
      <c r="R91" s="120">
        <v>0.8637</v>
      </c>
      <c r="S91" s="122">
        <v>2.9467</v>
      </c>
      <c r="T91" s="120">
        <v>1.9279</v>
      </c>
    </row>
    <row r="92" spans="1:20">
      <c r="A92" s="42">
        <v>720</v>
      </c>
      <c r="B92" s="120"/>
      <c r="C92" s="120">
        <v>1.6814</v>
      </c>
      <c r="D92" s="122">
        <v>1.176</v>
      </c>
      <c r="E92" s="122">
        <v>0.945</v>
      </c>
      <c r="F92" s="122">
        <v>0.685</v>
      </c>
      <c r="G92" s="123">
        <v>1.6938419</v>
      </c>
      <c r="H92" s="123">
        <v>1.6938419</v>
      </c>
      <c r="I92" s="123">
        <v>1.8435097</v>
      </c>
      <c r="J92" s="122">
        <v>1.225</v>
      </c>
      <c r="K92" s="122">
        <v>1.82</v>
      </c>
      <c r="L92" s="122">
        <v>1.2929</v>
      </c>
      <c r="M92" s="122">
        <v>0.833</v>
      </c>
      <c r="N92" s="122">
        <v>1.178</v>
      </c>
      <c r="O92" s="120">
        <v>1.981</v>
      </c>
      <c r="P92" s="120">
        <v>1.0928</v>
      </c>
      <c r="Q92" s="122">
        <v>1.05</v>
      </c>
      <c r="R92" s="120">
        <v>1.019</v>
      </c>
      <c r="S92" s="122">
        <v>3.248</v>
      </c>
      <c r="T92" s="120">
        <v>2.123</v>
      </c>
    </row>
    <row r="93" spans="1:20">
      <c r="A93" s="42">
        <v>725</v>
      </c>
      <c r="B93" s="120"/>
      <c r="C93" s="120">
        <v>1.7375</v>
      </c>
      <c r="D93" s="122">
        <v>1.224</v>
      </c>
      <c r="E93" s="122">
        <v>0.98</v>
      </c>
      <c r="F93" s="122">
        <v>0.831</v>
      </c>
      <c r="G93" s="123">
        <v>1.8207127</v>
      </c>
      <c r="H93" s="123">
        <v>1.8207127</v>
      </c>
      <c r="I93" s="123">
        <v>2.1701334</v>
      </c>
      <c r="J93" s="122">
        <v>1.34</v>
      </c>
      <c r="K93" s="122">
        <v>2</v>
      </c>
      <c r="L93" s="122">
        <v>1.4009</v>
      </c>
      <c r="M93" s="122">
        <v>0.952</v>
      </c>
      <c r="N93" s="122">
        <v>1.31</v>
      </c>
      <c r="O93" s="120">
        <v>2.12085</v>
      </c>
      <c r="P93" s="120">
        <v>1.2741</v>
      </c>
      <c r="Q93" s="122">
        <v>1.21</v>
      </c>
      <c r="R93" s="120">
        <v>1.17965</v>
      </c>
      <c r="S93" s="122">
        <v>3.5241</v>
      </c>
      <c r="T93" s="120">
        <v>2.3</v>
      </c>
    </row>
    <row r="94" spans="1:20">
      <c r="A94" s="42">
        <v>730</v>
      </c>
      <c r="B94" s="120"/>
      <c r="C94" s="120">
        <v>1.6705</v>
      </c>
      <c r="D94" s="122">
        <v>1.299</v>
      </c>
      <c r="E94" s="122">
        <v>0.975</v>
      </c>
      <c r="F94" s="122">
        <v>0.99</v>
      </c>
      <c r="G94" s="123">
        <v>1.9509991</v>
      </c>
      <c r="H94" s="123">
        <v>1.9509991</v>
      </c>
      <c r="I94" s="123">
        <v>2.4942033</v>
      </c>
      <c r="J94" s="122">
        <v>1.45</v>
      </c>
      <c r="K94" s="122">
        <v>2.185</v>
      </c>
      <c r="L94" s="122">
        <v>1.4934</v>
      </c>
      <c r="M94" s="122">
        <v>1.063</v>
      </c>
      <c r="N94" s="122">
        <v>1.457</v>
      </c>
      <c r="O94" s="120">
        <v>2.2812</v>
      </c>
      <c r="P94" s="120">
        <v>1.4688</v>
      </c>
      <c r="Q94" s="122">
        <v>1.37</v>
      </c>
      <c r="R94" s="120">
        <v>1.3367</v>
      </c>
      <c r="S94" s="122">
        <v>3.7672</v>
      </c>
      <c r="T94" s="120">
        <v>2.4564</v>
      </c>
    </row>
    <row r="95" spans="1:20">
      <c r="A95" s="42">
        <v>735</v>
      </c>
      <c r="B95" s="120"/>
      <c r="C95" s="120">
        <v>1.5251</v>
      </c>
      <c r="D95" s="122">
        <v>1.424</v>
      </c>
      <c r="E95" s="122">
        <v>1.02</v>
      </c>
      <c r="F95" s="122">
        <v>1.152</v>
      </c>
      <c r="G95" s="123">
        <v>2.09421265</v>
      </c>
      <c r="H95" s="123">
        <v>2.09421265</v>
      </c>
      <c r="I95" s="123">
        <v>2.768444</v>
      </c>
      <c r="J95" s="122">
        <v>1.61</v>
      </c>
      <c r="K95" s="122">
        <v>2.345</v>
      </c>
      <c r="L95" s="122">
        <v>1.5747</v>
      </c>
      <c r="M95" s="122">
        <v>1.168</v>
      </c>
      <c r="N95" s="122">
        <v>1.629</v>
      </c>
      <c r="O95" s="120">
        <v>2.47275</v>
      </c>
      <c r="P95" s="120">
        <v>1.6603</v>
      </c>
      <c r="Q95" s="122">
        <v>1.515</v>
      </c>
      <c r="R95" s="120">
        <v>1.4802</v>
      </c>
      <c r="S95" s="122">
        <v>3.9784</v>
      </c>
      <c r="T95" s="120">
        <v>2.5876</v>
      </c>
    </row>
    <row r="96" spans="1:20">
      <c r="A96" s="42">
        <v>740</v>
      </c>
      <c r="B96" s="120"/>
      <c r="C96" s="120">
        <v>1.3694</v>
      </c>
      <c r="D96" s="122">
        <v>1.594</v>
      </c>
      <c r="E96" s="122">
        <v>1.12</v>
      </c>
      <c r="F96" s="122">
        <v>1.312</v>
      </c>
      <c r="G96" s="123">
        <v>2.2545054</v>
      </c>
      <c r="H96" s="123">
        <v>2.2545054</v>
      </c>
      <c r="I96" s="123">
        <v>2.9735319</v>
      </c>
      <c r="J96" s="122">
        <v>1.75</v>
      </c>
      <c r="K96" s="122">
        <v>2.565</v>
      </c>
      <c r="L96" s="122">
        <v>1.6529</v>
      </c>
      <c r="M96" s="122">
        <v>1.271</v>
      </c>
      <c r="N96" s="122">
        <v>1.818</v>
      </c>
      <c r="O96" s="120">
        <v>2.6904</v>
      </c>
      <c r="P96" s="120">
        <v>1.8395</v>
      </c>
      <c r="Q96" s="122">
        <v>1.64</v>
      </c>
      <c r="R96" s="120">
        <v>1.6113</v>
      </c>
      <c r="S96" s="122">
        <v>4.1671</v>
      </c>
      <c r="T96" s="120">
        <v>2.7048</v>
      </c>
    </row>
    <row r="97" spans="1:20">
      <c r="A97" s="42">
        <v>745</v>
      </c>
      <c r="B97" s="120"/>
      <c r="C97" s="120">
        <v>1.2765</v>
      </c>
      <c r="D97" s="122">
        <v>1.812</v>
      </c>
      <c r="E97" s="122">
        <v>1.23</v>
      </c>
      <c r="F97" s="122">
        <v>1.463</v>
      </c>
      <c r="G97" s="123">
        <v>2.4355823</v>
      </c>
      <c r="H97" s="123">
        <v>2.4355823</v>
      </c>
      <c r="I97" s="123">
        <v>3.1088171</v>
      </c>
      <c r="J97" s="122">
        <v>1.895</v>
      </c>
      <c r="K97" s="122">
        <v>2.735</v>
      </c>
      <c r="L97" s="122">
        <v>1.7383</v>
      </c>
      <c r="M97" s="122">
        <v>1.383</v>
      </c>
      <c r="N97" s="122">
        <v>2.028</v>
      </c>
      <c r="O97" s="120">
        <v>2.9347</v>
      </c>
      <c r="P97" s="120">
        <v>1.99495</v>
      </c>
      <c r="Q97" s="122">
        <v>1.755</v>
      </c>
      <c r="R97" s="120">
        <v>1.7268</v>
      </c>
      <c r="S97" s="122">
        <v>4.3482</v>
      </c>
      <c r="T97" s="120">
        <v>2.81165</v>
      </c>
    </row>
    <row r="98" spans="1:20">
      <c r="A98" s="42">
        <v>750</v>
      </c>
      <c r="B98" s="120"/>
      <c r="C98" s="120">
        <v>1.3044</v>
      </c>
      <c r="D98" s="122">
        <v>2.053</v>
      </c>
      <c r="E98" s="122">
        <v>1.425</v>
      </c>
      <c r="F98" s="122">
        <v>1.611</v>
      </c>
      <c r="G98" s="123">
        <v>2.6355466</v>
      </c>
      <c r="H98" s="123">
        <v>2.6355466</v>
      </c>
      <c r="I98" s="123">
        <v>3.2100148</v>
      </c>
      <c r="J98" s="122">
        <v>2.02</v>
      </c>
      <c r="K98" s="122">
        <v>2.915</v>
      </c>
      <c r="L98" s="122">
        <v>1.8404</v>
      </c>
      <c r="M98" s="122">
        <v>1.511</v>
      </c>
      <c r="N98" s="122">
        <v>2.254</v>
      </c>
      <c r="O98" s="120">
        <v>3.1957</v>
      </c>
      <c r="P98" s="120">
        <v>2.131</v>
      </c>
      <c r="Q98" s="122">
        <v>1.865</v>
      </c>
      <c r="R98" s="120">
        <v>1.8315</v>
      </c>
      <c r="S98" s="122">
        <v>4.5385</v>
      </c>
      <c r="T98" s="120">
        <v>2.9197</v>
      </c>
    </row>
    <row r="99" spans="1:20">
      <c r="A99" s="42">
        <v>755</v>
      </c>
      <c r="B99" s="120"/>
      <c r="C99" s="120">
        <v>1.481</v>
      </c>
      <c r="D99" s="122">
        <v>2.302</v>
      </c>
      <c r="E99" s="122">
        <v>1.66</v>
      </c>
      <c r="F99" s="122">
        <v>1.756</v>
      </c>
      <c r="G99" s="123">
        <v>2.85390615</v>
      </c>
      <c r="H99" s="123">
        <v>2.85390615</v>
      </c>
      <c r="I99" s="123">
        <v>3.32298415</v>
      </c>
      <c r="J99" s="122">
        <v>2.14</v>
      </c>
      <c r="K99" s="122">
        <v>3.12</v>
      </c>
      <c r="L99" s="122">
        <v>1.9658</v>
      </c>
      <c r="M99" s="122">
        <v>1.664</v>
      </c>
      <c r="N99" s="122">
        <v>2.492</v>
      </c>
      <c r="O99" s="120">
        <v>3.4698</v>
      </c>
      <c r="P99" s="120">
        <v>2.25155</v>
      </c>
      <c r="Q99" s="122">
        <v>1.985</v>
      </c>
      <c r="R99" s="120">
        <v>1.93055</v>
      </c>
      <c r="S99" s="122">
        <v>4.7529</v>
      </c>
      <c r="T99" s="120">
        <v>3.04095</v>
      </c>
    </row>
    <row r="100" spans="1:20">
      <c r="A100" s="42">
        <v>760</v>
      </c>
      <c r="B100" s="120"/>
      <c r="C100" s="120">
        <v>1.7976</v>
      </c>
      <c r="D100" s="122">
        <v>2.535</v>
      </c>
      <c r="E100" s="122">
        <v>1.955</v>
      </c>
      <c r="F100" s="122">
        <v>1.898</v>
      </c>
      <c r="G100" s="123">
        <v>3.086365</v>
      </c>
      <c r="H100" s="123">
        <v>3.086365</v>
      </c>
      <c r="I100" s="123">
        <v>3.4913473</v>
      </c>
      <c r="J100" s="122">
        <v>2.27</v>
      </c>
      <c r="K100" s="122">
        <v>3.325</v>
      </c>
      <c r="L100" s="122">
        <v>2.1169</v>
      </c>
      <c r="M100" s="122">
        <v>1.841</v>
      </c>
      <c r="N100" s="122">
        <v>2.736</v>
      </c>
      <c r="O100" s="120">
        <v>3.7428</v>
      </c>
      <c r="P100" s="120">
        <v>2.3716</v>
      </c>
      <c r="Q100" s="122">
        <v>2.125</v>
      </c>
      <c r="R100" s="120">
        <v>2.0323</v>
      </c>
      <c r="S100" s="122">
        <v>5.0011</v>
      </c>
      <c r="T100" s="120">
        <v>3.1789</v>
      </c>
    </row>
    <row r="101" spans="1:20">
      <c r="A101" s="42">
        <v>765</v>
      </c>
      <c r="B101" s="120"/>
      <c r="C101" s="120">
        <v>2.2126</v>
      </c>
      <c r="D101" s="122">
        <v>2.734</v>
      </c>
      <c r="E101" s="122">
        <v>2.195</v>
      </c>
      <c r="F101" s="122">
        <v>2.037</v>
      </c>
      <c r="G101" s="123">
        <v>3.3297343</v>
      </c>
      <c r="H101" s="123">
        <v>3.3297343</v>
      </c>
      <c r="I101" s="123">
        <v>3.7477096</v>
      </c>
      <c r="J101" s="122">
        <v>2.38</v>
      </c>
      <c r="K101" s="122">
        <v>3.575</v>
      </c>
      <c r="L101" s="122">
        <v>2.2911</v>
      </c>
      <c r="M101" s="122">
        <v>2.043</v>
      </c>
      <c r="N101" s="122">
        <v>2.984</v>
      </c>
      <c r="O101" s="120">
        <v>4.00385</v>
      </c>
      <c r="P101" s="120">
        <v>2.5066</v>
      </c>
      <c r="Q101" s="122">
        <v>2.3</v>
      </c>
      <c r="R101" s="120">
        <v>2.1473</v>
      </c>
      <c r="S101" s="122">
        <v>5.2858</v>
      </c>
      <c r="T101" s="120">
        <v>3.34565</v>
      </c>
    </row>
    <row r="102" spans="1:20">
      <c r="A102" s="42">
        <v>770</v>
      </c>
      <c r="B102" s="120"/>
      <c r="C102" s="120">
        <v>2.6635</v>
      </c>
      <c r="D102" s="122">
        <v>2.895</v>
      </c>
      <c r="E102" s="122">
        <v>2.475</v>
      </c>
      <c r="F102" s="122">
        <v>2.169</v>
      </c>
      <c r="G102" s="123">
        <v>3.5778261</v>
      </c>
      <c r="H102" s="123">
        <v>3.5778261</v>
      </c>
      <c r="I102" s="123">
        <v>4.085907</v>
      </c>
      <c r="J102" s="122">
        <v>2.535</v>
      </c>
      <c r="K102" s="122">
        <v>3.855</v>
      </c>
      <c r="L102" s="122">
        <v>2.4823</v>
      </c>
      <c r="M102" s="122">
        <v>2.264</v>
      </c>
      <c r="N102" s="122">
        <v>3.226</v>
      </c>
      <c r="O102" s="120">
        <v>4.2493</v>
      </c>
      <c r="P102" s="120">
        <v>2.6663</v>
      </c>
      <c r="Q102" s="122">
        <v>2.505</v>
      </c>
      <c r="R102" s="120">
        <v>2.2805</v>
      </c>
      <c r="S102" s="122">
        <v>5.602</v>
      </c>
      <c r="T102" s="120">
        <v>3.5386</v>
      </c>
    </row>
    <row r="103" spans="1:20">
      <c r="A103" s="42">
        <v>775</v>
      </c>
      <c r="B103" s="120"/>
      <c r="C103" s="120">
        <v>3.0821</v>
      </c>
      <c r="D103" s="122">
        <v>3.014</v>
      </c>
      <c r="E103" s="122">
        <v>2.8</v>
      </c>
      <c r="F103" s="122">
        <v>2.293</v>
      </c>
      <c r="G103" s="123">
        <v>3.8235228</v>
      </c>
      <c r="H103" s="123">
        <v>3.8235228</v>
      </c>
      <c r="I103" s="123">
        <v>4.4842844</v>
      </c>
      <c r="J103" s="122">
        <v>2.71</v>
      </c>
      <c r="K103" s="122">
        <v>4.045</v>
      </c>
      <c r="L103" s="122">
        <v>2.6815</v>
      </c>
      <c r="M103" s="122">
        <v>2.496</v>
      </c>
      <c r="N103" s="122">
        <v>3.464</v>
      </c>
      <c r="O103" s="120">
        <v>4.47225</v>
      </c>
      <c r="P103" s="120">
        <v>2.86705</v>
      </c>
      <c r="Q103" s="122">
        <v>2.735</v>
      </c>
      <c r="R103" s="120">
        <v>2.44285</v>
      </c>
      <c r="S103" s="122">
        <v>5.9389</v>
      </c>
      <c r="T103" s="120">
        <v>3.7617</v>
      </c>
    </row>
    <row r="104" spans="1:20">
      <c r="A104" s="42">
        <v>780</v>
      </c>
      <c r="B104" s="120"/>
      <c r="C104" s="120">
        <v>3.4101</v>
      </c>
      <c r="D104" s="122">
        <v>3.104</v>
      </c>
      <c r="E104" s="122">
        <v>3.01</v>
      </c>
      <c r="F104" s="122">
        <v>2.418</v>
      </c>
      <c r="G104" s="123">
        <v>4.0594574</v>
      </c>
      <c r="H104" s="123">
        <v>4.0594574</v>
      </c>
      <c r="I104" s="123">
        <v>4.8969627</v>
      </c>
      <c r="J104" s="122">
        <v>2.86</v>
      </c>
      <c r="K104" s="122">
        <v>4.33</v>
      </c>
      <c r="L104" s="122">
        <v>2.8792</v>
      </c>
      <c r="M104" s="122">
        <v>2.728</v>
      </c>
      <c r="N104" s="122">
        <v>3.693</v>
      </c>
      <c r="O104" s="120">
        <v>4.6739</v>
      </c>
      <c r="P104" s="120">
        <v>3.1001</v>
      </c>
      <c r="Q104" s="122">
        <v>2.98</v>
      </c>
      <c r="R104" s="120">
        <v>2.631</v>
      </c>
      <c r="S104" s="122">
        <v>6.2815</v>
      </c>
      <c r="T104" s="120">
        <v>4.0108</v>
      </c>
    </row>
  </sheetData>
  <sheetProtection algorithmName="SHA-512" hashValue="arnDBinSr07br79LdfaJFE4B3BYmpKh8JSgU/y3wjN8hEEXsRFRpiTHKUJoWCTnBztwkoyYCeKPSeyNXSIRnaA==" saltValue="nqAb4aBM1yOyNX67wU1aXA==" spinCount="100000" sheet="1" objects="1" scenarios="1"/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workbookViewId="0">
      <selection activeCell="G84" sqref="G84"/>
    </sheetView>
  </sheetViews>
  <sheetFormatPr defaultColWidth="9" defaultRowHeight="13.5" outlineLevelCol="5"/>
  <cols>
    <col min="1" max="1" width="16.5" style="8" customWidth="1"/>
    <col min="2" max="2" width="14.625" style="2" customWidth="1"/>
    <col min="3" max="3" width="13.625" style="2" customWidth="1"/>
    <col min="4" max="4" width="12.5" style="2" customWidth="1"/>
    <col min="5" max="5" width="13.125" style="2" customWidth="1"/>
    <col min="6" max="16384" width="9" style="1"/>
  </cols>
  <sheetData>
    <row r="1" ht="20.25" spans="1:6">
      <c r="A1" s="107" t="s">
        <v>157</v>
      </c>
      <c r="B1" s="108"/>
      <c r="C1" s="108"/>
      <c r="D1" s="108"/>
      <c r="E1" s="109"/>
      <c r="F1" s="110"/>
    </row>
    <row r="2" s="106" customFormat="1" spans="1:5">
      <c r="A2" s="111" t="s">
        <v>158</v>
      </c>
      <c r="B2" s="112" t="s">
        <v>159</v>
      </c>
      <c r="C2" s="112" t="s">
        <v>160</v>
      </c>
      <c r="D2" s="112" t="s">
        <v>161</v>
      </c>
      <c r="E2" s="113" t="s">
        <v>25</v>
      </c>
    </row>
    <row r="3" spans="1:5">
      <c r="A3" s="114">
        <v>380</v>
      </c>
      <c r="B3" s="7">
        <v>9.8</v>
      </c>
      <c r="C3" s="7">
        <v>22.4</v>
      </c>
      <c r="D3" s="7">
        <v>33</v>
      </c>
      <c r="E3" s="7">
        <v>50</v>
      </c>
    </row>
    <row r="4" spans="1:5">
      <c r="A4" s="114">
        <v>385</v>
      </c>
      <c r="B4" s="7">
        <v>10.9</v>
      </c>
      <c r="C4" s="7">
        <v>26.85</v>
      </c>
      <c r="D4" s="7">
        <v>39.92</v>
      </c>
      <c r="E4" s="7">
        <v>52.3</v>
      </c>
    </row>
    <row r="5" spans="1:5">
      <c r="A5" s="114">
        <v>390</v>
      </c>
      <c r="B5" s="7">
        <v>12.09</v>
      </c>
      <c r="C5" s="7">
        <v>31.3</v>
      </c>
      <c r="D5" s="7">
        <v>47.4</v>
      </c>
      <c r="E5" s="7">
        <v>54.6</v>
      </c>
    </row>
    <row r="6" spans="1:5">
      <c r="A6" s="114">
        <v>395</v>
      </c>
      <c r="B6" s="7">
        <v>13.35</v>
      </c>
      <c r="C6" s="7">
        <v>36.18</v>
      </c>
      <c r="D6" s="7">
        <v>55.17</v>
      </c>
      <c r="E6" s="7">
        <v>68.7</v>
      </c>
    </row>
    <row r="7" spans="1:5">
      <c r="A7" s="114">
        <v>400</v>
      </c>
      <c r="B7" s="7">
        <v>14.71</v>
      </c>
      <c r="C7" s="7">
        <v>41.3</v>
      </c>
      <c r="D7" s="7">
        <v>63.3</v>
      </c>
      <c r="E7" s="7">
        <v>82.8</v>
      </c>
    </row>
    <row r="8" spans="1:5">
      <c r="A8" s="114">
        <v>405</v>
      </c>
      <c r="B8" s="7">
        <v>16.15</v>
      </c>
      <c r="C8" s="7">
        <v>46.62</v>
      </c>
      <c r="D8" s="7">
        <v>71.81</v>
      </c>
      <c r="E8" s="7">
        <v>87.1</v>
      </c>
    </row>
    <row r="9" spans="1:5">
      <c r="A9" s="114">
        <v>410</v>
      </c>
      <c r="B9" s="7">
        <v>17.68</v>
      </c>
      <c r="C9" s="7">
        <v>52.1</v>
      </c>
      <c r="D9" s="7">
        <v>80.6</v>
      </c>
      <c r="E9" s="7">
        <v>91.5</v>
      </c>
    </row>
    <row r="10" spans="1:5">
      <c r="A10" s="114">
        <v>415</v>
      </c>
      <c r="B10" s="7">
        <v>19.29</v>
      </c>
      <c r="C10" s="7">
        <v>57.7</v>
      </c>
      <c r="D10" s="7">
        <v>89.53</v>
      </c>
      <c r="E10" s="7">
        <v>92.5</v>
      </c>
    </row>
    <row r="11" spans="1:5">
      <c r="A11" s="114">
        <v>420</v>
      </c>
      <c r="B11" s="7">
        <v>20.99</v>
      </c>
      <c r="C11" s="7">
        <v>63.2</v>
      </c>
      <c r="D11" s="7">
        <v>98.1</v>
      </c>
      <c r="E11" s="7">
        <v>93.4</v>
      </c>
    </row>
    <row r="12" spans="1:5">
      <c r="A12" s="114">
        <v>425</v>
      </c>
      <c r="B12" s="7">
        <v>22.79</v>
      </c>
      <c r="C12" s="7">
        <v>68.37</v>
      </c>
      <c r="D12" s="7">
        <v>105.8</v>
      </c>
      <c r="E12" s="7">
        <v>90.1</v>
      </c>
    </row>
    <row r="13" spans="1:5">
      <c r="A13" s="114">
        <v>430</v>
      </c>
      <c r="B13" s="7">
        <v>24.67</v>
      </c>
      <c r="C13" s="7">
        <v>73.1</v>
      </c>
      <c r="D13" s="7">
        <v>112.4</v>
      </c>
      <c r="E13" s="7">
        <v>86.7</v>
      </c>
    </row>
    <row r="14" spans="1:5">
      <c r="A14" s="114">
        <v>435</v>
      </c>
      <c r="B14" s="7">
        <v>26.64</v>
      </c>
      <c r="C14" s="7">
        <v>77.31</v>
      </c>
      <c r="D14" s="7">
        <v>117.75</v>
      </c>
      <c r="E14" s="7">
        <v>95.8</v>
      </c>
    </row>
    <row r="15" spans="1:5">
      <c r="A15" s="114">
        <v>440</v>
      </c>
      <c r="B15" s="7">
        <v>28.7</v>
      </c>
      <c r="C15" s="7">
        <v>80.8</v>
      </c>
      <c r="D15" s="7">
        <v>121.5</v>
      </c>
      <c r="E15" s="7">
        <v>104.9</v>
      </c>
    </row>
    <row r="16" spans="1:5">
      <c r="A16" s="114">
        <v>445</v>
      </c>
      <c r="B16" s="7">
        <v>30.85</v>
      </c>
      <c r="C16" s="7">
        <v>83.44</v>
      </c>
      <c r="D16" s="7">
        <v>123.45</v>
      </c>
      <c r="E16" s="7">
        <v>110.9</v>
      </c>
    </row>
    <row r="17" spans="1:5">
      <c r="A17" s="114">
        <v>450</v>
      </c>
      <c r="B17" s="7">
        <v>33.09</v>
      </c>
      <c r="C17" s="7">
        <v>85.4</v>
      </c>
      <c r="D17" s="7">
        <v>124</v>
      </c>
      <c r="E17" s="7">
        <v>117</v>
      </c>
    </row>
    <row r="18" spans="1:5">
      <c r="A18" s="114">
        <v>455</v>
      </c>
      <c r="B18" s="7">
        <v>35.41</v>
      </c>
      <c r="C18" s="7">
        <v>86.88</v>
      </c>
      <c r="D18" s="7">
        <v>123.6</v>
      </c>
      <c r="E18" s="7">
        <v>117.4</v>
      </c>
    </row>
    <row r="19" spans="1:5">
      <c r="A19" s="114">
        <v>460</v>
      </c>
      <c r="B19" s="7">
        <v>37.81</v>
      </c>
      <c r="C19" s="7">
        <v>88.3</v>
      </c>
      <c r="D19" s="7">
        <v>123.1</v>
      </c>
      <c r="E19" s="7">
        <v>117.8</v>
      </c>
    </row>
    <row r="20" spans="1:5">
      <c r="A20" s="114">
        <v>465</v>
      </c>
      <c r="B20" s="7">
        <v>40.3</v>
      </c>
      <c r="C20" s="7">
        <v>90.08</v>
      </c>
      <c r="D20" s="7">
        <v>123.3</v>
      </c>
      <c r="E20" s="7">
        <v>116.3</v>
      </c>
    </row>
    <row r="21" spans="1:5">
      <c r="A21" s="114">
        <v>470</v>
      </c>
      <c r="B21" s="7">
        <v>42.87</v>
      </c>
      <c r="C21" s="7">
        <v>92</v>
      </c>
      <c r="D21" s="7">
        <v>123.8</v>
      </c>
      <c r="E21" s="7">
        <v>114.9</v>
      </c>
    </row>
    <row r="22" spans="1:5">
      <c r="A22" s="114">
        <v>475</v>
      </c>
      <c r="B22" s="7">
        <v>45.25</v>
      </c>
      <c r="C22" s="7">
        <v>93.75</v>
      </c>
      <c r="D22" s="7">
        <v>124.09</v>
      </c>
      <c r="E22" s="7">
        <v>115.4</v>
      </c>
    </row>
    <row r="23" spans="1:5">
      <c r="A23" s="114">
        <v>480</v>
      </c>
      <c r="B23" s="7">
        <v>48.24</v>
      </c>
      <c r="C23" s="7">
        <v>95.2</v>
      </c>
      <c r="D23" s="7">
        <v>123.9</v>
      </c>
      <c r="E23" s="7">
        <v>115.9</v>
      </c>
    </row>
    <row r="24" spans="1:5">
      <c r="A24" s="114">
        <v>485</v>
      </c>
      <c r="B24" s="7">
        <v>51.04</v>
      </c>
      <c r="C24" s="7">
        <v>96.23</v>
      </c>
      <c r="D24" s="7">
        <v>122.92</v>
      </c>
      <c r="E24" s="7">
        <v>112.4</v>
      </c>
    </row>
    <row r="25" spans="1:5">
      <c r="A25" s="114">
        <v>490</v>
      </c>
      <c r="B25" s="7">
        <v>53.91</v>
      </c>
      <c r="C25" s="7">
        <v>96.5</v>
      </c>
      <c r="D25" s="7">
        <v>120.1</v>
      </c>
      <c r="E25" s="7">
        <v>108.8</v>
      </c>
    </row>
    <row r="26" spans="1:5">
      <c r="A26" s="114">
        <v>495</v>
      </c>
      <c r="B26" s="7">
        <v>56.85</v>
      </c>
      <c r="C26" s="7">
        <v>95.71</v>
      </c>
      <c r="D26" s="7">
        <v>116.9</v>
      </c>
      <c r="E26" s="7">
        <v>109.1</v>
      </c>
    </row>
    <row r="27" spans="1:5">
      <c r="A27" s="114">
        <v>500</v>
      </c>
      <c r="B27" s="7">
        <v>59.86</v>
      </c>
      <c r="C27" s="7">
        <v>94.2</v>
      </c>
      <c r="D27" s="7">
        <v>112.1</v>
      </c>
      <c r="E27" s="7">
        <v>109.4</v>
      </c>
    </row>
    <row r="28" spans="1:5">
      <c r="A28" s="114">
        <v>505</v>
      </c>
      <c r="B28" s="7">
        <v>62.93</v>
      </c>
      <c r="C28" s="7">
        <v>92.37</v>
      </c>
      <c r="D28" s="7">
        <v>106.98</v>
      </c>
      <c r="E28" s="7">
        <v>108.6</v>
      </c>
    </row>
    <row r="29" spans="1:5">
      <c r="A29" s="114">
        <v>510</v>
      </c>
      <c r="B29" s="7">
        <v>66.06</v>
      </c>
      <c r="C29" s="7">
        <v>90.7</v>
      </c>
      <c r="D29" s="7">
        <v>102.3</v>
      </c>
      <c r="E29" s="7">
        <v>107.8</v>
      </c>
    </row>
    <row r="30" spans="1:5">
      <c r="A30" s="114">
        <v>515</v>
      </c>
      <c r="B30" s="7">
        <v>69.25</v>
      </c>
      <c r="C30" s="7">
        <v>89.65</v>
      </c>
      <c r="D30" s="7">
        <v>98.81</v>
      </c>
      <c r="E30" s="7">
        <v>106.3</v>
      </c>
    </row>
    <row r="31" spans="1:5">
      <c r="A31" s="114">
        <v>520</v>
      </c>
      <c r="B31" s="7">
        <v>72.5</v>
      </c>
      <c r="C31" s="7">
        <v>89.5</v>
      </c>
      <c r="D31" s="7">
        <v>96.9</v>
      </c>
      <c r="E31" s="7">
        <v>104.8</v>
      </c>
    </row>
    <row r="32" spans="1:5">
      <c r="A32" s="114">
        <v>525</v>
      </c>
      <c r="B32" s="7">
        <v>75.79</v>
      </c>
      <c r="C32" s="7">
        <v>90.43</v>
      </c>
      <c r="D32" s="7">
        <v>96.78</v>
      </c>
      <c r="E32" s="7">
        <v>106.2</v>
      </c>
    </row>
    <row r="33" spans="1:5">
      <c r="A33" s="114">
        <v>530</v>
      </c>
      <c r="B33" s="7">
        <v>79.13</v>
      </c>
      <c r="C33" s="7">
        <v>92.2</v>
      </c>
      <c r="D33" s="7">
        <v>98</v>
      </c>
      <c r="E33" s="7">
        <v>107.7</v>
      </c>
    </row>
    <row r="34" spans="1:5">
      <c r="A34" s="114">
        <v>535</v>
      </c>
      <c r="B34" s="7">
        <v>82.52</v>
      </c>
      <c r="C34" s="7">
        <v>94.46</v>
      </c>
      <c r="D34" s="7">
        <v>99.94</v>
      </c>
      <c r="E34" s="7">
        <v>106</v>
      </c>
    </row>
    <row r="35" spans="1:5">
      <c r="A35" s="114">
        <v>540</v>
      </c>
      <c r="B35" s="7">
        <v>85.95</v>
      </c>
      <c r="C35" s="7">
        <v>96.9</v>
      </c>
      <c r="D35" s="7">
        <v>102.1</v>
      </c>
      <c r="E35" s="7">
        <v>104.4</v>
      </c>
    </row>
    <row r="36" spans="1:5">
      <c r="A36" s="114">
        <v>545</v>
      </c>
      <c r="B36" s="7">
        <v>89.41</v>
      </c>
      <c r="C36" s="7">
        <v>99.16</v>
      </c>
      <c r="D36" s="7">
        <v>103.95</v>
      </c>
      <c r="E36" s="7">
        <v>104.2</v>
      </c>
    </row>
    <row r="37" spans="1:5">
      <c r="A37" s="114">
        <v>550</v>
      </c>
      <c r="B37" s="7">
        <v>92.91</v>
      </c>
      <c r="C37" s="7">
        <v>101</v>
      </c>
      <c r="D37" s="7">
        <v>105.2</v>
      </c>
      <c r="E37" s="7">
        <v>104</v>
      </c>
    </row>
    <row r="38" spans="1:5">
      <c r="A38" s="114">
        <v>555</v>
      </c>
      <c r="B38" s="7">
        <v>96.44</v>
      </c>
      <c r="C38" s="7">
        <v>102.2</v>
      </c>
      <c r="D38" s="7">
        <v>105.67</v>
      </c>
      <c r="E38" s="7">
        <v>102</v>
      </c>
    </row>
    <row r="39" spans="1:5">
      <c r="A39" s="114">
        <v>560</v>
      </c>
      <c r="B39" s="7">
        <v>100</v>
      </c>
      <c r="C39" s="7">
        <v>102.8</v>
      </c>
      <c r="D39" s="7">
        <v>105.3</v>
      </c>
      <c r="E39" s="7">
        <v>100</v>
      </c>
    </row>
    <row r="40" spans="1:5">
      <c r="A40" s="114">
        <v>565</v>
      </c>
      <c r="B40" s="7">
        <v>103.58</v>
      </c>
      <c r="C40" s="7">
        <v>102.92</v>
      </c>
      <c r="D40" s="7">
        <v>104.11</v>
      </c>
      <c r="E40" s="7">
        <v>98.2</v>
      </c>
    </row>
    <row r="41" spans="1:5">
      <c r="A41" s="114">
        <v>570</v>
      </c>
      <c r="B41" s="7">
        <v>107.18</v>
      </c>
      <c r="C41" s="7">
        <v>102.6</v>
      </c>
      <c r="D41" s="7">
        <v>102.3</v>
      </c>
      <c r="E41" s="7">
        <v>96.3</v>
      </c>
    </row>
    <row r="42" spans="1:5">
      <c r="A42" s="114">
        <v>575</v>
      </c>
      <c r="B42" s="7">
        <v>110.8</v>
      </c>
      <c r="C42" s="7">
        <v>101.9</v>
      </c>
      <c r="D42" s="7">
        <v>100.15</v>
      </c>
      <c r="E42" s="7">
        <v>96.1</v>
      </c>
    </row>
    <row r="43" spans="1:5">
      <c r="A43" s="114">
        <v>580</v>
      </c>
      <c r="B43" s="7">
        <v>114.44</v>
      </c>
      <c r="C43" s="7">
        <v>101</v>
      </c>
      <c r="D43" s="7">
        <v>97.8</v>
      </c>
      <c r="E43" s="7">
        <v>95.8</v>
      </c>
    </row>
    <row r="44" spans="1:5">
      <c r="A44" s="114">
        <v>585</v>
      </c>
      <c r="B44" s="7">
        <v>118.08</v>
      </c>
      <c r="C44" s="7">
        <v>100.7</v>
      </c>
      <c r="D44" s="7">
        <v>95.43</v>
      </c>
      <c r="E44" s="7">
        <v>92.2</v>
      </c>
    </row>
    <row r="45" spans="1:5">
      <c r="A45" s="114">
        <v>590</v>
      </c>
      <c r="B45" s="7">
        <v>121.73</v>
      </c>
      <c r="C45" s="7">
        <v>99.2</v>
      </c>
      <c r="D45" s="7">
        <v>93.2</v>
      </c>
      <c r="E45" s="7">
        <v>88.7</v>
      </c>
    </row>
    <row r="46" spans="1:5">
      <c r="A46" s="114">
        <v>595</v>
      </c>
      <c r="B46" s="7">
        <v>125.39</v>
      </c>
      <c r="C46" s="7">
        <v>98.44</v>
      </c>
      <c r="D46" s="7">
        <v>91.22</v>
      </c>
      <c r="E46" s="7">
        <v>89.3</v>
      </c>
    </row>
    <row r="47" spans="1:5">
      <c r="A47" s="114">
        <v>600</v>
      </c>
      <c r="B47" s="7">
        <v>129.04</v>
      </c>
      <c r="C47" s="7">
        <v>98</v>
      </c>
      <c r="D47" s="7">
        <v>89.7</v>
      </c>
      <c r="E47" s="7">
        <v>90</v>
      </c>
    </row>
    <row r="48" spans="1:5">
      <c r="A48" s="114">
        <v>605</v>
      </c>
      <c r="B48" s="7">
        <v>132.7</v>
      </c>
      <c r="C48" s="7">
        <v>98.08</v>
      </c>
      <c r="D48" s="7">
        <v>88.83</v>
      </c>
      <c r="E48" s="7">
        <v>89.8</v>
      </c>
    </row>
    <row r="49" spans="1:5">
      <c r="A49" s="114">
        <v>610</v>
      </c>
      <c r="B49" s="7">
        <v>136.35</v>
      </c>
      <c r="C49" s="7">
        <v>98.5</v>
      </c>
      <c r="D49" s="7">
        <v>88.4</v>
      </c>
      <c r="E49" s="7">
        <v>89.6</v>
      </c>
    </row>
    <row r="50" spans="1:5">
      <c r="A50" s="114">
        <v>615</v>
      </c>
      <c r="B50" s="7">
        <v>139.99</v>
      </c>
      <c r="C50" s="7">
        <v>99.06</v>
      </c>
      <c r="D50" s="7">
        <v>88.19</v>
      </c>
      <c r="E50" s="7">
        <v>88.6</v>
      </c>
    </row>
    <row r="51" spans="1:5">
      <c r="A51" s="114">
        <v>620</v>
      </c>
      <c r="B51" s="7">
        <v>143.62</v>
      </c>
      <c r="C51" s="7">
        <v>99.7</v>
      </c>
      <c r="D51" s="7">
        <v>88.1</v>
      </c>
      <c r="E51" s="7">
        <v>87.7</v>
      </c>
    </row>
    <row r="52" spans="1:5">
      <c r="A52" s="114">
        <v>625</v>
      </c>
      <c r="B52" s="7">
        <v>147.24</v>
      </c>
      <c r="C52" s="7">
        <v>100.36</v>
      </c>
      <c r="D52" s="7">
        <v>88.06</v>
      </c>
      <c r="E52" s="7">
        <v>85.5</v>
      </c>
    </row>
    <row r="53" spans="1:5">
      <c r="A53" s="114">
        <v>630</v>
      </c>
      <c r="B53" s="7">
        <v>150.84</v>
      </c>
      <c r="C53" s="7">
        <v>101</v>
      </c>
      <c r="D53" s="7">
        <v>88</v>
      </c>
      <c r="E53" s="7">
        <v>83.3</v>
      </c>
    </row>
    <row r="54" spans="1:5">
      <c r="A54" s="114">
        <v>635</v>
      </c>
      <c r="B54" s="7">
        <v>154.42</v>
      </c>
      <c r="C54" s="7">
        <v>101.56</v>
      </c>
      <c r="D54" s="7">
        <v>87.86</v>
      </c>
      <c r="E54" s="7">
        <v>83.5</v>
      </c>
    </row>
    <row r="55" spans="1:5">
      <c r="A55" s="114">
        <v>640</v>
      </c>
      <c r="B55" s="7">
        <v>157.98</v>
      </c>
      <c r="C55" s="7">
        <v>102.2</v>
      </c>
      <c r="D55" s="7">
        <v>87.8</v>
      </c>
      <c r="E55" s="7">
        <v>83.7</v>
      </c>
    </row>
    <row r="56" spans="1:5">
      <c r="A56" s="114">
        <v>645</v>
      </c>
      <c r="B56" s="7">
        <v>161.52</v>
      </c>
      <c r="C56" s="7">
        <v>103.05</v>
      </c>
      <c r="D56" s="7">
        <v>87.99</v>
      </c>
      <c r="E56" s="7">
        <v>81.9</v>
      </c>
    </row>
    <row r="57" spans="1:5">
      <c r="A57" s="114">
        <v>650</v>
      </c>
      <c r="B57" s="7">
        <v>165.03</v>
      </c>
      <c r="C57" s="7">
        <v>103.9</v>
      </c>
      <c r="D57" s="7">
        <v>88.2</v>
      </c>
      <c r="E57" s="7">
        <v>80</v>
      </c>
    </row>
    <row r="58" spans="1:5">
      <c r="A58" s="114">
        <v>655</v>
      </c>
      <c r="B58" s="7">
        <v>168.51</v>
      </c>
      <c r="C58" s="7">
        <v>104.59</v>
      </c>
      <c r="D58" s="7">
        <v>88.2</v>
      </c>
      <c r="E58" s="7">
        <v>80.1</v>
      </c>
    </row>
    <row r="59" spans="1:5">
      <c r="A59" s="114">
        <v>660</v>
      </c>
      <c r="B59" s="7">
        <v>171.96</v>
      </c>
      <c r="C59" s="7">
        <v>105</v>
      </c>
      <c r="D59" s="7">
        <v>87.9</v>
      </c>
      <c r="E59" s="7">
        <v>80.2</v>
      </c>
    </row>
    <row r="60" spans="1:5">
      <c r="A60" s="114">
        <v>665</v>
      </c>
      <c r="B60" s="7">
        <v>175.38</v>
      </c>
      <c r="C60" s="7">
        <v>105.08</v>
      </c>
      <c r="D60" s="7">
        <v>87.22</v>
      </c>
      <c r="E60" s="7">
        <v>81.2</v>
      </c>
    </row>
    <row r="61" spans="1:5">
      <c r="A61" s="114">
        <v>670</v>
      </c>
      <c r="B61" s="7">
        <v>178.77</v>
      </c>
      <c r="C61" s="7">
        <v>104.9</v>
      </c>
      <c r="D61" s="7">
        <v>86.3</v>
      </c>
      <c r="E61" s="7">
        <v>82.3</v>
      </c>
    </row>
    <row r="62" spans="1:5">
      <c r="A62" s="114">
        <v>675</v>
      </c>
      <c r="B62" s="7">
        <v>182.12</v>
      </c>
      <c r="C62" s="7">
        <v>104.55</v>
      </c>
      <c r="D62" s="7">
        <v>85.3</v>
      </c>
      <c r="E62" s="7">
        <v>80.3</v>
      </c>
    </row>
    <row r="63" spans="1:5">
      <c r="A63" s="114">
        <v>680</v>
      </c>
      <c r="B63" s="7">
        <v>185.43</v>
      </c>
      <c r="C63" s="7">
        <v>103.9</v>
      </c>
      <c r="D63" s="7">
        <v>84</v>
      </c>
      <c r="E63" s="7">
        <v>78.3</v>
      </c>
    </row>
    <row r="64" spans="1:5">
      <c r="A64" s="114">
        <v>685</v>
      </c>
      <c r="B64" s="7">
        <v>188.7</v>
      </c>
      <c r="C64" s="7">
        <v>102.84</v>
      </c>
      <c r="D64" s="7">
        <v>82.21</v>
      </c>
      <c r="E64" s="7">
        <v>74</v>
      </c>
    </row>
    <row r="65" spans="1:5">
      <c r="A65" s="114">
        <v>690</v>
      </c>
      <c r="B65" s="7">
        <v>191.93</v>
      </c>
      <c r="C65" s="7">
        <v>101.6</v>
      </c>
      <c r="D65" s="7">
        <v>80.2</v>
      </c>
      <c r="E65" s="7">
        <v>69.7</v>
      </c>
    </row>
    <row r="66" spans="1:5">
      <c r="A66" s="114">
        <v>695</v>
      </c>
      <c r="B66" s="7">
        <v>195.12</v>
      </c>
      <c r="C66" s="7">
        <v>100.38</v>
      </c>
      <c r="D66" s="7">
        <v>78.24</v>
      </c>
      <c r="E66" s="7">
        <v>70.7</v>
      </c>
    </row>
    <row r="67" spans="1:5">
      <c r="A67" s="114">
        <v>700</v>
      </c>
      <c r="B67" s="7">
        <v>198.26</v>
      </c>
      <c r="C67" s="7">
        <v>99.1</v>
      </c>
      <c r="D67" s="7">
        <v>76.3</v>
      </c>
      <c r="E67" s="7">
        <v>71.6</v>
      </c>
    </row>
    <row r="68" spans="1:5">
      <c r="A68" s="114">
        <v>705</v>
      </c>
      <c r="B68" s="7">
        <v>201.36</v>
      </c>
      <c r="C68" s="7">
        <v>97.7</v>
      </c>
      <c r="D68" s="7">
        <v>74.36</v>
      </c>
      <c r="E68" s="7">
        <v>73</v>
      </c>
    </row>
    <row r="69" spans="1:5">
      <c r="A69" s="114">
        <v>710</v>
      </c>
      <c r="B69" s="7">
        <v>204.41</v>
      </c>
      <c r="C69" s="7">
        <v>96.2</v>
      </c>
      <c r="D69" s="7">
        <v>72.4</v>
      </c>
      <c r="E69" s="7">
        <v>74.3</v>
      </c>
    </row>
    <row r="70" spans="1:5">
      <c r="A70" s="114">
        <v>715</v>
      </c>
      <c r="B70" s="7">
        <v>207.41</v>
      </c>
      <c r="C70" s="7">
        <v>94.6</v>
      </c>
      <c r="D70" s="7">
        <v>70.4</v>
      </c>
      <c r="E70" s="7">
        <v>68</v>
      </c>
    </row>
    <row r="71" spans="1:5">
      <c r="A71" s="114">
        <v>720</v>
      </c>
      <c r="B71" s="7">
        <v>210.36</v>
      </c>
      <c r="C71" s="7">
        <v>92.9</v>
      </c>
      <c r="D71" s="7">
        <v>68.3</v>
      </c>
      <c r="E71" s="7">
        <v>61.6</v>
      </c>
    </row>
    <row r="72" spans="1:5">
      <c r="A72" s="114">
        <v>725</v>
      </c>
      <c r="B72" s="7">
        <v>213.27</v>
      </c>
      <c r="C72" s="7">
        <v>91.1</v>
      </c>
      <c r="D72" s="7">
        <v>66.3</v>
      </c>
      <c r="E72" s="7">
        <v>65.7</v>
      </c>
    </row>
    <row r="73" spans="1:5">
      <c r="A73" s="114">
        <v>730</v>
      </c>
      <c r="B73" s="7">
        <v>216.12</v>
      </c>
      <c r="C73" s="7">
        <v>89.4</v>
      </c>
      <c r="D73" s="7">
        <v>64.4</v>
      </c>
      <c r="E73" s="7">
        <v>69.9</v>
      </c>
    </row>
    <row r="74" spans="1:5">
      <c r="A74" s="114">
        <v>735</v>
      </c>
      <c r="B74" s="7">
        <v>218.92</v>
      </c>
      <c r="C74" s="7">
        <v>88</v>
      </c>
      <c r="D74" s="7">
        <v>62.8</v>
      </c>
      <c r="E74" s="7">
        <v>72.5</v>
      </c>
    </row>
    <row r="75" spans="1:5">
      <c r="A75" s="114">
        <v>740</v>
      </c>
      <c r="B75" s="7">
        <v>221.67</v>
      </c>
      <c r="C75" s="7">
        <v>86.9</v>
      </c>
      <c r="D75" s="7">
        <v>61.5</v>
      </c>
      <c r="E75" s="7">
        <v>75.1</v>
      </c>
    </row>
    <row r="76" spans="1:5">
      <c r="A76" s="114">
        <v>745</v>
      </c>
      <c r="B76" s="7">
        <v>224.36</v>
      </c>
      <c r="C76" s="7">
        <v>85.9</v>
      </c>
      <c r="D76" s="7">
        <v>60.2</v>
      </c>
      <c r="E76" s="7">
        <v>69.3</v>
      </c>
    </row>
    <row r="77" spans="1:5">
      <c r="A77" s="114">
        <v>750</v>
      </c>
      <c r="B77" s="7">
        <v>227</v>
      </c>
      <c r="C77" s="7">
        <v>85.2</v>
      </c>
      <c r="D77" s="7">
        <v>59.2</v>
      </c>
      <c r="E77" s="7">
        <v>63.6</v>
      </c>
    </row>
    <row r="78" spans="1:5">
      <c r="A78" s="114">
        <v>755</v>
      </c>
      <c r="B78" s="7">
        <v>229.59</v>
      </c>
      <c r="C78" s="7">
        <v>84.8</v>
      </c>
      <c r="D78" s="7">
        <v>58.5</v>
      </c>
      <c r="E78" s="7">
        <v>55</v>
      </c>
    </row>
    <row r="79" spans="1:5">
      <c r="A79" s="114">
        <v>760</v>
      </c>
      <c r="B79" s="7">
        <v>232.12</v>
      </c>
      <c r="C79" s="7">
        <v>84.7</v>
      </c>
      <c r="D79" s="7">
        <v>58.1</v>
      </c>
      <c r="E79" s="7">
        <v>46.4</v>
      </c>
    </row>
    <row r="80" spans="1:5">
      <c r="A80" s="114">
        <v>765</v>
      </c>
      <c r="B80" s="7">
        <v>234.59</v>
      </c>
      <c r="C80" s="7">
        <v>84.9</v>
      </c>
      <c r="D80" s="7">
        <v>58</v>
      </c>
      <c r="E80" s="7">
        <v>56.6</v>
      </c>
    </row>
    <row r="81" spans="1:5">
      <c r="A81" s="114">
        <v>770</v>
      </c>
      <c r="B81" s="7">
        <v>237.01</v>
      </c>
      <c r="C81" s="7">
        <v>85.4</v>
      </c>
      <c r="D81" s="7">
        <v>58.2</v>
      </c>
      <c r="E81" s="7">
        <v>66.8</v>
      </c>
    </row>
    <row r="82" spans="1:5">
      <c r="A82" s="114">
        <v>775</v>
      </c>
      <c r="B82" s="7">
        <v>239.37</v>
      </c>
      <c r="C82" s="115">
        <v>85.7</v>
      </c>
      <c r="D82" s="115">
        <v>58.2</v>
      </c>
      <c r="E82" s="7">
        <v>65.1</v>
      </c>
    </row>
    <row r="83" spans="1:5">
      <c r="A83" s="114">
        <v>780</v>
      </c>
      <c r="B83" s="7">
        <v>241.68</v>
      </c>
      <c r="C83" s="115">
        <v>86.05</v>
      </c>
      <c r="D83" s="115">
        <v>58.25</v>
      </c>
      <c r="E83" s="7">
        <v>63.4</v>
      </c>
    </row>
  </sheetData>
  <sheetProtection algorithmName="SHA-512" hashValue="nGvcvTCr8I2rGlqmOMSTnMEywWEvpcGygqxzu04eI7Oejs0N+dRmtoFzIbltPCo+ERBw4yXtu6NCY56GiFYajg==" saltValue="L8l5Lw05+2eMBw8hiu3oog==" spinCount="100000" sheet="1" objects="1" scenarios="1"/>
  <mergeCells count="1">
    <mergeCell ref="A1:E1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selection activeCell="K17" sqref="K17"/>
    </sheetView>
  </sheetViews>
  <sheetFormatPr defaultColWidth="9" defaultRowHeight="13.5"/>
  <cols>
    <col min="2" max="9" width="12.5" customWidth="1"/>
  </cols>
  <sheetData>
    <row r="1" ht="19.5" spans="1:9">
      <c r="A1" s="80" t="s">
        <v>162</v>
      </c>
      <c r="B1" s="81"/>
      <c r="C1" s="81"/>
      <c r="D1" s="81"/>
      <c r="E1" s="81"/>
      <c r="F1" s="81"/>
      <c r="G1" s="81"/>
      <c r="H1" s="81"/>
      <c r="I1" s="100"/>
    </row>
    <row r="2" ht="14.25" spans="1:9">
      <c r="A2" s="82" t="s">
        <v>2</v>
      </c>
      <c r="B2" s="83" t="s">
        <v>163</v>
      </c>
      <c r="C2" s="84"/>
      <c r="D2" s="85"/>
      <c r="E2" s="86" t="s">
        <v>164</v>
      </c>
      <c r="F2" s="87"/>
      <c r="G2" s="83" t="s">
        <v>165</v>
      </c>
      <c r="H2" s="84"/>
      <c r="I2" s="85"/>
    </row>
    <row r="3" ht="14.25" spans="1:9">
      <c r="A3" s="88" t="s">
        <v>166</v>
      </c>
      <c r="B3" s="89" t="s">
        <v>167</v>
      </c>
      <c r="C3" s="90" t="s">
        <v>168</v>
      </c>
      <c r="D3" s="91" t="s">
        <v>169</v>
      </c>
      <c r="E3" s="92" t="s">
        <v>170</v>
      </c>
      <c r="F3" s="90" t="s">
        <v>171</v>
      </c>
      <c r="G3" s="89" t="s">
        <v>172</v>
      </c>
      <c r="H3" s="90" t="s">
        <v>173</v>
      </c>
      <c r="I3" s="91" t="s">
        <v>174</v>
      </c>
    </row>
    <row r="4" spans="1:9">
      <c r="A4" s="93">
        <v>380</v>
      </c>
      <c r="B4" s="94">
        <v>0.001368</v>
      </c>
      <c r="C4" s="95">
        <v>3.9e-5</v>
      </c>
      <c r="D4" s="96">
        <v>0.00645</v>
      </c>
      <c r="E4" s="97">
        <v>0.17411</v>
      </c>
      <c r="F4" s="95">
        <v>0.00496</v>
      </c>
      <c r="G4" s="94">
        <v>0.000159952</v>
      </c>
      <c r="H4" s="95">
        <v>1.7364e-5</v>
      </c>
      <c r="I4" s="96">
        <v>0.000704776</v>
      </c>
    </row>
    <row r="5" spans="1:9">
      <c r="A5" s="98">
        <v>385</v>
      </c>
      <c r="B5" s="39">
        <v>0.002236</v>
      </c>
      <c r="C5" s="7">
        <v>6.4e-5</v>
      </c>
      <c r="D5" s="99">
        <v>0.01055</v>
      </c>
      <c r="E5" s="38">
        <v>0.17401</v>
      </c>
      <c r="F5" s="7">
        <v>0.00498</v>
      </c>
      <c r="G5" s="39">
        <v>0.00066244</v>
      </c>
      <c r="H5" s="7">
        <v>7.156e-5</v>
      </c>
      <c r="I5" s="99">
        <v>0.0029278</v>
      </c>
    </row>
    <row r="6" spans="1:9">
      <c r="A6" s="98">
        <v>390</v>
      </c>
      <c r="B6" s="39">
        <v>0.004243</v>
      </c>
      <c r="C6" s="7">
        <v>0.00012</v>
      </c>
      <c r="D6" s="99">
        <v>0.02005</v>
      </c>
      <c r="E6" s="38">
        <v>0.1738</v>
      </c>
      <c r="F6" s="7">
        <v>0.00492</v>
      </c>
      <c r="G6" s="39">
        <v>0.0023616</v>
      </c>
      <c r="H6" s="7">
        <v>0.0002534</v>
      </c>
      <c r="I6" s="99">
        <v>0.0104822</v>
      </c>
    </row>
    <row r="7" spans="1:9">
      <c r="A7" s="98">
        <v>395</v>
      </c>
      <c r="B7" s="39">
        <v>0.00765</v>
      </c>
      <c r="C7" s="7">
        <v>0.000217</v>
      </c>
      <c r="D7" s="99">
        <v>0.03621</v>
      </c>
      <c r="E7" s="38">
        <v>0.17356</v>
      </c>
      <c r="F7" s="7">
        <v>0.00492</v>
      </c>
      <c r="G7" s="39">
        <v>0.0072423</v>
      </c>
      <c r="H7" s="7">
        <v>0.0007685</v>
      </c>
      <c r="I7" s="99">
        <v>0.032344</v>
      </c>
    </row>
    <row r="8" spans="1:9">
      <c r="A8" s="98">
        <v>400</v>
      </c>
      <c r="B8" s="39">
        <v>0.01431</v>
      </c>
      <c r="C8" s="7">
        <v>0.000396</v>
      </c>
      <c r="D8" s="99">
        <v>0.06785</v>
      </c>
      <c r="E8" s="38">
        <v>0.17334</v>
      </c>
      <c r="F8" s="7">
        <v>0.0048</v>
      </c>
      <c r="G8" s="39">
        <v>0.0191097</v>
      </c>
      <c r="H8" s="7">
        <v>0.0020044</v>
      </c>
      <c r="I8" s="99">
        <v>0.0860109</v>
      </c>
    </row>
    <row r="9" spans="1:9">
      <c r="A9" s="98">
        <v>405</v>
      </c>
      <c r="B9" s="39">
        <v>0.02319</v>
      </c>
      <c r="C9" s="7">
        <v>0.00064</v>
      </c>
      <c r="D9" s="99">
        <v>0.1102</v>
      </c>
      <c r="E9" s="38">
        <v>0.17302</v>
      </c>
      <c r="F9" s="7">
        <v>0.00478</v>
      </c>
      <c r="G9" s="39">
        <v>0.0434</v>
      </c>
      <c r="H9" s="7">
        <v>0.004509</v>
      </c>
      <c r="I9" s="99">
        <v>0.19712</v>
      </c>
    </row>
    <row r="10" spans="1:9">
      <c r="A10" s="98">
        <v>410</v>
      </c>
      <c r="B10" s="39">
        <v>0.04351</v>
      </c>
      <c r="C10" s="7">
        <v>0.00121</v>
      </c>
      <c r="D10" s="99">
        <v>0.2074</v>
      </c>
      <c r="E10" s="38">
        <v>0.17258</v>
      </c>
      <c r="F10" s="7">
        <v>0.0048</v>
      </c>
      <c r="G10" s="39">
        <v>0.084736</v>
      </c>
      <c r="H10" s="7">
        <v>0.008756</v>
      </c>
      <c r="I10" s="99">
        <v>0.389366</v>
      </c>
    </row>
    <row r="11" spans="1:9">
      <c r="A11" s="98">
        <v>415</v>
      </c>
      <c r="B11" s="39">
        <v>0.07763</v>
      </c>
      <c r="C11" s="7">
        <v>0.00218</v>
      </c>
      <c r="D11" s="99">
        <v>0.3713</v>
      </c>
      <c r="E11" s="38">
        <v>0.17209</v>
      </c>
      <c r="F11" s="7">
        <v>0.00483</v>
      </c>
      <c r="G11" s="39">
        <v>0.140638</v>
      </c>
      <c r="H11" s="7">
        <v>0.014456</v>
      </c>
      <c r="I11" s="99">
        <v>0.65676</v>
      </c>
    </row>
    <row r="12" spans="1:9">
      <c r="A12" s="98">
        <v>420</v>
      </c>
      <c r="B12" s="39">
        <v>0.13438</v>
      </c>
      <c r="C12" s="7">
        <v>0.004</v>
      </c>
      <c r="D12" s="99">
        <v>0.6456</v>
      </c>
      <c r="E12" s="38">
        <v>0.17141</v>
      </c>
      <c r="F12" s="7">
        <v>0.0051</v>
      </c>
      <c r="G12" s="39">
        <v>0.204492</v>
      </c>
      <c r="H12" s="7">
        <v>0.021391</v>
      </c>
      <c r="I12" s="99">
        <v>0.972542</v>
      </c>
    </row>
    <row r="13" spans="1:9">
      <c r="A13" s="98">
        <v>425</v>
      </c>
      <c r="B13" s="39">
        <v>0.21477</v>
      </c>
      <c r="C13" s="7">
        <v>0.0073</v>
      </c>
      <c r="D13" s="99">
        <v>1.03905</v>
      </c>
      <c r="E13" s="38">
        <v>0.1703</v>
      </c>
      <c r="F13" s="7">
        <v>0.00579</v>
      </c>
      <c r="G13" s="39">
        <v>0.264737</v>
      </c>
      <c r="H13" s="7">
        <v>0.029497</v>
      </c>
      <c r="I13" s="99">
        <v>1.2825</v>
      </c>
    </row>
    <row r="14" spans="1:9">
      <c r="A14" s="98">
        <v>430</v>
      </c>
      <c r="B14" s="39">
        <v>0.2839</v>
      </c>
      <c r="C14" s="7">
        <v>0.0116</v>
      </c>
      <c r="D14" s="99">
        <v>1.3856</v>
      </c>
      <c r="E14" s="38">
        <v>0.16888</v>
      </c>
      <c r="F14" s="7">
        <v>0.0069</v>
      </c>
      <c r="G14" s="39">
        <v>0.314679</v>
      </c>
      <c r="H14" s="7">
        <v>0.038676</v>
      </c>
      <c r="I14" s="99">
        <v>1.55348</v>
      </c>
    </row>
    <row r="15" spans="1:9">
      <c r="A15" s="98">
        <v>435</v>
      </c>
      <c r="B15" s="39">
        <v>0.3285</v>
      </c>
      <c r="C15" s="7">
        <v>0.01684</v>
      </c>
      <c r="D15" s="99">
        <v>1.62296</v>
      </c>
      <c r="E15" s="38">
        <v>0.1669</v>
      </c>
      <c r="F15" s="7">
        <v>0.00856</v>
      </c>
      <c r="G15" s="39">
        <v>0.357719</v>
      </c>
      <c r="H15" s="7">
        <v>0.049602</v>
      </c>
      <c r="I15" s="99">
        <v>1.7985</v>
      </c>
    </row>
    <row r="16" spans="1:9">
      <c r="A16" s="98">
        <v>440</v>
      </c>
      <c r="B16" s="39">
        <v>0.34828</v>
      </c>
      <c r="C16" s="7">
        <v>0.023</v>
      </c>
      <c r="D16" s="99">
        <v>1.74706</v>
      </c>
      <c r="E16" s="38">
        <v>0.16441</v>
      </c>
      <c r="F16" s="7">
        <v>0.01086</v>
      </c>
      <c r="G16" s="39">
        <v>0.383734</v>
      </c>
      <c r="H16" s="7">
        <v>0.062077</v>
      </c>
      <c r="I16" s="99">
        <v>1.96728</v>
      </c>
    </row>
    <row r="17" spans="1:9">
      <c r="A17" s="98">
        <v>445</v>
      </c>
      <c r="B17" s="39">
        <v>0.34806</v>
      </c>
      <c r="C17" s="7">
        <v>0.0298</v>
      </c>
      <c r="D17" s="99">
        <v>1.7826</v>
      </c>
      <c r="E17" s="38">
        <v>0.1611</v>
      </c>
      <c r="F17" s="7">
        <v>0.01379</v>
      </c>
      <c r="G17" s="39">
        <v>0.386726</v>
      </c>
      <c r="H17" s="7">
        <v>0.074704</v>
      </c>
      <c r="I17" s="99">
        <v>2.0273</v>
      </c>
    </row>
    <row r="18" spans="1:9">
      <c r="A18" s="98">
        <v>450</v>
      </c>
      <c r="B18" s="39">
        <v>0.3362</v>
      </c>
      <c r="C18" s="7">
        <v>0.038</v>
      </c>
      <c r="D18" s="99">
        <v>1.77211</v>
      </c>
      <c r="E18" s="38">
        <v>0.15664</v>
      </c>
      <c r="F18" s="7">
        <v>0.0177</v>
      </c>
      <c r="G18" s="39">
        <v>0.370702</v>
      </c>
      <c r="H18" s="7">
        <v>0.089456</v>
      </c>
      <c r="I18" s="99">
        <v>1.9948</v>
      </c>
    </row>
    <row r="19" spans="1:9">
      <c r="A19" s="98">
        <v>455</v>
      </c>
      <c r="B19" s="39">
        <v>0.3187</v>
      </c>
      <c r="C19" s="7">
        <v>0.048</v>
      </c>
      <c r="D19" s="99">
        <v>1.7441</v>
      </c>
      <c r="E19" s="38">
        <v>0.15099</v>
      </c>
      <c r="F19" s="7">
        <v>0.02274</v>
      </c>
      <c r="G19" s="39">
        <v>0.342957</v>
      </c>
      <c r="H19" s="7">
        <v>0.106256</v>
      </c>
      <c r="I19" s="99">
        <v>1.9007</v>
      </c>
    </row>
    <row r="20" spans="1:9">
      <c r="A20" s="98">
        <v>460</v>
      </c>
      <c r="B20" s="39">
        <v>0.2908</v>
      </c>
      <c r="C20" s="7">
        <v>0.06</v>
      </c>
      <c r="D20" s="99">
        <v>1.6692</v>
      </c>
      <c r="E20" s="38">
        <v>0.14396</v>
      </c>
      <c r="F20" s="7">
        <v>0.0297</v>
      </c>
      <c r="G20" s="39">
        <v>0.302273</v>
      </c>
      <c r="H20" s="7">
        <v>0.128201</v>
      </c>
      <c r="I20" s="99">
        <v>1.74537</v>
      </c>
    </row>
    <row r="21" spans="1:9">
      <c r="A21" s="98">
        <v>465</v>
      </c>
      <c r="B21" s="39">
        <v>0.2511</v>
      </c>
      <c r="C21" s="7">
        <v>0.0739</v>
      </c>
      <c r="D21" s="99">
        <v>1.5281</v>
      </c>
      <c r="E21" s="38">
        <v>0.1355</v>
      </c>
      <c r="F21" s="7">
        <v>0.03988</v>
      </c>
      <c r="G21" s="39">
        <v>0.254085</v>
      </c>
      <c r="H21" s="7">
        <v>0.152761</v>
      </c>
      <c r="I21" s="99">
        <v>1.5549</v>
      </c>
    </row>
    <row r="22" spans="1:9">
      <c r="A22" s="98">
        <v>470</v>
      </c>
      <c r="B22" s="39">
        <v>0.19536</v>
      </c>
      <c r="C22" s="7">
        <v>0.09098</v>
      </c>
      <c r="D22" s="99">
        <v>1.28764</v>
      </c>
      <c r="E22" s="38">
        <v>0.12412</v>
      </c>
      <c r="F22" s="7">
        <v>0.0578</v>
      </c>
      <c r="G22" s="39">
        <v>0.195618</v>
      </c>
      <c r="H22" s="7">
        <v>0.18519</v>
      </c>
      <c r="I22" s="99">
        <v>1.31756</v>
      </c>
    </row>
    <row r="23" spans="1:9">
      <c r="A23" s="98">
        <v>475</v>
      </c>
      <c r="B23" s="39">
        <v>0.1421</v>
      </c>
      <c r="C23" s="7">
        <v>0.1126</v>
      </c>
      <c r="D23" s="99">
        <v>1.0419</v>
      </c>
      <c r="E23" s="38">
        <v>0.10959</v>
      </c>
      <c r="F23" s="7">
        <v>0.08684</v>
      </c>
      <c r="G23" s="39">
        <v>0.132349</v>
      </c>
      <c r="H23" s="7">
        <v>0.21994</v>
      </c>
      <c r="I23" s="99">
        <v>1.0302</v>
      </c>
    </row>
    <row r="24" spans="1:9">
      <c r="A24" s="98">
        <v>480</v>
      </c>
      <c r="B24" s="39">
        <v>0.09564</v>
      </c>
      <c r="C24" s="7">
        <v>0.13902</v>
      </c>
      <c r="D24" s="99">
        <v>0.81295</v>
      </c>
      <c r="E24" s="38">
        <v>0.09129</v>
      </c>
      <c r="F24" s="7">
        <v>0.1327</v>
      </c>
      <c r="G24" s="39">
        <v>0.080507</v>
      </c>
      <c r="H24" s="7">
        <v>0.253589</v>
      </c>
      <c r="I24" s="99">
        <v>0.772125</v>
      </c>
    </row>
    <row r="25" spans="1:9">
      <c r="A25" s="98">
        <v>485</v>
      </c>
      <c r="B25" s="39">
        <v>0.05795</v>
      </c>
      <c r="C25" s="7">
        <v>0.1693</v>
      </c>
      <c r="D25" s="99">
        <v>0.6162</v>
      </c>
      <c r="E25" s="38">
        <v>0.06871</v>
      </c>
      <c r="F25" s="7">
        <v>0.20072</v>
      </c>
      <c r="G25" s="39">
        <v>0.041072</v>
      </c>
      <c r="H25" s="7">
        <v>0.297665</v>
      </c>
      <c r="I25" s="99">
        <v>0.5706</v>
      </c>
    </row>
    <row r="26" spans="1:9">
      <c r="A26" s="98">
        <v>490</v>
      </c>
      <c r="B26" s="39">
        <v>0.03201</v>
      </c>
      <c r="C26" s="7">
        <v>0.20802</v>
      </c>
      <c r="D26" s="99">
        <v>0.46518</v>
      </c>
      <c r="E26" s="38">
        <v>0.04539</v>
      </c>
      <c r="F26" s="7">
        <v>0.29498</v>
      </c>
      <c r="G26" s="39">
        <v>0.016172</v>
      </c>
      <c r="H26" s="7">
        <v>0.339133</v>
      </c>
      <c r="I26" s="99">
        <v>0.415254</v>
      </c>
    </row>
    <row r="27" spans="1:9">
      <c r="A27" s="98">
        <v>495</v>
      </c>
      <c r="B27" s="39">
        <v>0.0147</v>
      </c>
      <c r="C27" s="7">
        <v>0.2586</v>
      </c>
      <c r="D27" s="99">
        <v>0.3533</v>
      </c>
      <c r="E27" s="38">
        <v>0.02346</v>
      </c>
      <c r="F27" s="7">
        <v>0.4127</v>
      </c>
      <c r="G27" s="39">
        <v>0.005132</v>
      </c>
      <c r="H27" s="7">
        <v>0.395379</v>
      </c>
      <c r="I27" s="99">
        <v>0.302356</v>
      </c>
    </row>
    <row r="28" spans="1:9">
      <c r="A28" s="98">
        <v>500</v>
      </c>
      <c r="B28" s="39">
        <v>0.0049</v>
      </c>
      <c r="C28" s="7">
        <v>0.323</v>
      </c>
      <c r="D28" s="99">
        <v>0.272</v>
      </c>
      <c r="E28" s="38">
        <v>0.00817</v>
      </c>
      <c r="F28" s="7">
        <v>0.53842</v>
      </c>
      <c r="G28" s="39">
        <v>0.003816</v>
      </c>
      <c r="H28" s="7">
        <v>0.460777</v>
      </c>
      <c r="I28" s="99">
        <v>0.218502</v>
      </c>
    </row>
    <row r="29" spans="1:9">
      <c r="A29" s="98">
        <v>505</v>
      </c>
      <c r="B29" s="39">
        <v>0.0024</v>
      </c>
      <c r="C29" s="7">
        <v>0.4073</v>
      </c>
      <c r="D29" s="99">
        <v>0.2123</v>
      </c>
      <c r="E29" s="38">
        <v>0.00386</v>
      </c>
      <c r="F29" s="7">
        <v>0.65482</v>
      </c>
      <c r="G29" s="39">
        <v>0.015444</v>
      </c>
      <c r="H29" s="7">
        <v>0.53136</v>
      </c>
      <c r="I29" s="99">
        <v>0.159249</v>
      </c>
    </row>
    <row r="30" spans="1:9">
      <c r="A30" s="98">
        <v>510</v>
      </c>
      <c r="B30" s="39">
        <v>0.0093</v>
      </c>
      <c r="C30" s="7">
        <v>0.503</v>
      </c>
      <c r="D30" s="99">
        <v>0.1582</v>
      </c>
      <c r="E30" s="38">
        <v>0.01387</v>
      </c>
      <c r="F30" s="7">
        <v>0.75019</v>
      </c>
      <c r="G30" s="39">
        <v>0.037465</v>
      </c>
      <c r="H30" s="7">
        <v>0.606741</v>
      </c>
      <c r="I30" s="99">
        <v>0.112044</v>
      </c>
    </row>
    <row r="31" spans="1:9">
      <c r="A31" s="98">
        <v>515</v>
      </c>
      <c r="B31" s="39">
        <v>0.0291</v>
      </c>
      <c r="C31" s="7">
        <v>0.6082</v>
      </c>
      <c r="D31" s="99">
        <v>0.1117</v>
      </c>
      <c r="E31" s="38">
        <v>0.03885</v>
      </c>
      <c r="F31" s="7">
        <v>0.81202</v>
      </c>
      <c r="G31" s="39">
        <v>0.071358</v>
      </c>
      <c r="H31" s="7">
        <v>0.68566</v>
      </c>
      <c r="I31" s="99">
        <v>0.082248</v>
      </c>
    </row>
    <row r="32" spans="1:9">
      <c r="A32" s="98">
        <v>520</v>
      </c>
      <c r="B32" s="39">
        <v>0.06327</v>
      </c>
      <c r="C32" s="7">
        <v>0.71</v>
      </c>
      <c r="D32" s="99">
        <v>0.07825</v>
      </c>
      <c r="E32" s="38">
        <v>0.0743</v>
      </c>
      <c r="F32" s="7">
        <v>0.8338</v>
      </c>
      <c r="G32" s="39">
        <v>0.117749</v>
      </c>
      <c r="H32" s="7">
        <v>0.761757</v>
      </c>
      <c r="I32" s="99">
        <v>0.060709</v>
      </c>
    </row>
    <row r="33" spans="1:9">
      <c r="A33" s="98">
        <v>525</v>
      </c>
      <c r="B33" s="39">
        <v>0.1096</v>
      </c>
      <c r="C33" s="7">
        <v>0.7932</v>
      </c>
      <c r="D33" s="99">
        <v>0.05725</v>
      </c>
      <c r="E33" s="38">
        <v>0.11416</v>
      </c>
      <c r="F33" s="7">
        <v>0.82621</v>
      </c>
      <c r="G33" s="39">
        <v>0.172953</v>
      </c>
      <c r="H33" s="7">
        <v>0.82333</v>
      </c>
      <c r="I33" s="99">
        <v>0.04305</v>
      </c>
    </row>
    <row r="34" spans="1:9">
      <c r="A34" s="98">
        <v>530</v>
      </c>
      <c r="B34" s="39">
        <v>0.1655</v>
      </c>
      <c r="C34" s="7">
        <v>0.862</v>
      </c>
      <c r="D34" s="99">
        <v>0.04216</v>
      </c>
      <c r="E34" s="38">
        <v>0.15472</v>
      </c>
      <c r="F34" s="7">
        <v>0.80586</v>
      </c>
      <c r="G34" s="39">
        <v>0.236491</v>
      </c>
      <c r="H34" s="7">
        <v>0.875211</v>
      </c>
      <c r="I34" s="99">
        <v>0.030451</v>
      </c>
    </row>
    <row r="35" spans="1:9">
      <c r="A35" s="98">
        <v>535</v>
      </c>
      <c r="B35" s="39">
        <v>0.22575</v>
      </c>
      <c r="C35" s="7">
        <v>0.91485</v>
      </c>
      <c r="D35" s="99">
        <v>0.02984</v>
      </c>
      <c r="E35" s="38">
        <v>0.19288</v>
      </c>
      <c r="F35" s="7">
        <v>0.78163</v>
      </c>
      <c r="G35" s="39">
        <v>0.304213</v>
      </c>
      <c r="H35" s="7">
        <v>0.92381</v>
      </c>
      <c r="I35" s="99">
        <v>0.020584</v>
      </c>
    </row>
    <row r="36" spans="1:9">
      <c r="A36" s="98">
        <v>540</v>
      </c>
      <c r="B36" s="39">
        <v>0.2904</v>
      </c>
      <c r="C36" s="7">
        <v>0.954</v>
      </c>
      <c r="D36" s="99">
        <v>0.0203</v>
      </c>
      <c r="E36" s="38">
        <v>0.22962</v>
      </c>
      <c r="F36" s="7">
        <v>0.75433</v>
      </c>
      <c r="G36" s="39">
        <v>0.376772</v>
      </c>
      <c r="H36" s="7">
        <v>0.961988</v>
      </c>
      <c r="I36" s="99">
        <v>0.013676</v>
      </c>
    </row>
    <row r="37" spans="1:9">
      <c r="A37" s="98">
        <v>545</v>
      </c>
      <c r="B37" s="39">
        <v>0.3597</v>
      </c>
      <c r="C37" s="7">
        <v>0.9803</v>
      </c>
      <c r="D37" s="99">
        <v>0.0134</v>
      </c>
      <c r="E37" s="38">
        <v>0.26578</v>
      </c>
      <c r="F37" s="7">
        <v>0.72432</v>
      </c>
      <c r="G37" s="39">
        <v>0.451584</v>
      </c>
      <c r="H37" s="7">
        <v>0.9822</v>
      </c>
      <c r="I37" s="99">
        <v>0.007918</v>
      </c>
    </row>
    <row r="38" spans="1:9">
      <c r="A38" s="98">
        <v>550</v>
      </c>
      <c r="B38" s="39">
        <v>0.43345</v>
      </c>
      <c r="C38" s="7">
        <v>0.99495</v>
      </c>
      <c r="D38" s="99">
        <v>0.00875</v>
      </c>
      <c r="E38" s="38">
        <v>0.3016</v>
      </c>
      <c r="F38" s="7">
        <v>0.69231</v>
      </c>
      <c r="G38" s="39">
        <v>0.529826</v>
      </c>
      <c r="H38" s="7">
        <v>0.991761</v>
      </c>
      <c r="I38" s="99">
        <v>0.003988</v>
      </c>
    </row>
    <row r="39" spans="1:9">
      <c r="A39" s="98">
        <v>555</v>
      </c>
      <c r="B39" s="39">
        <v>0.51205</v>
      </c>
      <c r="C39" s="7">
        <v>1</v>
      </c>
      <c r="D39" s="99">
        <v>0.00575</v>
      </c>
      <c r="E39" s="38">
        <v>0.33736</v>
      </c>
      <c r="F39" s="7">
        <v>0.65885</v>
      </c>
      <c r="G39" s="39">
        <v>0.616053</v>
      </c>
      <c r="H39" s="7">
        <v>0.99911</v>
      </c>
      <c r="I39" s="99">
        <v>0.001091</v>
      </c>
    </row>
    <row r="40" spans="1:9">
      <c r="A40" s="98">
        <v>560</v>
      </c>
      <c r="B40" s="39">
        <v>0.5945</v>
      </c>
      <c r="C40" s="7">
        <v>0.995</v>
      </c>
      <c r="D40" s="99">
        <v>0.0039</v>
      </c>
      <c r="E40" s="38">
        <v>0.3731</v>
      </c>
      <c r="F40" s="7">
        <v>0.62445</v>
      </c>
      <c r="G40" s="39">
        <v>0.705224</v>
      </c>
      <c r="H40" s="7">
        <v>0.99734</v>
      </c>
      <c r="I40" s="99">
        <v>0</v>
      </c>
    </row>
    <row r="41" spans="1:9">
      <c r="A41" s="98">
        <v>565</v>
      </c>
      <c r="B41" s="39">
        <v>0.6784</v>
      </c>
      <c r="C41" s="7">
        <v>0.9786</v>
      </c>
      <c r="D41" s="99">
        <v>0.00275</v>
      </c>
      <c r="E41" s="38">
        <v>0.40874</v>
      </c>
      <c r="F41" s="7">
        <v>0.58961</v>
      </c>
      <c r="G41" s="39">
        <v>0.793832</v>
      </c>
      <c r="H41" s="7">
        <v>0.98238</v>
      </c>
      <c r="I41" s="99">
        <v>0</v>
      </c>
    </row>
    <row r="42" spans="1:9">
      <c r="A42" s="98">
        <v>570</v>
      </c>
      <c r="B42" s="39">
        <v>0.7621</v>
      </c>
      <c r="C42" s="7">
        <v>0.952</v>
      </c>
      <c r="D42" s="99">
        <v>0.0021</v>
      </c>
      <c r="E42" s="38">
        <v>0.44406</v>
      </c>
      <c r="F42" s="7">
        <v>0.55471</v>
      </c>
      <c r="G42" s="39">
        <v>0.878655</v>
      </c>
      <c r="H42" s="7">
        <v>0.955552</v>
      </c>
      <c r="I42" s="99">
        <v>0</v>
      </c>
    </row>
    <row r="43" spans="1:9">
      <c r="A43" s="98">
        <v>575</v>
      </c>
      <c r="B43" s="39">
        <v>0.8425</v>
      </c>
      <c r="C43" s="7">
        <v>0.9154</v>
      </c>
      <c r="D43" s="99">
        <v>0.0018</v>
      </c>
      <c r="E43" s="38">
        <v>0.47877</v>
      </c>
      <c r="F43" s="7">
        <v>0.5202</v>
      </c>
      <c r="G43" s="39">
        <v>0.951162</v>
      </c>
      <c r="H43" s="7">
        <v>0.915175</v>
      </c>
      <c r="I43" s="99">
        <v>0</v>
      </c>
    </row>
    <row r="44" spans="1:9">
      <c r="A44" s="98">
        <v>580</v>
      </c>
      <c r="B44" s="39">
        <v>0.9163</v>
      </c>
      <c r="C44" s="7">
        <v>0.87</v>
      </c>
      <c r="D44" s="99">
        <v>0.00165</v>
      </c>
      <c r="E44" s="38">
        <v>0.51249</v>
      </c>
      <c r="F44" s="7">
        <v>0.48659</v>
      </c>
      <c r="G44" s="39">
        <v>1.01416</v>
      </c>
      <c r="H44" s="7">
        <v>0.868934</v>
      </c>
      <c r="I44" s="99">
        <v>0</v>
      </c>
    </row>
    <row r="45" spans="1:9">
      <c r="A45" s="98">
        <v>585</v>
      </c>
      <c r="B45" s="39">
        <v>0.9786</v>
      </c>
      <c r="C45" s="7">
        <v>0.8163</v>
      </c>
      <c r="D45" s="99">
        <v>0.0014</v>
      </c>
      <c r="E45" s="38">
        <v>0.54479</v>
      </c>
      <c r="F45" s="7">
        <v>0.45443</v>
      </c>
      <c r="G45" s="39">
        <v>1.0743</v>
      </c>
      <c r="H45" s="7">
        <v>0.825623</v>
      </c>
      <c r="I45" s="99">
        <v>0</v>
      </c>
    </row>
    <row r="46" spans="1:9">
      <c r="A46" s="98">
        <v>590</v>
      </c>
      <c r="B46" s="39">
        <v>1.0263</v>
      </c>
      <c r="C46" s="7">
        <v>0.757</v>
      </c>
      <c r="D46" s="99">
        <v>0.0011</v>
      </c>
      <c r="E46" s="38">
        <v>0.57515</v>
      </c>
      <c r="F46" s="7">
        <v>0.42423</v>
      </c>
      <c r="G46" s="39">
        <v>1.11852</v>
      </c>
      <c r="H46" s="7">
        <v>0.777405</v>
      </c>
      <c r="I46" s="99">
        <v>0</v>
      </c>
    </row>
    <row r="47" spans="1:9">
      <c r="A47" s="98">
        <v>595</v>
      </c>
      <c r="B47" s="39">
        <v>1.0567</v>
      </c>
      <c r="C47" s="7">
        <v>0.6949</v>
      </c>
      <c r="D47" s="99">
        <v>0.001</v>
      </c>
      <c r="E47" s="38">
        <v>0.60293</v>
      </c>
      <c r="F47" s="7">
        <v>0.3965</v>
      </c>
      <c r="G47" s="39">
        <v>1.1343</v>
      </c>
      <c r="H47" s="7">
        <v>0.720353</v>
      </c>
      <c r="I47" s="99">
        <v>0</v>
      </c>
    </row>
    <row r="48" spans="1:9">
      <c r="A48" s="98">
        <v>600</v>
      </c>
      <c r="B48" s="39">
        <v>1.0622</v>
      </c>
      <c r="C48" s="7">
        <v>0.631</v>
      </c>
      <c r="D48" s="99">
        <v>0.0008</v>
      </c>
      <c r="E48" s="38">
        <v>0.62704</v>
      </c>
      <c r="F48" s="7">
        <v>0.37249</v>
      </c>
      <c r="G48" s="39">
        <v>1.12399</v>
      </c>
      <c r="H48" s="7">
        <v>0.658341</v>
      </c>
      <c r="I48" s="99">
        <v>0</v>
      </c>
    </row>
    <row r="49" spans="1:9">
      <c r="A49" s="98">
        <v>605</v>
      </c>
      <c r="B49" s="39">
        <v>1.0456</v>
      </c>
      <c r="C49" s="7">
        <v>0.5668</v>
      </c>
      <c r="D49" s="99">
        <v>0.0006</v>
      </c>
      <c r="E49" s="38">
        <v>0.64823</v>
      </c>
      <c r="F49" s="7">
        <v>0.35139</v>
      </c>
      <c r="G49" s="39">
        <v>1.0891</v>
      </c>
      <c r="H49" s="7">
        <v>0.593878</v>
      </c>
      <c r="I49" s="99">
        <v>0</v>
      </c>
    </row>
    <row r="50" spans="1:9">
      <c r="A50" s="98">
        <v>610</v>
      </c>
      <c r="B50" s="39">
        <v>1.0026</v>
      </c>
      <c r="C50" s="7">
        <v>0.503</v>
      </c>
      <c r="D50" s="99">
        <v>0.00034</v>
      </c>
      <c r="E50" s="38">
        <v>0.66576</v>
      </c>
      <c r="F50" s="7">
        <v>0.33401</v>
      </c>
      <c r="G50" s="39">
        <v>1.03048</v>
      </c>
      <c r="H50" s="7">
        <v>0.527963</v>
      </c>
      <c r="I50" s="99">
        <v>0</v>
      </c>
    </row>
    <row r="51" spans="1:9">
      <c r="A51" s="98">
        <v>615</v>
      </c>
      <c r="B51" s="39">
        <v>0.9384</v>
      </c>
      <c r="C51" s="7">
        <v>0.4412</v>
      </c>
      <c r="D51" s="99">
        <v>0.00024</v>
      </c>
      <c r="E51" s="38">
        <v>0.68008</v>
      </c>
      <c r="F51" s="7">
        <v>0.31975</v>
      </c>
      <c r="G51" s="39">
        <v>0.95074</v>
      </c>
      <c r="H51" s="7">
        <v>0.461834</v>
      </c>
      <c r="I51" s="99">
        <v>0</v>
      </c>
    </row>
    <row r="52" spans="1:9">
      <c r="A52" s="98">
        <v>620</v>
      </c>
      <c r="B52" s="39">
        <v>0.85445</v>
      </c>
      <c r="C52" s="7">
        <v>0.381</v>
      </c>
      <c r="D52" s="99">
        <v>0.00019</v>
      </c>
      <c r="E52" s="38">
        <v>0.6915</v>
      </c>
      <c r="F52" s="7">
        <v>0.30834</v>
      </c>
      <c r="G52" s="39">
        <v>0.856297</v>
      </c>
      <c r="H52" s="7">
        <v>0.398057</v>
      </c>
      <c r="I52" s="99">
        <v>0</v>
      </c>
    </row>
    <row r="53" spans="1:9">
      <c r="A53" s="98">
        <v>625</v>
      </c>
      <c r="B53" s="39">
        <v>0.7514</v>
      </c>
      <c r="C53" s="7">
        <v>0.321</v>
      </c>
      <c r="D53" s="99">
        <v>0.0001</v>
      </c>
      <c r="E53" s="38">
        <v>0.70061</v>
      </c>
      <c r="F53" s="7">
        <v>0.2993</v>
      </c>
      <c r="G53" s="39">
        <v>0.75493</v>
      </c>
      <c r="H53" s="7">
        <v>0.339554</v>
      </c>
      <c r="I53" s="99">
        <v>0</v>
      </c>
    </row>
    <row r="54" spans="1:9">
      <c r="A54" s="98">
        <v>630</v>
      </c>
      <c r="B54" s="39">
        <v>0.6424</v>
      </c>
      <c r="C54" s="7">
        <v>0.265</v>
      </c>
      <c r="D54" s="99">
        <v>5e-5</v>
      </c>
      <c r="E54" s="38">
        <v>0.70792</v>
      </c>
      <c r="F54" s="7">
        <v>0.29203</v>
      </c>
      <c r="G54" s="39">
        <v>0.647467</v>
      </c>
      <c r="H54" s="7">
        <v>0.283493</v>
      </c>
      <c r="I54" s="99">
        <v>0</v>
      </c>
    </row>
    <row r="55" spans="1:9">
      <c r="A55" s="98">
        <v>635</v>
      </c>
      <c r="B55" s="39">
        <v>0.5419</v>
      </c>
      <c r="C55" s="7">
        <v>0.217</v>
      </c>
      <c r="D55" s="99">
        <v>3e-5</v>
      </c>
      <c r="E55" s="38">
        <v>0.71403</v>
      </c>
      <c r="F55" s="7">
        <v>0.28593</v>
      </c>
      <c r="G55" s="39">
        <v>0.53511</v>
      </c>
      <c r="H55" s="7">
        <v>0.228254</v>
      </c>
      <c r="I55" s="99">
        <v>0</v>
      </c>
    </row>
    <row r="56" spans="1:9">
      <c r="A56" s="98">
        <v>640</v>
      </c>
      <c r="B56" s="39">
        <v>0.4479</v>
      </c>
      <c r="C56" s="7">
        <v>0.175</v>
      </c>
      <c r="D56" s="99">
        <v>2e-5</v>
      </c>
      <c r="E56" s="38">
        <v>0.71903</v>
      </c>
      <c r="F56" s="7">
        <v>0.28093</v>
      </c>
      <c r="G56" s="39">
        <v>0.431567</v>
      </c>
      <c r="H56" s="7">
        <v>0.179828</v>
      </c>
      <c r="I56" s="99">
        <v>0</v>
      </c>
    </row>
    <row r="57" spans="1:9">
      <c r="A57" s="98">
        <v>645</v>
      </c>
      <c r="B57" s="39">
        <v>0.3608</v>
      </c>
      <c r="C57" s="7">
        <v>0.138</v>
      </c>
      <c r="D57" s="99">
        <v>1e-5</v>
      </c>
      <c r="E57" s="38">
        <v>0.72303</v>
      </c>
      <c r="F57" s="7">
        <v>0.27695</v>
      </c>
      <c r="G57" s="39">
        <v>0.34369</v>
      </c>
      <c r="H57" s="7">
        <v>0.140211</v>
      </c>
      <c r="I57" s="99">
        <v>0</v>
      </c>
    </row>
    <row r="58" spans="1:9">
      <c r="A58" s="98">
        <v>650</v>
      </c>
      <c r="B58" s="39">
        <v>0.2835</v>
      </c>
      <c r="C58" s="7">
        <v>0.107</v>
      </c>
      <c r="D58" s="99">
        <v>0</v>
      </c>
      <c r="E58" s="38">
        <v>0.72599</v>
      </c>
      <c r="F58" s="7">
        <v>0.27401</v>
      </c>
      <c r="G58" s="39">
        <v>0.268329</v>
      </c>
      <c r="H58" s="7">
        <v>0.107633</v>
      </c>
      <c r="I58" s="99">
        <v>0</v>
      </c>
    </row>
    <row r="59" spans="1:9">
      <c r="A59" s="98">
        <v>655</v>
      </c>
      <c r="B59" s="39">
        <v>0.2187</v>
      </c>
      <c r="C59" s="7">
        <v>0.0816</v>
      </c>
      <c r="D59" s="99">
        <v>0</v>
      </c>
      <c r="E59" s="38">
        <v>0.72827</v>
      </c>
      <c r="F59" s="7">
        <v>0.27173</v>
      </c>
      <c r="G59" s="39">
        <v>0.2043</v>
      </c>
      <c r="H59" s="7">
        <v>0.081187</v>
      </c>
      <c r="I59" s="99">
        <v>0</v>
      </c>
    </row>
    <row r="60" spans="1:9">
      <c r="A60" s="98">
        <v>660</v>
      </c>
      <c r="B60" s="39">
        <v>0.1649</v>
      </c>
      <c r="C60" s="7">
        <v>0.061</v>
      </c>
      <c r="D60" s="99">
        <v>0</v>
      </c>
      <c r="E60" s="38">
        <v>0.72997</v>
      </c>
      <c r="F60" s="7">
        <v>0.27003</v>
      </c>
      <c r="G60" s="39">
        <v>0.152568</v>
      </c>
      <c r="H60" s="7">
        <v>0.060281</v>
      </c>
      <c r="I60" s="99">
        <v>0</v>
      </c>
    </row>
    <row r="61" spans="1:9">
      <c r="A61" s="98">
        <v>665</v>
      </c>
      <c r="B61" s="39">
        <v>0.1212</v>
      </c>
      <c r="C61" s="7">
        <v>0.04458</v>
      </c>
      <c r="D61" s="99">
        <v>0</v>
      </c>
      <c r="E61" s="38">
        <v>0.73109</v>
      </c>
      <c r="F61" s="7">
        <v>0.26891</v>
      </c>
      <c r="G61" s="39">
        <v>0.11221</v>
      </c>
      <c r="H61" s="7">
        <v>0.044096</v>
      </c>
      <c r="I61" s="99">
        <v>0</v>
      </c>
    </row>
    <row r="62" spans="1:9">
      <c r="A62" s="98">
        <v>670</v>
      </c>
      <c r="B62" s="39">
        <v>0.0874</v>
      </c>
      <c r="C62" s="7">
        <v>0.032</v>
      </c>
      <c r="D62" s="99">
        <v>0</v>
      </c>
      <c r="E62" s="38">
        <v>0.73199</v>
      </c>
      <c r="F62" s="7">
        <v>0.26801</v>
      </c>
      <c r="G62" s="39">
        <v>0.0812606</v>
      </c>
      <c r="H62" s="7">
        <v>0.0318004</v>
      </c>
      <c r="I62" s="99">
        <v>0</v>
      </c>
    </row>
    <row r="63" spans="1:9">
      <c r="A63" s="98">
        <v>675</v>
      </c>
      <c r="B63" s="39">
        <v>0.0636</v>
      </c>
      <c r="C63" s="7">
        <v>0.0232</v>
      </c>
      <c r="D63" s="99">
        <v>0</v>
      </c>
      <c r="E63" s="38">
        <v>0.73272</v>
      </c>
      <c r="F63" s="7">
        <v>0.26728</v>
      </c>
      <c r="G63" s="39">
        <v>0.05793</v>
      </c>
      <c r="H63" s="7">
        <v>0.0226017</v>
      </c>
      <c r="I63" s="99">
        <v>0</v>
      </c>
    </row>
    <row r="64" spans="1:9">
      <c r="A64" s="98">
        <v>680</v>
      </c>
      <c r="B64" s="39">
        <v>0.04677</v>
      </c>
      <c r="C64" s="7">
        <v>0.017</v>
      </c>
      <c r="D64" s="99">
        <v>0</v>
      </c>
      <c r="E64" s="38">
        <v>0.73342</v>
      </c>
      <c r="F64" s="7">
        <v>0.26658</v>
      </c>
      <c r="G64" s="39">
        <v>0.0408508</v>
      </c>
      <c r="H64" s="7">
        <v>0.0159051</v>
      </c>
      <c r="I64" s="99">
        <v>0</v>
      </c>
    </row>
    <row r="65" spans="1:9">
      <c r="A65" s="98">
        <v>685</v>
      </c>
      <c r="B65" s="39">
        <v>0.0329</v>
      </c>
      <c r="C65" s="7">
        <v>0.01192</v>
      </c>
      <c r="D65" s="99">
        <v>0</v>
      </c>
      <c r="E65" s="38">
        <v>0.73405</v>
      </c>
      <c r="F65" s="7">
        <v>0.26595</v>
      </c>
      <c r="G65" s="39">
        <v>0.028623</v>
      </c>
      <c r="H65" s="7">
        <v>0.0111303</v>
      </c>
      <c r="I65" s="99">
        <v>0</v>
      </c>
    </row>
    <row r="66" spans="1:9">
      <c r="A66" s="98">
        <v>690</v>
      </c>
      <c r="B66" s="39">
        <v>0.0227</v>
      </c>
      <c r="C66" s="7">
        <v>0.00821</v>
      </c>
      <c r="D66" s="99">
        <v>0</v>
      </c>
      <c r="E66" s="38">
        <v>0.73439</v>
      </c>
      <c r="F66" s="7">
        <v>0.26561</v>
      </c>
      <c r="G66" s="39">
        <v>0.0199413</v>
      </c>
      <c r="H66" s="7">
        <v>0.0077488</v>
      </c>
      <c r="I66" s="99">
        <v>0</v>
      </c>
    </row>
    <row r="67" spans="1:9">
      <c r="A67" s="98">
        <v>695</v>
      </c>
      <c r="B67" s="39">
        <v>0.01584</v>
      </c>
      <c r="C67" s="7">
        <v>0.005723</v>
      </c>
      <c r="D67" s="99">
        <v>0</v>
      </c>
      <c r="E67" s="38">
        <v>0.73459</v>
      </c>
      <c r="F67" s="7">
        <v>0.26541</v>
      </c>
      <c r="G67" s="39">
        <v>0.013842</v>
      </c>
      <c r="H67" s="7">
        <v>0.0053751</v>
      </c>
      <c r="I67" s="99">
        <v>0</v>
      </c>
    </row>
    <row r="68" spans="1:9">
      <c r="A68" s="98">
        <v>700</v>
      </c>
      <c r="B68" s="39">
        <v>0.011359</v>
      </c>
      <c r="C68" s="7">
        <v>0.004102</v>
      </c>
      <c r="D68" s="99">
        <v>0</v>
      </c>
      <c r="E68" s="38">
        <v>0.73469</v>
      </c>
      <c r="F68" s="7">
        <v>0.26531</v>
      </c>
      <c r="G68" s="39">
        <v>0.00957688</v>
      </c>
      <c r="H68" s="7">
        <v>0.00371774</v>
      </c>
      <c r="I68" s="99">
        <v>0</v>
      </c>
    </row>
    <row r="69" spans="1:9">
      <c r="A69" s="98">
        <v>705</v>
      </c>
      <c r="B69" s="39">
        <v>0.008111</v>
      </c>
      <c r="C69" s="7">
        <v>0.002929</v>
      </c>
      <c r="D69" s="99">
        <v>0</v>
      </c>
      <c r="E69" s="38">
        <v>0.73469</v>
      </c>
      <c r="F69" s="7">
        <v>0.26531</v>
      </c>
      <c r="G69" s="39">
        <v>0.0066052</v>
      </c>
      <c r="H69" s="7">
        <v>0.00256456</v>
      </c>
      <c r="I69" s="99">
        <v>0</v>
      </c>
    </row>
    <row r="70" spans="1:9">
      <c r="A70" s="98">
        <v>710</v>
      </c>
      <c r="B70" s="39">
        <v>0.00579</v>
      </c>
      <c r="C70" s="7">
        <v>0.002091</v>
      </c>
      <c r="D70" s="99">
        <v>0</v>
      </c>
      <c r="E70" s="38">
        <v>0.73469</v>
      </c>
      <c r="F70" s="7">
        <v>0.26531</v>
      </c>
      <c r="G70" s="39">
        <v>0.00455263</v>
      </c>
      <c r="H70" s="7">
        <v>0.00176847</v>
      </c>
      <c r="I70" s="99">
        <v>0</v>
      </c>
    </row>
    <row r="71" spans="1:9">
      <c r="A71" s="98">
        <v>715</v>
      </c>
      <c r="B71" s="39">
        <v>0.004109</v>
      </c>
      <c r="C71" s="7">
        <v>0.001484</v>
      </c>
      <c r="D71" s="99">
        <v>0</v>
      </c>
      <c r="E71" s="38">
        <v>0.73469</v>
      </c>
      <c r="F71" s="7">
        <v>0.26531</v>
      </c>
      <c r="G71" s="39">
        <v>0.0031447</v>
      </c>
      <c r="H71" s="7">
        <v>0.00122239</v>
      </c>
      <c r="I71" s="99">
        <v>0</v>
      </c>
    </row>
    <row r="72" spans="1:9">
      <c r="A72" s="98">
        <v>720</v>
      </c>
      <c r="B72" s="39">
        <v>0.002899</v>
      </c>
      <c r="C72" s="7">
        <v>0.001047</v>
      </c>
      <c r="D72" s="99">
        <v>0</v>
      </c>
      <c r="E72" s="38">
        <v>0.73469</v>
      </c>
      <c r="F72" s="7">
        <v>0.26531</v>
      </c>
      <c r="G72" s="39">
        <v>0.00217496</v>
      </c>
      <c r="H72" s="7">
        <v>0.00084619</v>
      </c>
      <c r="I72" s="99">
        <v>0</v>
      </c>
    </row>
    <row r="73" spans="1:9">
      <c r="A73" s="98">
        <v>725</v>
      </c>
      <c r="B73" s="39">
        <v>0.002049</v>
      </c>
      <c r="C73" s="7">
        <v>0.00074</v>
      </c>
      <c r="D73" s="99">
        <v>0</v>
      </c>
      <c r="E73" s="38">
        <v>0.73469</v>
      </c>
      <c r="F73" s="7">
        <v>0.26531</v>
      </c>
      <c r="G73" s="39">
        <v>0.0015057</v>
      </c>
      <c r="H73" s="7">
        <v>0.00058644</v>
      </c>
      <c r="I73" s="99">
        <v>0</v>
      </c>
    </row>
    <row r="74" spans="1:9">
      <c r="A74" s="98">
        <v>730</v>
      </c>
      <c r="B74" s="39">
        <v>0.00144</v>
      </c>
      <c r="C74" s="7">
        <v>0.00052</v>
      </c>
      <c r="D74" s="99">
        <v>0</v>
      </c>
      <c r="E74" s="38">
        <v>0.73469</v>
      </c>
      <c r="F74" s="7">
        <v>0.26531</v>
      </c>
      <c r="G74" s="39">
        <v>0.00104476</v>
      </c>
      <c r="H74" s="7">
        <v>0.00040741</v>
      </c>
      <c r="I74" s="99">
        <v>0</v>
      </c>
    </row>
    <row r="75" spans="1:9">
      <c r="A75" s="98">
        <v>735</v>
      </c>
      <c r="B75" s="39">
        <v>0.001</v>
      </c>
      <c r="C75" s="7">
        <v>0.000361</v>
      </c>
      <c r="D75" s="99">
        <v>0</v>
      </c>
      <c r="E75" s="38">
        <v>0.73469</v>
      </c>
      <c r="F75" s="7">
        <v>0.26531</v>
      </c>
      <c r="G75" s="39">
        <v>0.00072745</v>
      </c>
      <c r="H75" s="7">
        <v>0.000284041</v>
      </c>
      <c r="I75" s="99">
        <v>0</v>
      </c>
    </row>
    <row r="76" spans="1:9">
      <c r="A76" s="98">
        <v>740</v>
      </c>
      <c r="B76" s="39">
        <v>0.00069</v>
      </c>
      <c r="C76" s="7">
        <v>0.000249</v>
      </c>
      <c r="D76" s="99">
        <v>0</v>
      </c>
      <c r="E76" s="38">
        <v>0.73469</v>
      </c>
      <c r="F76" s="7">
        <v>0.26531</v>
      </c>
      <c r="G76" s="39">
        <v>0.000508258</v>
      </c>
      <c r="H76" s="7">
        <v>0.00019873</v>
      </c>
      <c r="I76" s="99">
        <v>0</v>
      </c>
    </row>
    <row r="77" spans="1:9">
      <c r="A77" s="98">
        <v>745</v>
      </c>
      <c r="B77" s="39">
        <v>0.000476</v>
      </c>
      <c r="C77" s="7">
        <v>0.000172</v>
      </c>
      <c r="D77" s="99">
        <v>0</v>
      </c>
      <c r="E77" s="38">
        <v>0.73469</v>
      </c>
      <c r="F77" s="7">
        <v>0.26531</v>
      </c>
      <c r="G77" s="39">
        <v>0.00035638</v>
      </c>
      <c r="H77" s="7">
        <v>0.00013955</v>
      </c>
      <c r="I77" s="99">
        <v>0</v>
      </c>
    </row>
    <row r="78" spans="1:9">
      <c r="A78" s="98">
        <v>750</v>
      </c>
      <c r="B78" s="39">
        <v>0.000332</v>
      </c>
      <c r="C78" s="7">
        <v>0.00012</v>
      </c>
      <c r="D78" s="99">
        <v>0</v>
      </c>
      <c r="E78" s="38">
        <v>0.73469</v>
      </c>
      <c r="F78" s="7">
        <v>0.26531</v>
      </c>
      <c r="G78" s="39">
        <v>0.000250969</v>
      </c>
      <c r="H78" s="7">
        <v>9.8428e-5</v>
      </c>
      <c r="I78" s="99">
        <v>0</v>
      </c>
    </row>
    <row r="79" spans="1:9">
      <c r="A79" s="98">
        <v>755</v>
      </c>
      <c r="B79" s="39">
        <v>0.000235</v>
      </c>
      <c r="C79" s="7">
        <v>8.5e-5</v>
      </c>
      <c r="D79" s="99">
        <v>0</v>
      </c>
      <c r="E79" s="38">
        <v>0.73469</v>
      </c>
      <c r="F79" s="7">
        <v>0.26531</v>
      </c>
      <c r="G79" s="39">
        <v>0.00017773</v>
      </c>
      <c r="H79" s="7">
        <v>6.9819e-5</v>
      </c>
      <c r="I79" s="99">
        <v>0</v>
      </c>
    </row>
    <row r="80" spans="1:9">
      <c r="A80" s="98">
        <v>760</v>
      </c>
      <c r="B80" s="39">
        <v>0.000166</v>
      </c>
      <c r="C80" s="7">
        <v>6e-5</v>
      </c>
      <c r="D80" s="99">
        <v>0</v>
      </c>
      <c r="E80" s="38">
        <v>0.73469</v>
      </c>
      <c r="F80" s="7">
        <v>0.26531</v>
      </c>
      <c r="G80" s="39">
        <v>0.00012639</v>
      </c>
      <c r="H80" s="7">
        <v>4.9737e-5</v>
      </c>
      <c r="I80" s="99">
        <v>0</v>
      </c>
    </row>
    <row r="81" spans="1:9">
      <c r="A81" s="98">
        <v>765</v>
      </c>
      <c r="B81" s="39">
        <v>0.000117</v>
      </c>
      <c r="C81" s="7">
        <v>4.2e-5</v>
      </c>
      <c r="D81" s="99">
        <v>0</v>
      </c>
      <c r="E81" s="38">
        <v>0.73469</v>
      </c>
      <c r="F81" s="7">
        <v>0.26531</v>
      </c>
      <c r="G81" s="39">
        <v>9.0151e-5</v>
      </c>
      <c r="H81" s="7">
        <v>3.55405e-5</v>
      </c>
      <c r="I81" s="99">
        <v>0</v>
      </c>
    </row>
    <row r="82" spans="1:9">
      <c r="A82" s="98">
        <v>770</v>
      </c>
      <c r="B82" s="39">
        <v>8.3e-5</v>
      </c>
      <c r="C82" s="7">
        <v>3e-5</v>
      </c>
      <c r="D82" s="99">
        <v>0</v>
      </c>
      <c r="E82" s="38">
        <v>0.73469</v>
      </c>
      <c r="F82" s="7">
        <v>0.26531</v>
      </c>
      <c r="G82" s="39">
        <v>6.45258e-5</v>
      </c>
      <c r="H82" s="7">
        <v>2.5486e-5</v>
      </c>
      <c r="I82" s="99">
        <v>0</v>
      </c>
    </row>
    <row r="83" spans="1:9">
      <c r="A83" s="98">
        <v>775</v>
      </c>
      <c r="B83" s="39">
        <v>5.9e-5</v>
      </c>
      <c r="C83" s="7">
        <v>2.1e-5</v>
      </c>
      <c r="D83" s="99">
        <v>0</v>
      </c>
      <c r="E83" s="38">
        <v>0.73469</v>
      </c>
      <c r="F83" s="7">
        <v>0.26531</v>
      </c>
      <c r="G83" s="39">
        <v>4.6339e-5</v>
      </c>
      <c r="H83" s="7">
        <v>1.83384e-5</v>
      </c>
      <c r="I83" s="99">
        <v>0</v>
      </c>
    </row>
    <row r="84" ht="14.25" spans="1:9">
      <c r="A84" s="101">
        <v>780</v>
      </c>
      <c r="B84" s="102">
        <v>4.2e-5</v>
      </c>
      <c r="C84" s="103">
        <v>1.5e-5</v>
      </c>
      <c r="D84" s="104">
        <v>0</v>
      </c>
      <c r="E84" s="105">
        <v>0.73469</v>
      </c>
      <c r="F84" s="103">
        <v>0.26531</v>
      </c>
      <c r="G84" s="102">
        <v>3.34117e-5</v>
      </c>
      <c r="H84" s="103">
        <v>1.3249e-5</v>
      </c>
      <c r="I84" s="104">
        <v>0</v>
      </c>
    </row>
  </sheetData>
  <sheetProtection algorithmName="SHA-512" hashValue="vorHetB4uJAb0/stKjkumBs8qsQO9yCx50Vi5LNUsZ1p2V1QgW9nAEzLpAoW8XY//SfKucaNbsaPuyBBmPrUGQ==" saltValue="jDV41l7kTqBDRWY+/5x9Xg==" spinCount="100000" sheet="1" objects="1" scenarios="1"/>
  <protectedRanges>
    <protectedRange algorithmName="SHA-512" hashValue="Q0j3PA69sPm+RedSBR/k0ZX6x0OFO0J+RqhF0IwLfTD6jUkC7VLHA8yYA0B+fvOgoAxnXsSNhwLfIhxhxM6QoQ==" saltValue="UnH0MuWODWCFTswn3zsHkg==" spinCount="100000" sqref="G4:I84" name="可编辑区" securityDescriptor="O:WDG:WDD:(A;;CC;;;S-1-5-21-907112402-3766131179-2979934366-466120)(A;;CC;;;S-1-5-21-907112402-3766131179-2979934366-382924)(A;;CC;;;S-1-5-21-907112402-3766131179-2979934366-324834)(A;;CC;;;S-1-5-21-907112402-3766131179-2979934366-485600)(A;;CC;;;S-1-5-21-907112402-3766131179-2979934366-442656)"/>
  </protectedRanges>
  <mergeCells count="4">
    <mergeCell ref="A1:I1"/>
    <mergeCell ref="B2:D2"/>
    <mergeCell ref="E2:F2"/>
    <mergeCell ref="G2:I2"/>
  </mergeCell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K100"/>
  <sheetViews>
    <sheetView zoomScale="85" zoomScaleNormal="85" topLeftCell="D1" workbookViewId="0">
      <selection activeCell="L20" sqref="L20:L27"/>
    </sheetView>
  </sheetViews>
  <sheetFormatPr defaultColWidth="9" defaultRowHeight="13.5"/>
  <cols>
    <col min="1" max="1" width="3.125" customWidth="1"/>
    <col min="3" max="3" width="55.125" customWidth="1"/>
    <col min="4" max="4" width="4.125" customWidth="1"/>
    <col min="5" max="7" width="18.375" customWidth="1"/>
    <col min="8" max="8" width="4.75" customWidth="1"/>
    <col min="9" max="9" width="55.125" customWidth="1"/>
    <col min="12" max="12" width="13" customWidth="1"/>
    <col min="13" max="13" width="15.25" customWidth="1"/>
    <col min="14" max="16" width="10.5" customWidth="1"/>
    <col min="17" max="17" width="4.5" customWidth="1"/>
    <col min="18" max="18" width="15.25" customWidth="1"/>
    <col min="19" max="21" width="10.625" customWidth="1"/>
    <col min="22" max="22" width="1.875" customWidth="1"/>
    <col min="23" max="23" width="9.5" customWidth="1"/>
    <col min="28" max="30" width="13.25" customWidth="1"/>
    <col min="33" max="33" width="23.75" customWidth="1"/>
  </cols>
  <sheetData>
    <row r="3" ht="14.25" spans="5:9">
      <c r="E3" s="18" t="s">
        <v>43</v>
      </c>
      <c r="I3" s="19" t="s">
        <v>25</v>
      </c>
    </row>
    <row r="4" ht="14.25" spans="5:9">
      <c r="E4" s="18" t="s">
        <v>26</v>
      </c>
      <c r="I4" s="18" t="s">
        <v>159</v>
      </c>
    </row>
    <row r="5" ht="14.25" spans="3:9">
      <c r="C5" s="18"/>
      <c r="D5" s="18"/>
      <c r="I5" s="18" t="s">
        <v>160</v>
      </c>
    </row>
    <row r="6" ht="14.25" spans="3:9">
      <c r="C6" s="18"/>
      <c r="D6" s="18"/>
      <c r="I6" s="18" t="s">
        <v>161</v>
      </c>
    </row>
    <row r="16" ht="14.25"/>
    <row r="17" ht="20.25" customHeight="1" spans="2:9">
      <c r="B17" s="20" t="s">
        <v>139</v>
      </c>
      <c r="C17" s="49" t="s">
        <v>175</v>
      </c>
      <c r="D17" s="24"/>
      <c r="E17" s="21" t="s">
        <v>176</v>
      </c>
      <c r="F17" s="22"/>
      <c r="G17" s="23"/>
      <c r="H17" s="24"/>
      <c r="I17" s="25" t="s">
        <v>157</v>
      </c>
    </row>
    <row r="18" ht="20.25" customHeight="1" spans="2:9">
      <c r="B18" s="26"/>
      <c r="C18" s="50"/>
      <c r="D18" s="30"/>
      <c r="E18" s="27" t="str">
        <f>膜厚记录及曲线对照表!N120</f>
        <v>/10</v>
      </c>
      <c r="F18" s="28"/>
      <c r="G18" s="29"/>
      <c r="H18" s="30"/>
      <c r="I18" s="31"/>
    </row>
    <row r="19" ht="21" spans="2:9">
      <c r="B19" s="32"/>
      <c r="C19" s="51"/>
      <c r="D19" s="30"/>
      <c r="E19" s="33" t="str">
        <f>IF(E18="/10","X_bar","xbar")</f>
        <v>X_bar</v>
      </c>
      <c r="F19" s="34" t="str">
        <f>IF(E18="/10","Y_bar","ybar")</f>
        <v>Y_bar</v>
      </c>
      <c r="G19" s="35" t="str">
        <f>IF(E18="/10","Z_bar","zbar")</f>
        <v>Z_bar</v>
      </c>
      <c r="H19" s="30"/>
      <c r="I19" s="36" t="str">
        <f>膜厚记录及曲线对照表!M120</f>
        <v>D65</v>
      </c>
    </row>
    <row r="20" spans="2:21">
      <c r="B20" s="37">
        <v>380</v>
      </c>
      <c r="C20" s="52">
        <v>9.47</v>
      </c>
      <c r="D20" s="40"/>
      <c r="E20" s="38">
        <f>HLOOKUP(E$19,CIE标准色度系统色匹配函数和色品坐标!$B$3:$I$84,($B20-370)/5,FALSE)</f>
        <v>0.000159952</v>
      </c>
      <c r="F20" s="39">
        <f>HLOOKUP(F$19,CIE标准色度系统色匹配函数和色品坐标!$B$3:$I$84,($B20-370)/5,FALSE)</f>
        <v>1.7364e-5</v>
      </c>
      <c r="G20" s="39">
        <f>HLOOKUP(G$19,CIE标准色度系统色匹配函数和色品坐标!$B$3:$I$84,($B20-370)/5,FALSE)</f>
        <v>0.000704776</v>
      </c>
      <c r="H20" s="40"/>
      <c r="I20" s="41">
        <f>HLOOKUP(I$19,'CIE标准照明体A、B、C、D相对光谱功率分布—S(λ)'!$B$2:$E$83,(B20-370)/5,FALSE)</f>
        <v>50</v>
      </c>
      <c r="L20" s="43" t="s">
        <v>177</v>
      </c>
      <c r="M20" s="43" t="s">
        <v>178</v>
      </c>
      <c r="N20" s="44" t="s">
        <v>179</v>
      </c>
      <c r="O20" s="44" t="s">
        <v>180</v>
      </c>
      <c r="P20" s="44" t="s">
        <v>181</v>
      </c>
      <c r="R20" s="43" t="s">
        <v>178</v>
      </c>
      <c r="S20" s="69" t="s">
        <v>179</v>
      </c>
      <c r="T20" s="69" t="s">
        <v>180</v>
      </c>
      <c r="U20" s="69" t="s">
        <v>181</v>
      </c>
    </row>
    <row r="21" spans="2:21">
      <c r="B21" s="42">
        <v>385</v>
      </c>
      <c r="C21" s="53">
        <v>6.92</v>
      </c>
      <c r="D21" s="40"/>
      <c r="E21" s="38">
        <f>HLOOKUP(E$19,CIE标准色度系统色匹配函数和色品坐标!$B$3:$I$84,($B21-370)/5,FALSE)</f>
        <v>0.00066244</v>
      </c>
      <c r="F21" s="39">
        <f>HLOOKUP(F$19,CIE标准色度系统色匹配函数和色品坐标!$B$3:$I$84,($B21-370)/5,FALSE)</f>
        <v>7.156e-5</v>
      </c>
      <c r="G21" s="39">
        <f>HLOOKUP(G$19,CIE标准色度系统色匹配函数和色品坐标!$B$3:$I$84,($B21-370)/5,FALSE)</f>
        <v>0.0029278</v>
      </c>
      <c r="H21" s="40"/>
      <c r="I21" s="41">
        <f>HLOOKUP(I$19,'CIE标准照明体A、B、C、D相对光谱功率分布—S(λ)'!$B$2:$E$83,(B21-370)/5,FALSE)</f>
        <v>52.3</v>
      </c>
      <c r="L21" s="43"/>
      <c r="M21" s="43"/>
      <c r="N21" s="45">
        <f>100*SUMPRODUCT(E20:E100,I20:I100)/SUMPRODUCT(F20:F100,I20:I100)</f>
        <v>94.8121141532067</v>
      </c>
      <c r="O21" s="45">
        <f>100*SUMPRODUCT(F20:F100,I20:I100)/SUMPRODUCT(F20:F100,I20:I100)</f>
        <v>100</v>
      </c>
      <c r="P21" s="45">
        <f>100*SUMPRODUCT(G20:G100,I20:I100)/SUMPRODUCT(F20:F100,I20:I100)</f>
        <v>107.336939932085</v>
      </c>
      <c r="R21" s="43"/>
      <c r="S21" s="45">
        <f>100*SUMPRODUCT(E20:E100,I20:I100)/SUMPRODUCT(F20:F100,I20:I100)</f>
        <v>94.8121141532067</v>
      </c>
      <c r="T21" s="45">
        <f>100*SUMPRODUCT(F20:F100,I20:I100)/SUMPRODUCT(F20:F100,I20:I100)</f>
        <v>100</v>
      </c>
      <c r="U21" s="45">
        <f>100*SUMPRODUCT(G20:G100,I20:I100)/SUMPRODUCT(F20:F100,I20:I100)</f>
        <v>107.336939932085</v>
      </c>
    </row>
    <row r="22" spans="2:21">
      <c r="B22" s="42">
        <v>390</v>
      </c>
      <c r="C22" s="53">
        <v>4.745</v>
      </c>
      <c r="D22" s="40"/>
      <c r="E22" s="38">
        <f>HLOOKUP(E$19,CIE标准色度系统色匹配函数和色品坐标!$B$3:$I$84,($B22-370)/5,FALSE)</f>
        <v>0.0023616</v>
      </c>
      <c r="F22" s="39">
        <f>HLOOKUP(F$19,CIE标准色度系统色匹配函数和色品坐标!$B$3:$I$84,($B22-370)/5,FALSE)</f>
        <v>0.0002534</v>
      </c>
      <c r="G22" s="39">
        <f>HLOOKUP(G$19,CIE标准色度系统色匹配函数和色品坐标!$B$3:$I$84,($B22-370)/5,FALSE)</f>
        <v>0.0104822</v>
      </c>
      <c r="H22" s="40"/>
      <c r="I22" s="41">
        <f>HLOOKUP(I$19,'CIE标准照明体A、B、C、D相对光谱功率分布—S(λ)'!$B$2:$E$83,(B22-370)/5,FALSE)</f>
        <v>54.6</v>
      </c>
      <c r="L22" s="43"/>
      <c r="M22" s="54"/>
      <c r="N22" s="55"/>
      <c r="O22" s="55"/>
      <c r="P22" s="56"/>
      <c r="R22" s="54"/>
      <c r="S22" s="55"/>
      <c r="T22" s="55"/>
      <c r="U22" s="56"/>
    </row>
    <row r="23" spans="2:21">
      <c r="B23" s="42">
        <v>395</v>
      </c>
      <c r="C23" s="53">
        <v>2.63</v>
      </c>
      <c r="D23" s="40"/>
      <c r="E23" s="38">
        <f>HLOOKUP(E$19,CIE标准色度系统色匹配函数和色品坐标!$B$3:$I$84,($B23-370)/5,FALSE)</f>
        <v>0.0072423</v>
      </c>
      <c r="F23" s="39">
        <f>HLOOKUP(F$19,CIE标准色度系统色匹配函数和色品坐标!$B$3:$I$84,($B23-370)/5,FALSE)</f>
        <v>0.0007685</v>
      </c>
      <c r="G23" s="39">
        <f>HLOOKUP(G$19,CIE标准色度系统色匹配函数和色品坐标!$B$3:$I$84,($B23-370)/5,FALSE)</f>
        <v>0.032344</v>
      </c>
      <c r="H23" s="40"/>
      <c r="I23" s="41">
        <f>HLOOKUP(I$19,'CIE标准照明体A、B、C、D相对光谱功率分布—S(λ)'!$B$2:$E$83,(B23-370)/5,FALSE)</f>
        <v>68.7</v>
      </c>
      <c r="L23" s="43"/>
      <c r="M23" s="57" t="s">
        <v>182</v>
      </c>
      <c r="N23" s="10" t="s">
        <v>183</v>
      </c>
      <c r="O23" s="10" t="s">
        <v>10</v>
      </c>
      <c r="P23" s="10" t="s">
        <v>184</v>
      </c>
      <c r="R23" s="57" t="s">
        <v>185</v>
      </c>
      <c r="S23" s="10" t="s">
        <v>183</v>
      </c>
      <c r="T23" s="10" t="s">
        <v>10</v>
      </c>
      <c r="U23" s="10" t="s">
        <v>184</v>
      </c>
    </row>
    <row r="24" spans="2:21">
      <c r="B24" s="42">
        <v>400</v>
      </c>
      <c r="C24" s="53">
        <v>1.335</v>
      </c>
      <c r="D24" s="40"/>
      <c r="E24" s="38">
        <f>HLOOKUP(E$19,CIE标准色度系统色匹配函数和色品坐标!$B$3:$I$84,($B24-370)/5,FALSE)</f>
        <v>0.0191097</v>
      </c>
      <c r="F24" s="39">
        <f>HLOOKUP(F$19,CIE标准色度系统色匹配函数和色品坐标!$B$3:$I$84,($B24-370)/5,FALSE)</f>
        <v>0.0020044</v>
      </c>
      <c r="G24" s="39">
        <f>HLOOKUP(G$19,CIE标准色度系统色匹配函数和色品坐标!$B$3:$I$84,($B24-370)/5,FALSE)</f>
        <v>0.0860109</v>
      </c>
      <c r="H24" s="40"/>
      <c r="I24" s="41">
        <f>HLOOKUP(I$19,'CIE标准照明体A、B、C、D相对光谱功率分布—S(λ)'!$B$2:$E$83,(B24-370)/5,FALSE)</f>
        <v>82.8</v>
      </c>
      <c r="L24" s="43"/>
      <c r="M24" s="57"/>
      <c r="N24" s="45">
        <f>SUMPRODUCT(C20:C100,E20:E100,I20:I100)/SUMPRODUCT(F20:F100,I20:I100)</f>
        <v>0.43828143567244</v>
      </c>
      <c r="O24" s="45">
        <f>SUMPRODUCT(C20:C100,F20:F100,I20:I100)/SUMPRODUCT(F20:F100,I20:I100)</f>
        <v>0.477773910660261</v>
      </c>
      <c r="P24" s="45">
        <f>SUMPRODUCT(C20:C100,G20:G100,I20:I100)/SUMPRODUCT(F20:F100,I20:I100)</f>
        <v>1.67963467602977</v>
      </c>
      <c r="R24" s="57"/>
      <c r="S24" s="45" t="e">
        <f>SUMPRODUCT(膜厚记录及曲线对照表!L18:L118,E20:E100,I20:I100)/SUMPRODUCT(F20:F100,I20:I100)</f>
        <v>#VALUE!</v>
      </c>
      <c r="T24" s="45" t="e">
        <f>SUMPRODUCT(膜厚记录及曲线对照表!L18:L118,F20:F100,I20:I100)/SUMPRODUCT(F20:F100,I20:I100)</f>
        <v>#VALUE!</v>
      </c>
      <c r="U24" s="45" t="e">
        <f>SUMPRODUCT(膜厚记录及曲线对照表!L18:L118,G20:G100,I20:I100)/SUMPRODUCT(F20:F100,I20:I100)</f>
        <v>#VALUE!</v>
      </c>
    </row>
    <row r="25" spans="2:21">
      <c r="B25" s="42">
        <v>405</v>
      </c>
      <c r="C25" s="53">
        <v>0.545</v>
      </c>
      <c r="D25" s="40"/>
      <c r="E25" s="38">
        <f>HLOOKUP(E$19,CIE标准色度系统色匹配函数和色品坐标!$B$3:$I$84,($B25-370)/5,FALSE)</f>
        <v>0.0434</v>
      </c>
      <c r="F25" s="39">
        <f>HLOOKUP(F$19,CIE标准色度系统色匹配函数和色品坐标!$B$3:$I$84,($B25-370)/5,FALSE)</f>
        <v>0.004509</v>
      </c>
      <c r="G25" s="39">
        <f>HLOOKUP(G$19,CIE标准色度系统色匹配函数和色品坐标!$B$3:$I$84,($B25-370)/5,FALSE)</f>
        <v>0.19712</v>
      </c>
      <c r="H25" s="40"/>
      <c r="I25" s="41">
        <f>HLOOKUP(I$19,'CIE标准照明体A、B、C、D相对光谱功率分布—S(λ)'!$B$2:$E$83,(B25-370)/5,FALSE)</f>
        <v>87.1</v>
      </c>
      <c r="L25" s="43"/>
      <c r="M25" s="57"/>
      <c r="N25" s="58"/>
      <c r="O25" s="58"/>
      <c r="P25" s="58"/>
      <c r="R25" s="57"/>
      <c r="S25" s="58"/>
      <c r="T25" s="58"/>
      <c r="U25" s="58"/>
    </row>
    <row r="26" spans="2:21">
      <c r="B26" s="42">
        <v>410</v>
      </c>
      <c r="C26" s="53">
        <v>0.26</v>
      </c>
      <c r="D26" s="40"/>
      <c r="E26" s="38">
        <f>HLOOKUP(E$19,CIE标准色度系统色匹配函数和色品坐标!$B$3:$I$84,($B26-370)/5,FALSE)</f>
        <v>0.084736</v>
      </c>
      <c r="F26" s="39">
        <f>HLOOKUP(F$19,CIE标准色度系统色匹配函数和色品坐标!$B$3:$I$84,($B26-370)/5,FALSE)</f>
        <v>0.008756</v>
      </c>
      <c r="G26" s="39">
        <f>HLOOKUP(G$19,CIE标准色度系统色匹配函数和色品坐标!$B$3:$I$84,($B26-370)/5,FALSE)</f>
        <v>0.389366</v>
      </c>
      <c r="H26" s="40"/>
      <c r="I26" s="41">
        <f>HLOOKUP(I$19,'CIE标准照明体A、B、C、D相对光谱功率分布—S(λ)'!$B$2:$E$83,(B26-370)/5,FALSE)</f>
        <v>91.5</v>
      </c>
      <c r="L26" s="43"/>
      <c r="M26" s="57" t="s">
        <v>182</v>
      </c>
      <c r="N26" s="9" t="s">
        <v>10</v>
      </c>
      <c r="O26" s="9" t="s">
        <v>170</v>
      </c>
      <c r="P26" s="9" t="s">
        <v>171</v>
      </c>
      <c r="R26" s="57" t="s">
        <v>186</v>
      </c>
      <c r="S26" s="9" t="s">
        <v>10</v>
      </c>
      <c r="T26" s="9" t="s">
        <v>170</v>
      </c>
      <c r="U26" s="9" t="s">
        <v>171</v>
      </c>
    </row>
    <row r="27" spans="2:25">
      <c r="B27" s="42">
        <v>415</v>
      </c>
      <c r="C27" s="53">
        <v>0.325</v>
      </c>
      <c r="D27" s="40"/>
      <c r="E27" s="38">
        <f>HLOOKUP(E$19,CIE标准色度系统色匹配函数和色品坐标!$B$3:$I$84,($B27-370)/5,FALSE)</f>
        <v>0.140638</v>
      </c>
      <c r="F27" s="39">
        <f>HLOOKUP(F$19,CIE标准色度系统色匹配函数和色品坐标!$B$3:$I$84,($B27-370)/5,FALSE)</f>
        <v>0.014456</v>
      </c>
      <c r="G27" s="39">
        <f>HLOOKUP(G$19,CIE标准色度系统色匹配函数和色品坐标!$B$3:$I$84,($B27-370)/5,FALSE)</f>
        <v>0.65676</v>
      </c>
      <c r="H27" s="40"/>
      <c r="I27" s="41">
        <f>HLOOKUP(I$19,'CIE标准照明体A、B、C、D相对光谱功率分布—S(λ)'!$B$2:$E$83,(B27-370)/5,FALSE)</f>
        <v>92.5</v>
      </c>
      <c r="L27" s="43"/>
      <c r="M27" s="57"/>
      <c r="N27" s="45">
        <f>O24</f>
        <v>0.477773910660261</v>
      </c>
      <c r="O27" s="45">
        <f>N24/SUM(N24:P24)</f>
        <v>0.168849682318206</v>
      </c>
      <c r="P27" s="45">
        <f>O24/SUM(N24:P24)</f>
        <v>0.184064316826789</v>
      </c>
      <c r="R27" s="57"/>
      <c r="S27" s="45" t="e">
        <f>T24</f>
        <v>#VALUE!</v>
      </c>
      <c r="T27" s="45" t="e">
        <f>S24/SUM(S24:U24)</f>
        <v>#VALUE!</v>
      </c>
      <c r="U27" s="45" t="e">
        <f>T24/SUM(S24:U24)</f>
        <v>#VALUE!</v>
      </c>
      <c r="W27" s="70">
        <f>SUMPRODUCT(C20:C100,F20:F100,I20:I100)/SUMPRODUCT(F20:F100,I20:I100)</f>
        <v>0.477773910660261</v>
      </c>
      <c r="X27" s="70">
        <f>SUMPRODUCT(C20:C100,E20:E100,I20:I100)/SUM(SUMPRODUCT(C20:C100,E20:E100,I20:I100),SUMPRODUCT(C20:C100,F20:F100,I20:I100),SUMPRODUCT(C20:C100,G20:G100,I20:I100))</f>
        <v>0.168849682318206</v>
      </c>
      <c r="Y27" s="70">
        <f>SUMPRODUCT(C20:C100,F20:F100,I20:I100)/SUM(SUMPRODUCT(C20:C100,E20:E100,I20:I100),SUMPRODUCT(C20:C100,F20:F100,I20:I100),SUMPRODUCT(C20:C100,G20:G100,I20:I100))</f>
        <v>0.184064316826789</v>
      </c>
    </row>
    <row r="28" spans="2:25">
      <c r="B28" s="42">
        <v>420</v>
      </c>
      <c r="C28" s="53">
        <v>0.585</v>
      </c>
      <c r="D28" s="40"/>
      <c r="E28" s="38">
        <f>HLOOKUP(E$19,CIE标准色度系统色匹配函数和色品坐标!$B$3:$I$84,($B28-370)/5,FALSE)</f>
        <v>0.204492</v>
      </c>
      <c r="F28" s="39">
        <f>HLOOKUP(F$19,CIE标准色度系统色匹配函数和色品坐标!$B$3:$I$84,($B28-370)/5,FALSE)</f>
        <v>0.021391</v>
      </c>
      <c r="G28" s="39">
        <f>HLOOKUP(G$19,CIE标准色度系统色匹配函数和色品坐标!$B$3:$I$84,($B28-370)/5,FALSE)</f>
        <v>0.972542</v>
      </c>
      <c r="H28" s="40"/>
      <c r="I28" s="41">
        <f>HLOOKUP(I$19,'CIE标准照明体A、B、C、D相对光谱功率分布—S(λ)'!$B$2:$E$83,(B28-370)/5,FALSE)</f>
        <v>93.4</v>
      </c>
      <c r="L28" s="59"/>
      <c r="M28" s="60"/>
      <c r="N28" s="56"/>
      <c r="O28" s="56"/>
      <c r="P28" s="56"/>
      <c r="R28" s="60"/>
      <c r="S28" s="56"/>
      <c r="T28" s="56"/>
      <c r="U28" s="56"/>
      <c r="W28" s="70"/>
      <c r="X28" s="70"/>
      <c r="Y28" s="70"/>
    </row>
    <row r="29" spans="2:25">
      <c r="B29" s="42">
        <v>425</v>
      </c>
      <c r="C29" s="53">
        <v>0.84</v>
      </c>
      <c r="D29" s="40"/>
      <c r="E29" s="38">
        <f>HLOOKUP(E$19,CIE标准色度系统色匹配函数和色品坐标!$B$3:$I$84,($B29-370)/5,FALSE)</f>
        <v>0.264737</v>
      </c>
      <c r="F29" s="39">
        <f>HLOOKUP(F$19,CIE标准色度系统色匹配函数和色品坐标!$B$3:$I$84,($B29-370)/5,FALSE)</f>
        <v>0.029497</v>
      </c>
      <c r="G29" s="39">
        <f>HLOOKUP(G$19,CIE标准色度系统色匹配函数和色品坐标!$B$3:$I$84,($B29-370)/5,FALSE)</f>
        <v>1.2825</v>
      </c>
      <c r="H29" s="40"/>
      <c r="I29" s="41">
        <f>HLOOKUP(I$19,'CIE标准照明体A、B、C、D相对光谱功率分布—S(λ)'!$B$2:$E$83,(B29-370)/5,FALSE)</f>
        <v>90.1</v>
      </c>
      <c r="L29" s="61"/>
      <c r="M29" s="62" t="s">
        <v>187</v>
      </c>
      <c r="N29" s="9" t="s">
        <v>188</v>
      </c>
      <c r="O29" s="10" t="s">
        <v>189</v>
      </c>
      <c r="P29" s="10" t="s">
        <v>190</v>
      </c>
      <c r="R29" s="62" t="s">
        <v>187</v>
      </c>
      <c r="S29" s="9" t="s">
        <v>188</v>
      </c>
      <c r="T29" s="10" t="s">
        <v>189</v>
      </c>
      <c r="U29" s="10" t="s">
        <v>190</v>
      </c>
      <c r="W29" s="70"/>
      <c r="X29" s="70"/>
      <c r="Y29" s="70"/>
    </row>
    <row r="30" spans="2:25">
      <c r="B30" s="42">
        <v>430</v>
      </c>
      <c r="C30" s="53">
        <v>1.24</v>
      </c>
      <c r="D30" s="40"/>
      <c r="E30" s="38">
        <f>HLOOKUP(E$19,CIE标准色度系统色匹配函数和色品坐标!$B$3:$I$84,($B30-370)/5,FALSE)</f>
        <v>0.314679</v>
      </c>
      <c r="F30" s="39">
        <f>HLOOKUP(F$19,CIE标准色度系统色匹配函数和色品坐标!$B$3:$I$84,($B30-370)/5,FALSE)</f>
        <v>0.038676</v>
      </c>
      <c r="G30" s="39">
        <f>HLOOKUP(G$19,CIE标准色度系统色匹配函数和色品坐标!$B$3:$I$84,($B30-370)/5,FALSE)</f>
        <v>1.55348</v>
      </c>
      <c r="H30" s="40"/>
      <c r="I30" s="41">
        <f>HLOOKUP(I$19,'CIE标准照明体A、B、C、D相对光谱功率分布—S(λ)'!$B$2:$E$83,(B30-370)/5,FALSE)</f>
        <v>86.7</v>
      </c>
      <c r="L30" s="61"/>
      <c r="M30" s="62"/>
      <c r="N30" s="12">
        <f>N24/N21</f>
        <v>0.00462263118575989</v>
      </c>
      <c r="O30" s="12">
        <f>O24/O21</f>
        <v>0.00477773910660261</v>
      </c>
      <c r="P30" s="12">
        <f>P24/P21</f>
        <v>0.015648244463579</v>
      </c>
      <c r="R30" s="62"/>
      <c r="S30" s="12" t="e">
        <f>S24/S21</f>
        <v>#VALUE!</v>
      </c>
      <c r="T30" s="12" t="e">
        <f>T24/T21</f>
        <v>#VALUE!</v>
      </c>
      <c r="U30" s="12" t="e">
        <f>U24/U21</f>
        <v>#VALUE!</v>
      </c>
      <c r="W30" s="71">
        <f>(SUMPRODUCT(C20:C100,E20:E100,I20:I100))/(100*SUMPRODUCT(E20:E100,I20:I100))</f>
        <v>0.00462263118575989</v>
      </c>
      <c r="X30" s="71">
        <f>(SUMPRODUCT(C20:C100,F20:F100,I20:I100))/(100*(SUMPRODUCT(F20:F100,I20:I100)))</f>
        <v>0.00477773910660261</v>
      </c>
      <c r="Y30" s="71">
        <f>(SUMPRODUCT(C20:C100,G20:G100,I20:I100))/(100*SUMPRODUCT(G20:G100,I20:I100))</f>
        <v>0.015648244463579</v>
      </c>
    </row>
    <row r="31" spans="2:25">
      <c r="B31" s="42">
        <v>435</v>
      </c>
      <c r="C31" s="53">
        <v>1.56</v>
      </c>
      <c r="D31" s="40"/>
      <c r="E31" s="38">
        <f>HLOOKUP(E$19,CIE标准色度系统色匹配函数和色品坐标!$B$3:$I$84,($B31-370)/5,FALSE)</f>
        <v>0.357719</v>
      </c>
      <c r="F31" s="39">
        <f>HLOOKUP(F$19,CIE标准色度系统色匹配函数和色品坐标!$B$3:$I$84,($B31-370)/5,FALSE)</f>
        <v>0.049602</v>
      </c>
      <c r="G31" s="39">
        <f>HLOOKUP(G$19,CIE标准色度系统色匹配函数和色品坐标!$B$3:$I$84,($B31-370)/5,FALSE)</f>
        <v>1.7985</v>
      </c>
      <c r="H31" s="40"/>
      <c r="I31" s="41">
        <f>HLOOKUP(I$19,'CIE标准照明体A、B、C、D相对光谱功率分布—S(λ)'!$B$2:$E$83,(B31-370)/5,FALSE)</f>
        <v>95.8</v>
      </c>
      <c r="L31" s="61"/>
      <c r="M31" s="62"/>
      <c r="N31" s="9" t="s">
        <v>191</v>
      </c>
      <c r="O31" s="10" t="s">
        <v>192</v>
      </c>
      <c r="P31" s="10" t="s">
        <v>193</v>
      </c>
      <c r="R31" s="62"/>
      <c r="S31" s="9" t="s">
        <v>191</v>
      </c>
      <c r="T31" s="10" t="s">
        <v>192</v>
      </c>
      <c r="U31" s="10" t="s">
        <v>193</v>
      </c>
      <c r="W31" s="70"/>
      <c r="X31" s="70"/>
      <c r="Y31" s="70"/>
    </row>
    <row r="32" spans="2:25">
      <c r="B32" s="42">
        <v>440</v>
      </c>
      <c r="C32" s="53">
        <v>1.72</v>
      </c>
      <c r="D32" s="40"/>
      <c r="E32" s="38">
        <f>HLOOKUP(E$19,CIE标准色度系统色匹配函数和色品坐标!$B$3:$I$84,($B32-370)/5,FALSE)</f>
        <v>0.383734</v>
      </c>
      <c r="F32" s="39">
        <f>HLOOKUP(F$19,CIE标准色度系统色匹配函数和色品坐标!$B$3:$I$84,($B32-370)/5,FALSE)</f>
        <v>0.062077</v>
      </c>
      <c r="G32" s="39">
        <f>HLOOKUP(G$19,CIE标准色度系统色匹配函数和色品坐标!$B$3:$I$84,($B32-370)/5,FALSE)</f>
        <v>1.96728</v>
      </c>
      <c r="H32" s="40"/>
      <c r="I32" s="41">
        <f>HLOOKUP(I$19,'CIE标准照明体A、B、C、D相对光谱功率分布—S(λ)'!$B$2:$E$83,(B32-370)/5,FALSE)</f>
        <v>104.9</v>
      </c>
      <c r="L32" s="61"/>
      <c r="M32" s="62"/>
      <c r="N32" s="12">
        <f>IF(N30&gt;0.008856,N30^(1/3),7.787*N30+16/116)</f>
        <v>0.173927463526271</v>
      </c>
      <c r="O32" s="12">
        <f>IF(O30&gt;0.008856,O30^(1/3),7.787*O30+16/116)</f>
        <v>0.175135288905873</v>
      </c>
      <c r="P32" s="12">
        <f>IF(P30&gt;0.008856,P30^(1/3),7.787*P30+16/116)</f>
        <v>0.250123909048466</v>
      </c>
      <c r="R32" s="62"/>
      <c r="S32" s="12" t="e">
        <f>IF(S30&gt;0.008856,S30^(1/3),7.787*S30+16/116)</f>
        <v>#VALUE!</v>
      </c>
      <c r="T32" s="12" t="e">
        <f>IF(T30&gt;0.008856,T30^(1/3),7.787*T30+16/116)</f>
        <v>#VALUE!</v>
      </c>
      <c r="U32" s="12" t="e">
        <f>IF(U30&gt;0.008856,U30^(1/3),7.787*U30+16/116)</f>
        <v>#VALUE!</v>
      </c>
      <c r="W32" s="71">
        <f>IF(((SUMPRODUCT(C20:C100,E20:E100,I20:I100))/(100*SUMPRODUCT(E20:E100,I20:I100)))&gt;0.008856,((SUMPRODUCT(C20:C100,E20:E100,I20:I100))/(100*SUMPRODUCT(E20:E100,I20:I100)))^(1/3),7.787*((SUMPRODUCT(C20:C100,E20:E100,I20:I100))/(100*SUMPRODUCT(E20:E100,I20:I100)))+16/116)</f>
        <v>0.173927463526271</v>
      </c>
      <c r="X32" s="71">
        <f>IF(((SUMPRODUCT(C20:C100,F20:F100,I20:I100))/(100*(SUMPRODUCT(F20:F100,I20:I100))))&gt;0.008856,((SUMPRODUCT(C20:C100,F20:F100,I20:I100))/(100*(SUMPRODUCT(F20:F100,I20:I100))))^(1/3),7.787*((SUMPRODUCT(C20:C100,F20:F100,I20:I100))/(100*(SUMPRODUCT(F20:F100,I20:I100))))+16/116)</f>
        <v>0.175135288905873</v>
      </c>
      <c r="Y32" s="71">
        <f>IF(((SUMPRODUCT(C20:C100,G20:G100,I20:I100))/(100*SUMPRODUCT(G20:G100,I20:I100)))&gt;0.008856,((SUMPRODUCT(C20:C100,G20:G100,I20:I100))/(100*SUMPRODUCT(G20:G100,I20:I100)))^(1/3),7.787*((SUMPRODUCT(C20:C100,G20:G100,I20:I100))/(100*SUMPRODUCT(G20:G100,I20:I100)))+16/116)</f>
        <v>0.250123909048466</v>
      </c>
    </row>
    <row r="33" spans="2:25">
      <c r="B33" s="42">
        <v>445</v>
      </c>
      <c r="C33" s="53">
        <v>1.875</v>
      </c>
      <c r="D33" s="40"/>
      <c r="E33" s="38">
        <f>HLOOKUP(E$19,CIE标准色度系统色匹配函数和色品坐标!$B$3:$I$84,($B33-370)/5,FALSE)</f>
        <v>0.386726</v>
      </c>
      <c r="F33" s="39">
        <f>HLOOKUP(F$19,CIE标准色度系统色匹配函数和色品坐标!$B$3:$I$84,($B33-370)/5,FALSE)</f>
        <v>0.074704</v>
      </c>
      <c r="G33" s="39">
        <f>HLOOKUP(G$19,CIE标准色度系统色匹配函数和色品坐标!$B$3:$I$84,($B33-370)/5,FALSE)</f>
        <v>2.0273</v>
      </c>
      <c r="H33" s="40"/>
      <c r="I33" s="41">
        <f>HLOOKUP(I$19,'CIE标准照明体A、B、C、D相对光谱功率分布—S(λ)'!$B$2:$E$83,(B33-370)/5,FALSE)</f>
        <v>110.9</v>
      </c>
      <c r="L33" s="61"/>
      <c r="M33" s="61"/>
      <c r="N33" s="63"/>
      <c r="O33" s="63"/>
      <c r="P33" s="63"/>
      <c r="R33" s="61"/>
      <c r="S33" s="63"/>
      <c r="T33" s="63"/>
      <c r="U33" s="63"/>
      <c r="W33" s="70"/>
      <c r="X33" s="70"/>
      <c r="Y33" s="70"/>
    </row>
    <row r="34" spans="2:25">
      <c r="B34" s="42">
        <v>450</v>
      </c>
      <c r="C34" s="53">
        <v>1.955</v>
      </c>
      <c r="D34" s="40"/>
      <c r="E34" s="38">
        <f>HLOOKUP(E$19,CIE标准色度系统色匹配函数和色品坐标!$B$3:$I$84,($B34-370)/5,FALSE)</f>
        <v>0.370702</v>
      </c>
      <c r="F34" s="39">
        <f>HLOOKUP(F$19,CIE标准色度系统色匹配函数和色品坐标!$B$3:$I$84,($B34-370)/5,FALSE)</f>
        <v>0.089456</v>
      </c>
      <c r="G34" s="39">
        <f>HLOOKUP(G$19,CIE标准色度系统色匹配函数和色品坐标!$B$3:$I$84,($B34-370)/5,FALSE)</f>
        <v>1.9948</v>
      </c>
      <c r="H34" s="40"/>
      <c r="I34" s="41">
        <f>HLOOKUP(I$19,'CIE标准照明体A、B、C、D相对光谱功率分布—S(λ)'!$B$2:$E$83,(B34-370)/5,FALSE)</f>
        <v>117</v>
      </c>
      <c r="L34" s="43" t="s">
        <v>194</v>
      </c>
      <c r="M34" s="57" t="s">
        <v>182</v>
      </c>
      <c r="N34" s="9" t="s">
        <v>27</v>
      </c>
      <c r="O34" s="9" t="s">
        <v>28</v>
      </c>
      <c r="P34" s="9" t="s">
        <v>29</v>
      </c>
      <c r="R34" s="57" t="s">
        <v>186</v>
      </c>
      <c r="S34" s="9" t="s">
        <v>27</v>
      </c>
      <c r="T34" s="9" t="s">
        <v>28</v>
      </c>
      <c r="U34" s="9" t="s">
        <v>29</v>
      </c>
      <c r="W34" s="70"/>
      <c r="X34" s="70"/>
      <c r="Y34" s="70"/>
    </row>
    <row r="35" spans="2:25">
      <c r="B35" s="42">
        <v>455</v>
      </c>
      <c r="C35" s="53">
        <v>1.965</v>
      </c>
      <c r="D35" s="40"/>
      <c r="E35" s="38">
        <f>HLOOKUP(E$19,CIE标准色度系统色匹配函数和色品坐标!$B$3:$I$84,($B35-370)/5,FALSE)</f>
        <v>0.342957</v>
      </c>
      <c r="F35" s="39">
        <f>HLOOKUP(F$19,CIE标准色度系统色匹配函数和色品坐标!$B$3:$I$84,($B35-370)/5,FALSE)</f>
        <v>0.106256</v>
      </c>
      <c r="G35" s="39">
        <f>HLOOKUP(G$19,CIE标准色度系统色匹配函数和色品坐标!$B$3:$I$84,($B35-370)/5,FALSE)</f>
        <v>1.9007</v>
      </c>
      <c r="H35" s="40"/>
      <c r="I35" s="41">
        <f>HLOOKUP(I$19,'CIE标准照明体A、B、C、D相对光谱功率分布—S(λ)'!$B$2:$E$83,(B35-370)/5,FALSE)</f>
        <v>117.4</v>
      </c>
      <c r="L35" s="43"/>
      <c r="M35" s="57"/>
      <c r="N35" s="14">
        <f>IF(O30&gt;0.008856,116*O30^(1/3)-16,903.3*O30)</f>
        <v>4.31573173499414</v>
      </c>
      <c r="O35" s="14">
        <f>500*(N32-O32)</f>
        <v>-0.603912689801131</v>
      </c>
      <c r="P35" s="14">
        <f>200*(O32-P32)</f>
        <v>-14.9977240285186</v>
      </c>
      <c r="R35" s="57"/>
      <c r="S35" s="14" t="e">
        <f>IF(T30&gt;0.008856,116*T30^(1/3)-16,903.3*T30)</f>
        <v>#VALUE!</v>
      </c>
      <c r="T35" s="14" t="e">
        <f>500*(S32-T32)</f>
        <v>#VALUE!</v>
      </c>
      <c r="U35" s="14" t="e">
        <f>200*(T32-U32)</f>
        <v>#VALUE!</v>
      </c>
      <c r="W35" s="71">
        <f>IF(((SUMPRODUCT(C20:C100,F20:F100,I20:I100))/(100*(SUMPRODUCT(F20:F100,I20:I100))))&gt;0.008856,116*((SUMPRODUCT(C20:C100,F20:F100,I20:I100))/(100*(SUMPRODUCT(F20:F100,I20:I100))))^(1/3)-16,903.3*((SUMPRODUCT(C20:C100,F20:F100,I20:I100))/(100*(SUMPRODUCT(F20:F100,I20:I100)))))</f>
        <v>4.31573173499414</v>
      </c>
      <c r="X35" s="71">
        <f>500*((IF(((SUMPRODUCT(C20:C100,E20:E100,I20:I100))/(100*SUMPRODUCT(E20:E100,I20:I100)))&gt;0.008856,((SUMPRODUCT(C20:C100,E20:E100,I20:I100))/(100*SUMPRODUCT(E20:E100,I20:I100)))^(1/3),7.787*((SUMPRODUCT(C20:C100,E20:E100,I20:I100))/(100*SUMPRODUCT(E20:E100,I20:I100)))+16/116))-(IF(((SUMPRODUCT(C20:C100,F20:F100,I20:I100))/(100*(SUMPRODUCT(F20:F100,I20:I100))))&gt;0.008856,((SUMPRODUCT(C20:C100,F20:F100,I20:I100))/(100*(SUMPRODUCT(F20:F100,I20:I100))))^(1/3),7.787*((SUMPRODUCT(C20:C100,F20:F100,I20:I100))/(100*(SUMPRODUCT(F20:F100,I20:I100))))+16/116)))</f>
        <v>-0.603912689801145</v>
      </c>
      <c r="Y35" s="71">
        <f>200*((IF(((SUMPRODUCT(C20:C100,F20:F100,I20:I100))/(100*(SUMPRODUCT(F20:F100,I20:I100))))&gt;0.008856,((SUMPRODUCT(C20:C100,F20:F100,I20:I100))/(100*(SUMPRODUCT(F20:F100,I20:I100))))^(1/3),7.787*((SUMPRODUCT(C20:C100,F20:F100,I20:I100))/(100*(SUMPRODUCT(F20:F100,I20:I100))))+16/116))-IF(((SUMPRODUCT(C20:C100,G20:G100,I20:I100))/(100*SUMPRODUCT(G20:G100,I20:I100)))&gt;0.008856,((SUMPRODUCT(C20:C100,G20:G100,I20:I100))/(100*SUMPRODUCT(G20:G100,I20:I100)))^(1/3),7.787*((SUMPRODUCT(C20:C100,G20:G100,I20:I100))/(100*SUMPRODUCT(G20:G100,I20:I100)))+16/116))</f>
        <v>-14.9977240285185</v>
      </c>
    </row>
    <row r="36" spans="2:34">
      <c r="B36" s="42">
        <v>460</v>
      </c>
      <c r="C36" s="53">
        <v>1.945</v>
      </c>
      <c r="D36" s="40"/>
      <c r="E36" s="38">
        <f>HLOOKUP(E$19,CIE标准色度系统色匹配函数和色品坐标!$B$3:$I$84,($B36-370)/5,FALSE)</f>
        <v>0.302273</v>
      </c>
      <c r="F36" s="39">
        <f>HLOOKUP(F$19,CIE标准色度系统色匹配函数和色品坐标!$B$3:$I$84,($B36-370)/5,FALSE)</f>
        <v>0.128201</v>
      </c>
      <c r="G36" s="39">
        <f>HLOOKUP(G$19,CIE标准色度系统色匹配函数和色品坐标!$B$3:$I$84,($B36-370)/5,FALSE)</f>
        <v>1.74537</v>
      </c>
      <c r="H36" s="40"/>
      <c r="I36" s="41">
        <f>HLOOKUP(I$19,'CIE标准照明体A、B、C、D相对光谱功率分布—S(λ)'!$B$2:$E$83,(B36-370)/5,FALSE)</f>
        <v>117.8</v>
      </c>
      <c r="L36" s="43"/>
      <c r="M36" s="57"/>
      <c r="N36" s="9" t="s">
        <v>27</v>
      </c>
      <c r="O36" s="9" t="s">
        <v>195</v>
      </c>
      <c r="P36" s="9" t="s">
        <v>196</v>
      </c>
      <c r="R36" s="57"/>
      <c r="S36" s="9" t="s">
        <v>27</v>
      </c>
      <c r="T36" s="9" t="s">
        <v>195</v>
      </c>
      <c r="U36" s="9" t="s">
        <v>196</v>
      </c>
      <c r="AH36" s="76"/>
    </row>
    <row r="37" spans="2:21">
      <c r="B37" s="42">
        <v>465</v>
      </c>
      <c r="C37" s="53">
        <v>1.915</v>
      </c>
      <c r="D37" s="40"/>
      <c r="E37" s="38">
        <f>HLOOKUP(E$19,CIE标准色度系统色匹配函数和色品坐标!$B$3:$I$84,($B37-370)/5,FALSE)</f>
        <v>0.254085</v>
      </c>
      <c r="F37" s="39">
        <f>HLOOKUP(F$19,CIE标准色度系统色匹配函数和色品坐标!$B$3:$I$84,($B37-370)/5,FALSE)</f>
        <v>0.152761</v>
      </c>
      <c r="G37" s="39">
        <f>HLOOKUP(G$19,CIE标准色度系统色匹配函数和色品坐标!$B$3:$I$84,($B37-370)/5,FALSE)</f>
        <v>1.5549</v>
      </c>
      <c r="H37" s="40"/>
      <c r="I37" s="41">
        <f>HLOOKUP(I$19,'CIE标准照明体A、B、C、D相对光谱功率分布—S(λ)'!$B$2:$E$83,(B37-370)/5,FALSE)</f>
        <v>116.3</v>
      </c>
      <c r="L37" s="43"/>
      <c r="M37" s="57"/>
      <c r="N37" s="64">
        <f>N35</f>
        <v>4.31573173499414</v>
      </c>
      <c r="O37" s="64">
        <f>SQRT(O35^2+P35^2)</f>
        <v>15.0098779666094</v>
      </c>
      <c r="P37" s="64">
        <f>IF(AND(O35&gt;0,P35&gt;=0),ATAN(P35/O35)*180/PI(),IF(AND(O35&gt;0,P35&lt;0),360-ATAN(-P35/O35)*180/PI(),IF(AND(O35&lt;0,P35&gt;=0),180-ATAN(P35/(-O35))*180/PI(),IF(AND(O35&lt;0,P35&lt;0),180+ATAN(-P35/(-O35))*180/PI(),IF(AND(O35=0,P35&gt;0),90,270)))))</f>
        <v>267.694119116366</v>
      </c>
      <c r="R37" s="57"/>
      <c r="S37" s="64" t="e">
        <f>S35</f>
        <v>#VALUE!</v>
      </c>
      <c r="T37" s="64" t="e">
        <f>SQRT(T35^2+U35^2)</f>
        <v>#VALUE!</v>
      </c>
      <c r="U37" s="64" t="e">
        <f>IF(AND(T35&gt;0,U35&gt;=0),ATAN(U35/T35)*180/PI(),IF(AND(T35&gt;0,U35&lt;0),360-ATAN(-U35/T35)*180/PI(),IF(AND(T35&lt;0,U35&gt;=0),180-ATAN(U35/(-T35))*180/PI(),IF(AND(T35&lt;0,U35&lt;0),180+ATAN(-U35/(-T35))*180/PI(),IF(AND(T35=0,U35&gt;0),90,270)))))</f>
        <v>#VALUE!</v>
      </c>
    </row>
    <row r="38" spans="2:33">
      <c r="B38" s="42">
        <v>470</v>
      </c>
      <c r="C38" s="53">
        <v>1.835</v>
      </c>
      <c r="D38" s="40"/>
      <c r="E38" s="38">
        <f>HLOOKUP(E$19,CIE标准色度系统色匹配函数和色品坐标!$B$3:$I$84,($B38-370)/5,FALSE)</f>
        <v>0.195618</v>
      </c>
      <c r="F38" s="39">
        <f>HLOOKUP(F$19,CIE标准色度系统色匹配函数和色品坐标!$B$3:$I$84,($B38-370)/5,FALSE)</f>
        <v>0.18519</v>
      </c>
      <c r="G38" s="39">
        <f>HLOOKUP(G$19,CIE标准色度系统色匹配函数和色品坐标!$B$3:$I$84,($B38-370)/5,FALSE)</f>
        <v>1.31756</v>
      </c>
      <c r="H38" s="40"/>
      <c r="I38" s="41">
        <f>HLOOKUP(I$19,'CIE标准照明体A、B、C、D相对光谱功率分布—S(λ)'!$B$2:$E$83,(B38-370)/5,FALSE)</f>
        <v>114.9</v>
      </c>
      <c r="L38" s="43"/>
      <c r="M38" s="57"/>
      <c r="N38" s="9" t="s">
        <v>197</v>
      </c>
      <c r="O38" s="10" t="s">
        <v>198</v>
      </c>
      <c r="P38" s="10" t="s">
        <v>199</v>
      </c>
      <c r="R38" s="57"/>
      <c r="S38" s="9" t="s">
        <v>200</v>
      </c>
      <c r="T38" s="10" t="s">
        <v>201</v>
      </c>
      <c r="U38" s="10" t="s">
        <v>202</v>
      </c>
      <c r="AG38" s="76"/>
    </row>
    <row r="39" spans="2:33">
      <c r="B39" s="42">
        <v>475</v>
      </c>
      <c r="C39" s="53">
        <v>1.64</v>
      </c>
      <c r="D39" s="40"/>
      <c r="E39" s="38">
        <f>HLOOKUP(E$19,CIE标准色度系统色匹配函数和色品坐标!$B$3:$I$84,($B39-370)/5,FALSE)</f>
        <v>0.132349</v>
      </c>
      <c r="F39" s="39">
        <f>HLOOKUP(F$19,CIE标准色度系统色匹配函数和色品坐标!$B$3:$I$84,($B39-370)/5,FALSE)</f>
        <v>0.21994</v>
      </c>
      <c r="G39" s="39">
        <f>HLOOKUP(G$19,CIE标准色度系统色匹配函数和色品坐标!$B$3:$I$84,($B39-370)/5,FALSE)</f>
        <v>1.0302</v>
      </c>
      <c r="H39" s="40"/>
      <c r="I39" s="41">
        <f>HLOOKUP(I$19,'CIE标准照明体A、B、C、D相对光谱功率分布—S(λ)'!$B$2:$E$83,(B39-370)/5,FALSE)</f>
        <v>115.4</v>
      </c>
      <c r="L39" s="43"/>
      <c r="M39" s="57"/>
      <c r="N39" s="65">
        <f>IF(N37&lt;16,0.511,0.040975*N37/(1+0.01765*N37))</f>
        <v>0.511</v>
      </c>
      <c r="O39" s="65">
        <f>0.0638*O37/(1+0.0131*O37)+0.638</f>
        <v>1.43827301115888</v>
      </c>
      <c r="P39" s="65">
        <f>O39*(O41*N41+1-N41)</f>
        <v>0.886739611661028</v>
      </c>
      <c r="R39" s="57"/>
      <c r="S39" s="65" t="e">
        <f>S35-N35</f>
        <v>#VALUE!</v>
      </c>
      <c r="T39" s="65" t="e">
        <f>T37-O37</f>
        <v>#VALUE!</v>
      </c>
      <c r="U39" s="65" t="e">
        <f>SQRT((T35-O35)^2+(U35-P35)^2-T39^2)</f>
        <v>#VALUE!</v>
      </c>
      <c r="AG39" s="76"/>
    </row>
    <row r="40" spans="2:33">
      <c r="B40" s="42">
        <v>480</v>
      </c>
      <c r="C40" s="53">
        <v>1.45</v>
      </c>
      <c r="D40" s="40"/>
      <c r="E40" s="38">
        <f>HLOOKUP(E$19,CIE标准色度系统色匹配函数和色品坐标!$B$3:$I$84,($B40-370)/5,FALSE)</f>
        <v>0.080507</v>
      </c>
      <c r="F40" s="39">
        <f>HLOOKUP(F$19,CIE标准色度系统色匹配函数和色品坐标!$B$3:$I$84,($B40-370)/5,FALSE)</f>
        <v>0.253589</v>
      </c>
      <c r="G40" s="39">
        <f>HLOOKUP(G$19,CIE标准色度系统色匹配函数和色品坐标!$B$3:$I$84,($B40-370)/5,FALSE)</f>
        <v>0.772125</v>
      </c>
      <c r="H40" s="40"/>
      <c r="I40" s="41">
        <f>HLOOKUP(I$19,'CIE标准照明体A、B、C、D相对光谱功率分布—S(λ)'!$B$2:$E$83,(B40-370)/5,FALSE)</f>
        <v>115.9</v>
      </c>
      <c r="L40" s="43"/>
      <c r="M40" s="57"/>
      <c r="N40" s="9" t="s">
        <v>203</v>
      </c>
      <c r="O40" s="10" t="s">
        <v>204</v>
      </c>
      <c r="P40" s="56"/>
      <c r="R40" s="57"/>
      <c r="S40" s="72" t="s">
        <v>205</v>
      </c>
      <c r="T40" s="73"/>
      <c r="U40" s="56"/>
      <c r="AG40" s="76"/>
    </row>
    <row r="41" spans="2:21">
      <c r="B41" s="42">
        <v>485</v>
      </c>
      <c r="C41" s="53">
        <v>1.35</v>
      </c>
      <c r="D41" s="40"/>
      <c r="E41" s="38">
        <f>HLOOKUP(E$19,CIE标准色度系统色匹配函数和色品坐标!$B$3:$I$84,($B41-370)/5,FALSE)</f>
        <v>0.041072</v>
      </c>
      <c r="F41" s="39">
        <f>HLOOKUP(F$19,CIE标准色度系统色匹配函数和色品坐标!$B$3:$I$84,($B41-370)/5,FALSE)</f>
        <v>0.297665</v>
      </c>
      <c r="G41" s="39">
        <f>HLOOKUP(G$19,CIE标准色度系统色匹配函数和色品坐标!$B$3:$I$84,($B41-370)/5,FALSE)</f>
        <v>0.5706</v>
      </c>
      <c r="H41" s="40"/>
      <c r="I41" s="41">
        <f>HLOOKUP(I$19,'CIE标准照明体A、B、C、D相对光谱功率分布—S(λ)'!$B$2:$E$83,(B41-370)/5,FALSE)</f>
        <v>112.4</v>
      </c>
      <c r="L41" s="43"/>
      <c r="M41" s="57"/>
      <c r="N41" s="66">
        <f>SQRT(O37^4/(O37^4+1900))</f>
        <v>0.981793483872443</v>
      </c>
      <c r="O41" s="66">
        <f>IF(AND(P37&gt;164,P37&lt;345),0.56+ABS(0.2*COS((P37+168)/180*PI())),0.36+ABS(0.4*COS((P37+35)/180*PI())))</f>
        <v>0.609419694390852</v>
      </c>
      <c r="P41" s="56"/>
      <c r="R41" s="57"/>
      <c r="S41" s="74" t="e">
        <f>SQRT((S39/2/N39)^2+(T39/O39)^2+(U39/P39)^2)</f>
        <v>#VALUE!</v>
      </c>
      <c r="T41" s="75"/>
      <c r="U41" s="56"/>
    </row>
    <row r="42" customHeight="1" spans="2:37">
      <c r="B42" s="42">
        <v>490</v>
      </c>
      <c r="C42" s="53">
        <v>1.245</v>
      </c>
      <c r="D42" s="40"/>
      <c r="E42" s="38">
        <f>HLOOKUP(E$19,CIE标准色度系统色匹配函数和色品坐标!$B$3:$I$84,($B42-370)/5,FALSE)</f>
        <v>0.016172</v>
      </c>
      <c r="F42" s="39">
        <f>HLOOKUP(F$19,CIE标准色度系统色匹配函数和色品坐标!$B$3:$I$84,($B42-370)/5,FALSE)</f>
        <v>0.339133</v>
      </c>
      <c r="G42" s="39">
        <f>HLOOKUP(G$19,CIE标准色度系统色匹配函数和色品坐标!$B$3:$I$84,($B42-370)/5,FALSE)</f>
        <v>0.415254</v>
      </c>
      <c r="H42" s="40"/>
      <c r="I42" s="41">
        <f>HLOOKUP(I$19,'CIE标准照明体A、B、C、D相对光谱功率分布—S(λ)'!$B$2:$E$83,(B42-370)/5,FALSE)</f>
        <v>108.8</v>
      </c>
      <c r="AG42" s="16" t="s">
        <v>206</v>
      </c>
      <c r="AH42" s="6" t="s">
        <v>25</v>
      </c>
      <c r="AI42">
        <v>0.4124564</v>
      </c>
      <c r="AJ42">
        <v>0.3575761</v>
      </c>
      <c r="AK42">
        <v>0.1804375</v>
      </c>
    </row>
    <row r="43" customHeight="1" spans="2:37">
      <c r="B43" s="42">
        <v>495</v>
      </c>
      <c r="C43" s="53">
        <v>1.095</v>
      </c>
      <c r="D43" s="40"/>
      <c r="E43" s="38">
        <f>HLOOKUP(E$19,CIE标准色度系统色匹配函数和色品坐标!$B$3:$I$84,($B43-370)/5,FALSE)</f>
        <v>0.005132</v>
      </c>
      <c r="F43" s="39">
        <f>HLOOKUP(F$19,CIE标准色度系统色匹配函数和色品坐标!$B$3:$I$84,($B43-370)/5,FALSE)</f>
        <v>0.395379</v>
      </c>
      <c r="G43" s="39">
        <f>HLOOKUP(G$19,CIE标准色度系统色匹配函数和色品坐标!$B$3:$I$84,($B43-370)/5,FALSE)</f>
        <v>0.302356</v>
      </c>
      <c r="H43" s="40"/>
      <c r="I43" s="41">
        <f>HLOOKUP(I$19,'CIE标准照明体A、B、C、D相对光谱功率分布—S(λ)'!$B$2:$E$83,(B43-370)/5,FALSE)</f>
        <v>109.1</v>
      </c>
      <c r="AG43" s="16"/>
      <c r="AH43" s="6"/>
      <c r="AI43">
        <v>0.2126729</v>
      </c>
      <c r="AJ43">
        <v>0.7151522</v>
      </c>
      <c r="AK43">
        <v>0.072175</v>
      </c>
    </row>
    <row r="44" customHeight="1" spans="2:37">
      <c r="B44" s="42">
        <v>500</v>
      </c>
      <c r="C44" s="53">
        <v>0.94</v>
      </c>
      <c r="D44" s="40"/>
      <c r="E44" s="38">
        <f>HLOOKUP(E$19,CIE标准色度系统色匹配函数和色品坐标!$B$3:$I$84,($B44-370)/5,FALSE)</f>
        <v>0.003816</v>
      </c>
      <c r="F44" s="39">
        <f>HLOOKUP(F$19,CIE标准色度系统色匹配函数和色品坐标!$B$3:$I$84,($B44-370)/5,FALSE)</f>
        <v>0.460777</v>
      </c>
      <c r="G44" s="39">
        <f>HLOOKUP(G$19,CIE标准色度系统色匹配函数和色品坐标!$B$3:$I$84,($B44-370)/5,FALSE)</f>
        <v>0.218502</v>
      </c>
      <c r="H44" s="40"/>
      <c r="I44" s="41">
        <f>HLOOKUP(I$19,'CIE标准照明体A、B、C、D相对光谱功率分布—S(λ)'!$B$2:$E$83,(B44-370)/5,FALSE)</f>
        <v>109.4</v>
      </c>
      <c r="N44" s="8" t="s">
        <v>207</v>
      </c>
      <c r="O44" s="8" t="s">
        <v>208</v>
      </c>
      <c r="P44" s="8" t="s">
        <v>160</v>
      </c>
      <c r="AG44" s="16"/>
      <c r="AH44" s="6"/>
      <c r="AI44">
        <v>0.0193339</v>
      </c>
      <c r="AJ44">
        <v>0.119192</v>
      </c>
      <c r="AK44">
        <v>0.9503041</v>
      </c>
    </row>
    <row r="45" customHeight="1" spans="2:16">
      <c r="B45" s="42">
        <v>505</v>
      </c>
      <c r="C45" s="53">
        <v>0.81</v>
      </c>
      <c r="D45" s="40"/>
      <c r="E45" s="38">
        <f>HLOOKUP(E$19,CIE标准色度系统色匹配函数和色品坐标!$B$3:$I$84,($B45-370)/5,FALSE)</f>
        <v>0.015444</v>
      </c>
      <c r="F45" s="39">
        <f>HLOOKUP(F$19,CIE标准色度系统色匹配函数和色品坐标!$B$3:$I$84,($B45-370)/5,FALSE)</f>
        <v>0.53136</v>
      </c>
      <c r="G45" s="39">
        <f>HLOOKUP(G$19,CIE标准色度系统色匹配函数和色品坐标!$B$3:$I$84,($B45-370)/5,FALSE)</f>
        <v>0.159249</v>
      </c>
      <c r="H45" s="40"/>
      <c r="I45" s="41">
        <f>HLOOKUP(I$19,'CIE标准照明体A、B、C、D相对光谱功率分布—S(λ)'!$B$2:$E$83,(B45-370)/5,FALSE)</f>
        <v>108.6</v>
      </c>
      <c r="N45">
        <v>2</v>
      </c>
      <c r="O45">
        <v>14</v>
      </c>
      <c r="P45">
        <v>43</v>
      </c>
    </row>
    <row r="46" customHeight="1" spans="2:37">
      <c r="B46" s="42">
        <v>510</v>
      </c>
      <c r="C46" s="53">
        <v>0.73</v>
      </c>
      <c r="D46" s="40"/>
      <c r="E46" s="38">
        <f>HLOOKUP(E$19,CIE标准色度系统色匹配函数和色品坐标!$B$3:$I$84,($B46-370)/5,FALSE)</f>
        <v>0.037465</v>
      </c>
      <c r="F46" s="39">
        <f>HLOOKUP(F$19,CIE标准色度系统色匹配函数和色品坐标!$B$3:$I$84,($B46-370)/5,FALSE)</f>
        <v>0.606741</v>
      </c>
      <c r="G46" s="39">
        <f>HLOOKUP(G$19,CIE标准色度系统色匹配函数和色品坐标!$B$3:$I$84,($B46-370)/5,FALSE)</f>
        <v>0.112044</v>
      </c>
      <c r="H46" s="40"/>
      <c r="I46" s="41">
        <f>HLOOKUP(I$19,'CIE标准照明体A、B、C、D相对光谱功率分布—S(λ)'!$B$2:$E$83,(B46-370)/5,FALSE)</f>
        <v>107.8</v>
      </c>
      <c r="AG46" s="16" t="s">
        <v>209</v>
      </c>
      <c r="AH46" s="6" t="s">
        <v>25</v>
      </c>
      <c r="AI46">
        <v>0.430619</v>
      </c>
      <c r="AJ46">
        <v>0.3415419</v>
      </c>
      <c r="AK46">
        <v>0.1783091</v>
      </c>
    </row>
    <row r="47" customHeight="1" spans="2:37">
      <c r="B47" s="42">
        <v>515</v>
      </c>
      <c r="C47" s="53">
        <v>0.655</v>
      </c>
      <c r="D47" s="40"/>
      <c r="E47" s="38">
        <f>HLOOKUP(E$19,CIE标准色度系统色匹配函数和色品坐标!$B$3:$I$84,($B47-370)/5,FALSE)</f>
        <v>0.071358</v>
      </c>
      <c r="F47" s="39">
        <f>HLOOKUP(F$19,CIE标准色度系统色匹配函数和色品坐标!$B$3:$I$84,($B47-370)/5,FALSE)</f>
        <v>0.68566</v>
      </c>
      <c r="G47" s="39">
        <f>HLOOKUP(G$19,CIE标准色度系统色匹配函数和色品坐标!$B$3:$I$84,($B47-370)/5,FALSE)</f>
        <v>0.082248</v>
      </c>
      <c r="H47" s="40"/>
      <c r="I47" s="41">
        <f>HLOOKUP(I$19,'CIE标准照明体A、B、C、D相对光谱功率分布—S(λ)'!$B$2:$E$83,(B47-370)/5,FALSE)</f>
        <v>106.3</v>
      </c>
      <c r="N47" s="8" t="s">
        <v>210</v>
      </c>
      <c r="O47" s="8" t="s">
        <v>211</v>
      </c>
      <c r="P47" s="8" t="s">
        <v>212</v>
      </c>
      <c r="AA47" s="6" t="s">
        <v>213</v>
      </c>
      <c r="AB47">
        <v>0.5767309</v>
      </c>
      <c r="AC47">
        <v>0.185554</v>
      </c>
      <c r="AD47">
        <v>0.1881852</v>
      </c>
      <c r="AG47" s="16"/>
      <c r="AH47" s="6"/>
      <c r="AI47">
        <v>0.2220379</v>
      </c>
      <c r="AJ47">
        <v>0.7066384</v>
      </c>
      <c r="AK47">
        <v>0.0713236</v>
      </c>
    </row>
    <row r="48" customHeight="1" spans="2:37">
      <c r="B48" s="42">
        <v>520</v>
      </c>
      <c r="C48" s="53">
        <v>0.58</v>
      </c>
      <c r="D48" s="40"/>
      <c r="E48" s="38">
        <f>HLOOKUP(E$19,CIE标准色度系统色匹配函数和色品坐标!$B$3:$I$84,($B48-370)/5,FALSE)</f>
        <v>0.117749</v>
      </c>
      <c r="F48" s="39">
        <f>HLOOKUP(F$19,CIE标准色度系统色匹配函数和色品坐标!$B$3:$I$84,($B48-370)/5,FALSE)</f>
        <v>0.761757</v>
      </c>
      <c r="G48" s="39">
        <f>HLOOKUP(G$19,CIE标准色度系统色匹配函数和色品坐标!$B$3:$I$84,($B48-370)/5,FALSE)</f>
        <v>0.060709</v>
      </c>
      <c r="H48" s="40"/>
      <c r="I48" s="41">
        <f>HLOOKUP(I$19,'CIE标准照明体A、B、C、D相对光谱功率分布—S(λ)'!$B$2:$E$83,(B48-370)/5,FALSE)</f>
        <v>104.8</v>
      </c>
      <c r="N48" s="67">
        <f>N45/255</f>
        <v>0.00784313725490196</v>
      </c>
      <c r="O48" s="67">
        <f t="shared" ref="O48:P48" si="0">O45/255</f>
        <v>0.0549019607843137</v>
      </c>
      <c r="P48" s="67">
        <f t="shared" si="0"/>
        <v>0.168627450980392</v>
      </c>
      <c r="AA48" s="6"/>
      <c r="AB48">
        <v>0.2973769</v>
      </c>
      <c r="AC48">
        <v>0.6273491</v>
      </c>
      <c r="AD48">
        <v>0.0752741</v>
      </c>
      <c r="AG48" s="16"/>
      <c r="AH48" s="6"/>
      <c r="AI48">
        <v>0.0201853</v>
      </c>
      <c r="AJ48">
        <v>0.1295504</v>
      </c>
      <c r="AK48">
        <v>0.9390944</v>
      </c>
    </row>
    <row r="49" customHeight="1" spans="2:30">
      <c r="B49" s="42">
        <v>525</v>
      </c>
      <c r="C49" s="53">
        <v>0.51</v>
      </c>
      <c r="D49" s="40"/>
      <c r="E49" s="38">
        <f>HLOOKUP(E$19,CIE标准色度系统色匹配函数和色品坐标!$B$3:$I$84,($B49-370)/5,FALSE)</f>
        <v>0.172953</v>
      </c>
      <c r="F49" s="39">
        <f>HLOOKUP(F$19,CIE标准色度系统色匹配函数和色品坐标!$B$3:$I$84,($B49-370)/5,FALSE)</f>
        <v>0.82333</v>
      </c>
      <c r="G49" s="39">
        <f>HLOOKUP(G$19,CIE标准色度系统色匹配函数和色品坐标!$B$3:$I$84,($B49-370)/5,FALSE)</f>
        <v>0.04305</v>
      </c>
      <c r="H49" s="40"/>
      <c r="I49" s="41">
        <f>HLOOKUP(I$19,'CIE标准照明体A、B、C、D相对光谱功率分布—S(λ)'!$B$2:$E$83,(B49-370)/5,FALSE)</f>
        <v>106.2</v>
      </c>
      <c r="AA49" s="6"/>
      <c r="AB49">
        <v>0.0270343</v>
      </c>
      <c r="AC49">
        <v>0.0706872</v>
      </c>
      <c r="AD49">
        <v>0.9911085</v>
      </c>
    </row>
    <row r="50" customHeight="1" spans="2:37">
      <c r="B50" s="42">
        <v>530</v>
      </c>
      <c r="C50" s="53">
        <v>0.475</v>
      </c>
      <c r="D50" s="40"/>
      <c r="E50" s="38">
        <f>HLOOKUP(E$19,CIE标准色度系统色匹配函数和色品坐标!$B$3:$I$84,($B50-370)/5,FALSE)</f>
        <v>0.236491</v>
      </c>
      <c r="F50" s="39">
        <f>HLOOKUP(F$19,CIE标准色度系统色匹配函数和色品坐标!$B$3:$I$84,($B50-370)/5,FALSE)</f>
        <v>0.875211</v>
      </c>
      <c r="G50" s="39">
        <f>HLOOKUP(G$19,CIE标准色度系统色匹配函数和色品坐标!$B$3:$I$84,($B50-370)/5,FALSE)</f>
        <v>0.030451</v>
      </c>
      <c r="H50" s="40"/>
      <c r="I50" s="41">
        <f>HLOOKUP(I$19,'CIE标准照明体A、B、C、D相对光谱功率分布—S(λ)'!$B$2:$E$83,(B50-370)/5,FALSE)</f>
        <v>107.7</v>
      </c>
      <c r="N50" s="8" t="s">
        <v>214</v>
      </c>
      <c r="O50" s="8" t="s">
        <v>215</v>
      </c>
      <c r="P50" s="8" t="s">
        <v>216</v>
      </c>
      <c r="AG50" s="6" t="s">
        <v>217</v>
      </c>
      <c r="AH50" s="6" t="s">
        <v>25</v>
      </c>
      <c r="AI50">
        <v>0.4497288</v>
      </c>
      <c r="AJ50">
        <v>0.3162486</v>
      </c>
      <c r="AK50">
        <v>0.1844926</v>
      </c>
    </row>
    <row r="51" customHeight="1" spans="2:37">
      <c r="B51" s="42">
        <v>535</v>
      </c>
      <c r="C51" s="53">
        <v>0.445</v>
      </c>
      <c r="D51" s="40"/>
      <c r="E51" s="38">
        <f>HLOOKUP(E$19,CIE标准色度系统色匹配函数和色品坐标!$B$3:$I$84,($B51-370)/5,FALSE)</f>
        <v>0.304213</v>
      </c>
      <c r="F51" s="39">
        <f>HLOOKUP(F$19,CIE标准色度系统色匹配函数和色品坐标!$B$3:$I$84,($B51-370)/5,FALSE)</f>
        <v>0.92381</v>
      </c>
      <c r="G51" s="39">
        <f>HLOOKUP(G$19,CIE标准色度系统色匹配函数和色品坐标!$B$3:$I$84,($B51-370)/5,FALSE)</f>
        <v>0.020584</v>
      </c>
      <c r="H51" s="40"/>
      <c r="I51" s="41">
        <f>HLOOKUP(I$19,'CIE标准照明体A、B、C、D相对光谱功率分布—S(λ)'!$B$2:$E$83,(B51-370)/5,FALSE)</f>
        <v>106</v>
      </c>
      <c r="N51" s="67">
        <f>IF(N48&gt;0.04045,((N48+0.055)/1.055)^2.4,N48/12.92)</f>
        <v>0.000607053967097675</v>
      </c>
      <c r="O51" s="67">
        <f t="shared" ref="O51:P51" si="1">IF(O48&gt;0.04045,((O48+0.055)/1.055)^2.4,O48/12.92)</f>
        <v>0.00439144203741029</v>
      </c>
      <c r="P51" s="67">
        <f t="shared" si="1"/>
        <v>0.0241576324485048</v>
      </c>
      <c r="AG51" s="6"/>
      <c r="AH51" s="6"/>
      <c r="AI51">
        <v>0.2446525</v>
      </c>
      <c r="AJ51">
        <v>0.6720283</v>
      </c>
      <c r="AK51">
        <v>0.0833192</v>
      </c>
    </row>
    <row r="52" customHeight="1" spans="2:37">
      <c r="B52" s="42">
        <v>540</v>
      </c>
      <c r="C52" s="53">
        <v>0.385</v>
      </c>
      <c r="D52" s="40"/>
      <c r="E52" s="38">
        <f>HLOOKUP(E$19,CIE标准色度系统色匹配函数和色品坐标!$B$3:$I$84,($B52-370)/5,FALSE)</f>
        <v>0.376772</v>
      </c>
      <c r="F52" s="39">
        <f>HLOOKUP(F$19,CIE标准色度系统色匹配函数和色品坐标!$B$3:$I$84,($B52-370)/5,FALSE)</f>
        <v>0.961988</v>
      </c>
      <c r="G52" s="39">
        <f>HLOOKUP(G$19,CIE标准色度系统色匹配函数和色品坐标!$B$3:$I$84,($B52-370)/5,FALSE)</f>
        <v>0.013676</v>
      </c>
      <c r="H52" s="40"/>
      <c r="I52" s="41">
        <f>HLOOKUP(I$19,'CIE标准照明体A、B、C、D相对光谱功率分布—S(λ)'!$B$2:$E$83,(B52-370)/5,FALSE)</f>
        <v>104.4</v>
      </c>
      <c r="AG52" s="6"/>
      <c r="AH52" s="6"/>
      <c r="AI52">
        <v>0.0251848</v>
      </c>
      <c r="AJ52">
        <v>0.1411824</v>
      </c>
      <c r="AK52">
        <v>0.9224628</v>
      </c>
    </row>
    <row r="53" customHeight="1" spans="2:16">
      <c r="B53" s="42">
        <v>545</v>
      </c>
      <c r="C53" s="53">
        <v>0.385</v>
      </c>
      <c r="D53" s="40"/>
      <c r="E53" s="38">
        <f>HLOOKUP(E$19,CIE标准色度系统色匹配函数和色品坐标!$B$3:$I$84,($B53-370)/5,FALSE)</f>
        <v>0.451584</v>
      </c>
      <c r="F53" s="39">
        <f>HLOOKUP(F$19,CIE标准色度系统色匹配函数和色品坐标!$B$3:$I$84,($B53-370)/5,FALSE)</f>
        <v>0.9822</v>
      </c>
      <c r="G53" s="39">
        <f>HLOOKUP(G$19,CIE标准色度系统色匹配函数和色品坐标!$B$3:$I$84,($B53-370)/5,FALSE)</f>
        <v>0.007918</v>
      </c>
      <c r="H53" s="40"/>
      <c r="I53" s="41">
        <f>HLOOKUP(I$19,'CIE标准照明体A、B、C、D相对光谱功率分布—S(λ)'!$B$2:$E$83,(B53-370)/5,FALSE)</f>
        <v>104.2</v>
      </c>
      <c r="N53" s="8" t="s">
        <v>183</v>
      </c>
      <c r="O53" s="8" t="s">
        <v>10</v>
      </c>
      <c r="P53" s="8" t="s">
        <v>184</v>
      </c>
    </row>
    <row r="54" customHeight="1" spans="2:37">
      <c r="B54" s="42">
        <v>550</v>
      </c>
      <c r="C54" s="53">
        <v>0.34</v>
      </c>
      <c r="D54" s="40"/>
      <c r="E54" s="38">
        <f>HLOOKUP(E$19,CIE标准色度系统色匹配函数和色品坐标!$B$3:$I$84,($B54-370)/5,FALSE)</f>
        <v>0.529826</v>
      </c>
      <c r="F54" s="39">
        <f>HLOOKUP(F$19,CIE标准色度系统色匹配函数和色品坐标!$B$3:$I$84,($B54-370)/5,FALSE)</f>
        <v>0.991761</v>
      </c>
      <c r="G54" s="39">
        <f>HLOOKUP(G$19,CIE标准色度系统色匹配函数和色品坐标!$B$3:$I$84,($B54-370)/5,FALSE)</f>
        <v>0.003988</v>
      </c>
      <c r="H54" s="40"/>
      <c r="I54" s="41">
        <f>HLOOKUP(I$19,'CIE标准照明体A、B、C、D相对光谱功率分布—S(λ)'!$B$2:$E$83,(B54-370)/5,FALSE)</f>
        <v>104</v>
      </c>
      <c r="N54">
        <f>100*(AB47*N51+AC47*O51+AD47*P51)</f>
        <v>0.57110653104508</v>
      </c>
      <c r="O54">
        <f>100*(AB48*N51+AC48*O51+AD48*P51)</f>
        <v>0.475393507743171</v>
      </c>
      <c r="P54">
        <f>100*(AB49*N51+AC49*O51+AD49*P51)</f>
        <v>2.42696648802384</v>
      </c>
      <c r="AG54" s="6" t="s">
        <v>218</v>
      </c>
      <c r="AH54" s="6" t="s">
        <v>25</v>
      </c>
      <c r="AI54">
        <v>0.5767309</v>
      </c>
      <c r="AJ54">
        <v>0.185554</v>
      </c>
      <c r="AK54">
        <v>0.1881852</v>
      </c>
    </row>
    <row r="55" customHeight="1" spans="2:37">
      <c r="B55" s="42">
        <v>555</v>
      </c>
      <c r="C55" s="53">
        <v>0.31</v>
      </c>
      <c r="D55" s="40"/>
      <c r="E55" s="38">
        <f>HLOOKUP(E$19,CIE标准色度系统色匹配函数和色品坐标!$B$3:$I$84,($B55-370)/5,FALSE)</f>
        <v>0.616053</v>
      </c>
      <c r="F55" s="39">
        <f>HLOOKUP(F$19,CIE标准色度系统色匹配函数和色品坐标!$B$3:$I$84,($B55-370)/5,FALSE)</f>
        <v>0.99911</v>
      </c>
      <c r="G55" s="39">
        <f>HLOOKUP(G$19,CIE标准色度系统色匹配函数和色品坐标!$B$3:$I$84,($B55-370)/5,FALSE)</f>
        <v>0.001091</v>
      </c>
      <c r="H55" s="40"/>
      <c r="I55" s="41">
        <f>HLOOKUP(I$19,'CIE标准照明体A、B、C、D相对光谱功率分布—S(λ)'!$B$2:$E$83,(B55-370)/5,FALSE)</f>
        <v>102</v>
      </c>
      <c r="AG55" s="6"/>
      <c r="AH55" s="6"/>
      <c r="AI55">
        <v>0.2973769</v>
      </c>
      <c r="AJ55">
        <v>0.6273491</v>
      </c>
      <c r="AK55">
        <v>0.0752741</v>
      </c>
    </row>
    <row r="56" customHeight="1" spans="2:37">
      <c r="B56" s="42">
        <v>560</v>
      </c>
      <c r="C56" s="53">
        <v>0.295</v>
      </c>
      <c r="D56" s="40"/>
      <c r="E56" s="38">
        <f>HLOOKUP(E$19,CIE标准色度系统色匹配函数和色品坐标!$B$3:$I$84,($B56-370)/5,FALSE)</f>
        <v>0.705224</v>
      </c>
      <c r="F56" s="39">
        <f>HLOOKUP(F$19,CIE标准色度系统色匹配函数和色品坐标!$B$3:$I$84,($B56-370)/5,FALSE)</f>
        <v>0.99734</v>
      </c>
      <c r="G56" s="39">
        <f>HLOOKUP(G$19,CIE标准色度系统色匹配函数和色品坐标!$B$3:$I$84,($B56-370)/5,FALSE)</f>
        <v>0</v>
      </c>
      <c r="H56" s="40"/>
      <c r="I56" s="41">
        <f>HLOOKUP(I$19,'CIE标准照明体A、B、C、D相对光谱功率分布—S(λ)'!$B$2:$E$83,(B56-370)/5,FALSE)</f>
        <v>100</v>
      </c>
      <c r="AG56" s="6"/>
      <c r="AH56" s="6"/>
      <c r="AI56">
        <v>0.0270343</v>
      </c>
      <c r="AJ56">
        <v>0.0706872</v>
      </c>
      <c r="AK56">
        <v>0.9911085</v>
      </c>
    </row>
    <row r="57" customHeight="1" spans="2:34">
      <c r="B57" s="42">
        <v>565</v>
      </c>
      <c r="C57" s="53">
        <v>0.26</v>
      </c>
      <c r="D57" s="40"/>
      <c r="E57" s="38">
        <f>HLOOKUP(E$19,CIE标准色度系统色匹配函数和色品坐标!$B$3:$I$84,($B57-370)/5,FALSE)</f>
        <v>0.793832</v>
      </c>
      <c r="F57" s="39">
        <f>HLOOKUP(F$19,CIE标准色度系统色匹配函数和色品坐标!$B$3:$I$84,($B57-370)/5,FALSE)</f>
        <v>0.98238</v>
      </c>
      <c r="G57" s="39">
        <f>HLOOKUP(G$19,CIE标准色度系统色匹配函数和色品坐标!$B$3:$I$84,($B57-370)/5,FALSE)</f>
        <v>0</v>
      </c>
      <c r="H57" s="40"/>
      <c r="I57" s="41">
        <f>HLOOKUP(I$19,'CIE标准照明体A、B、C、D相对光谱功率分布—S(λ)'!$B$2:$E$83,(B57-370)/5,FALSE)</f>
        <v>98.2</v>
      </c>
      <c r="AG57" s="47"/>
      <c r="AH57" s="47"/>
    </row>
    <row r="58" customHeight="1" spans="2:37">
      <c r="B58" s="42">
        <v>570</v>
      </c>
      <c r="C58" s="53">
        <v>0.22</v>
      </c>
      <c r="D58" s="40"/>
      <c r="E58" s="38">
        <f>HLOOKUP(E$19,CIE标准色度系统色匹配函数和色品坐标!$B$3:$I$84,($B58-370)/5,FALSE)</f>
        <v>0.878655</v>
      </c>
      <c r="F58" s="39">
        <f>HLOOKUP(F$19,CIE标准色度系统色匹配函数和色品坐标!$B$3:$I$84,($B58-370)/5,FALSE)</f>
        <v>0.955552</v>
      </c>
      <c r="G58" s="39">
        <f>HLOOKUP(G$19,CIE标准色度系统色匹配函数和色品坐标!$B$3:$I$84,($B58-370)/5,FALSE)</f>
        <v>0</v>
      </c>
      <c r="H58" s="40"/>
      <c r="I58" s="41">
        <f>HLOOKUP(I$19,'CIE标准照明体A、B、C、D相对光谱功率分布—S(λ)'!$B$2:$E$83,(B58-370)/5,FALSE)</f>
        <v>96.3</v>
      </c>
      <c r="AG58" s="77" t="s">
        <v>219</v>
      </c>
      <c r="AH58" s="77" t="s">
        <v>220</v>
      </c>
      <c r="AI58">
        <v>0.488718</v>
      </c>
      <c r="AJ58">
        <v>0.3106803</v>
      </c>
      <c r="AK58">
        <v>0.2006017</v>
      </c>
    </row>
    <row r="59" customHeight="1" spans="2:37">
      <c r="B59" s="42">
        <v>575</v>
      </c>
      <c r="C59" s="53">
        <v>0.205</v>
      </c>
      <c r="D59" s="40"/>
      <c r="E59" s="38">
        <f>HLOOKUP(E$19,CIE标准色度系统色匹配函数和色品坐标!$B$3:$I$84,($B59-370)/5,FALSE)</f>
        <v>0.951162</v>
      </c>
      <c r="F59" s="39">
        <f>HLOOKUP(F$19,CIE标准色度系统色匹配函数和色品坐标!$B$3:$I$84,($B59-370)/5,FALSE)</f>
        <v>0.915175</v>
      </c>
      <c r="G59" s="39">
        <f>HLOOKUP(G$19,CIE标准色度系统色匹配函数和色品坐标!$B$3:$I$84,($B59-370)/5,FALSE)</f>
        <v>0</v>
      </c>
      <c r="H59" s="40"/>
      <c r="I59" s="41">
        <f>HLOOKUP(I$19,'CIE标准照明体A、B、C、D相对光谱功率分布—S(λ)'!$B$2:$E$83,(B59-370)/5,FALSE)</f>
        <v>96.1</v>
      </c>
      <c r="N59" s="8"/>
      <c r="O59" s="8"/>
      <c r="P59" s="8"/>
      <c r="AG59" s="78"/>
      <c r="AH59" s="78"/>
      <c r="AI59">
        <v>0.1762044</v>
      </c>
      <c r="AJ59">
        <v>0.8129847</v>
      </c>
      <c r="AK59">
        <v>0.0108109</v>
      </c>
    </row>
    <row r="60" customHeight="1" spans="2:37">
      <c r="B60" s="42">
        <v>580</v>
      </c>
      <c r="C60" s="53">
        <v>0.185</v>
      </c>
      <c r="D60" s="40"/>
      <c r="E60" s="38">
        <f>HLOOKUP(E$19,CIE标准色度系统色匹配函数和色品坐标!$B$3:$I$84,($B60-370)/5,FALSE)</f>
        <v>1.01416</v>
      </c>
      <c r="F60" s="39">
        <f>HLOOKUP(F$19,CIE标准色度系统色匹配函数和色品坐标!$B$3:$I$84,($B60-370)/5,FALSE)</f>
        <v>0.868934</v>
      </c>
      <c r="G60" s="39">
        <f>HLOOKUP(G$19,CIE标准色度系统色匹配函数和色品坐标!$B$3:$I$84,($B60-370)/5,FALSE)</f>
        <v>0</v>
      </c>
      <c r="H60" s="40"/>
      <c r="I60" s="41">
        <f>HLOOKUP(I$19,'CIE标准照明体A、B、C、D相对光谱功率分布—S(λ)'!$B$2:$E$83,(B60-370)/5,FALSE)</f>
        <v>95.8</v>
      </c>
      <c r="N60" s="68"/>
      <c r="O60" s="68"/>
      <c r="P60" s="68"/>
      <c r="AG60" s="79"/>
      <c r="AH60" s="79"/>
      <c r="AI60">
        <v>0</v>
      </c>
      <c r="AJ60">
        <v>0.0102048</v>
      </c>
      <c r="AK60">
        <v>0.9897952</v>
      </c>
    </row>
    <row r="61" customHeight="1" spans="2:9">
      <c r="B61" s="42">
        <v>585</v>
      </c>
      <c r="C61" s="53">
        <v>0.175</v>
      </c>
      <c r="D61" s="40"/>
      <c r="E61" s="38">
        <f>HLOOKUP(E$19,CIE标准色度系统色匹配函数和色品坐标!$B$3:$I$84,($B61-370)/5,FALSE)</f>
        <v>1.0743</v>
      </c>
      <c r="F61" s="39">
        <f>HLOOKUP(F$19,CIE标准色度系统色匹配函数和色品坐标!$B$3:$I$84,($B61-370)/5,FALSE)</f>
        <v>0.825623</v>
      </c>
      <c r="G61" s="39">
        <f>HLOOKUP(G$19,CIE标准色度系统色匹配函数和色品坐标!$B$3:$I$84,($B61-370)/5,FALSE)</f>
        <v>0</v>
      </c>
      <c r="H61" s="40"/>
      <c r="I61" s="41">
        <f>HLOOKUP(I$19,'CIE标准照明体A、B、C、D相对光谱功率分布—S(λ)'!$B$2:$E$83,(B61-370)/5,FALSE)</f>
        <v>92.2</v>
      </c>
    </row>
    <row r="62" customHeight="1" spans="2:37">
      <c r="B62" s="42">
        <v>590</v>
      </c>
      <c r="C62" s="53">
        <v>0.165</v>
      </c>
      <c r="D62" s="40"/>
      <c r="E62" s="38">
        <f>HLOOKUP(E$19,CIE标准色度系统色匹配函数和色品坐标!$B$3:$I$84,($B62-370)/5,FALSE)</f>
        <v>1.11852</v>
      </c>
      <c r="F62" s="39">
        <f>HLOOKUP(F$19,CIE标准色度系统色匹配函数和色品坐标!$B$3:$I$84,($B62-370)/5,FALSE)</f>
        <v>0.777405</v>
      </c>
      <c r="G62" s="39">
        <f>HLOOKUP(G$19,CIE标准色度系统色匹配函数和色品坐标!$B$3:$I$84,($B62-370)/5,FALSE)</f>
        <v>0</v>
      </c>
      <c r="H62" s="40"/>
      <c r="I62" s="41">
        <f>HLOOKUP(I$19,'CIE标准照明体A、B、C、D相对光谱功率分布—S(λ)'!$B$2:$E$83,(B62-370)/5,FALSE)</f>
        <v>88.7</v>
      </c>
      <c r="AG62" s="16" t="s">
        <v>221</v>
      </c>
      <c r="AH62" s="6" t="s">
        <v>25</v>
      </c>
      <c r="AI62">
        <v>0.3935891</v>
      </c>
      <c r="AJ62">
        <v>0.3652497</v>
      </c>
      <c r="AK62">
        <v>0.1916313</v>
      </c>
    </row>
    <row r="63" spans="2:37">
      <c r="B63" s="42">
        <v>595</v>
      </c>
      <c r="C63" s="53">
        <v>0.145</v>
      </c>
      <c r="D63" s="40"/>
      <c r="E63" s="38">
        <f>HLOOKUP(E$19,CIE标准色度系统色匹配函数和色品坐标!$B$3:$I$84,($B63-370)/5,FALSE)</f>
        <v>1.1343</v>
      </c>
      <c r="F63" s="39">
        <f>HLOOKUP(F$19,CIE标准色度系统色匹配函数和色品坐标!$B$3:$I$84,($B63-370)/5,FALSE)</f>
        <v>0.720353</v>
      </c>
      <c r="G63" s="39">
        <f>HLOOKUP(G$19,CIE标准色度系统色匹配函数和色品坐标!$B$3:$I$84,($B63-370)/5,FALSE)</f>
        <v>0</v>
      </c>
      <c r="H63" s="40"/>
      <c r="I63" s="41">
        <f>HLOOKUP(I$19,'CIE标准照明体A、B、C、D相对光谱功率分布—S(λ)'!$B$2:$E$83,(B63-370)/5,FALSE)</f>
        <v>89.3</v>
      </c>
      <c r="AG63" s="16"/>
      <c r="AH63" s="6"/>
      <c r="AI63">
        <v>0.2124132</v>
      </c>
      <c r="AJ63">
        <v>0.7010437</v>
      </c>
      <c r="AK63">
        <v>0.0865432</v>
      </c>
    </row>
    <row r="64" spans="2:37">
      <c r="B64" s="42">
        <v>600</v>
      </c>
      <c r="C64" s="53">
        <v>0.105</v>
      </c>
      <c r="D64" s="40"/>
      <c r="E64" s="38">
        <f>HLOOKUP(E$19,CIE标准色度系统色匹配函数和色品坐标!$B$3:$I$84,($B64-370)/5,FALSE)</f>
        <v>1.12399</v>
      </c>
      <c r="F64" s="39">
        <f>HLOOKUP(F$19,CIE标准色度系统色匹配函数和色品坐标!$B$3:$I$84,($B64-370)/5,FALSE)</f>
        <v>0.658341</v>
      </c>
      <c r="G64" s="39">
        <f>HLOOKUP(G$19,CIE标准色度系统色匹配函数和色品坐标!$B$3:$I$84,($B64-370)/5,FALSE)</f>
        <v>0</v>
      </c>
      <c r="H64" s="40"/>
      <c r="I64" s="41">
        <f>HLOOKUP(I$19,'CIE标准照明体A、B、C、D相对光谱功率分布—S(λ)'!$B$2:$E$83,(B64-370)/5,FALSE)</f>
        <v>90</v>
      </c>
      <c r="AG64" s="16"/>
      <c r="AH64" s="6"/>
      <c r="AI64">
        <v>0.0187423</v>
      </c>
      <c r="AJ64">
        <v>0.1119313</v>
      </c>
      <c r="AK64">
        <v>0.9581563</v>
      </c>
    </row>
    <row r="65" spans="2:9">
      <c r="B65" s="42">
        <v>605</v>
      </c>
      <c r="C65" s="53">
        <v>0.1</v>
      </c>
      <c r="D65" s="40"/>
      <c r="E65" s="38">
        <f>HLOOKUP(E$19,CIE标准色度系统色匹配函数和色品坐标!$B$3:$I$84,($B65-370)/5,FALSE)</f>
        <v>1.0891</v>
      </c>
      <c r="F65" s="39">
        <f>HLOOKUP(F$19,CIE标准色度系统色匹配函数和色品坐标!$B$3:$I$84,($B65-370)/5,FALSE)</f>
        <v>0.593878</v>
      </c>
      <c r="G65" s="39">
        <f>HLOOKUP(G$19,CIE标准色度系统色匹配函数和色品坐标!$B$3:$I$84,($B65-370)/5,FALSE)</f>
        <v>0</v>
      </c>
      <c r="H65" s="40"/>
      <c r="I65" s="41">
        <f>HLOOKUP(I$19,'CIE标准照明体A、B、C、D相对光谱功率分布—S(λ)'!$B$2:$E$83,(B65-370)/5,FALSE)</f>
        <v>89.8</v>
      </c>
    </row>
    <row r="66" spans="2:37">
      <c r="B66" s="42">
        <v>610</v>
      </c>
      <c r="C66" s="53">
        <v>0.09</v>
      </c>
      <c r="D66" s="40"/>
      <c r="E66" s="38">
        <f>HLOOKUP(E$19,CIE标准色度系统色匹配函数和色品坐标!$B$3:$I$84,($B66-370)/5,FALSE)</f>
        <v>1.03048</v>
      </c>
      <c r="F66" s="39">
        <f>HLOOKUP(F$19,CIE标准色度系统色匹配函数和色品坐标!$B$3:$I$84,($B66-370)/5,FALSE)</f>
        <v>0.527963</v>
      </c>
      <c r="G66" s="39">
        <f>HLOOKUP(G$19,CIE标准色度系统色匹配函数和色品坐标!$B$3:$I$84,($B66-370)/5,FALSE)</f>
        <v>0</v>
      </c>
      <c r="H66" s="40"/>
      <c r="I66" s="41">
        <f>HLOOKUP(I$19,'CIE标准照明体A、B、C、D相对光谱功率分布—S(λ)'!$B$2:$E$83,(B66-370)/5,FALSE)</f>
        <v>89.6</v>
      </c>
      <c r="AG66" s="16" t="s">
        <v>222</v>
      </c>
      <c r="AH66" s="6" t="s">
        <v>25</v>
      </c>
      <c r="AI66" s="76">
        <v>0.4674162</v>
      </c>
      <c r="AJ66">
        <v>0.2944512</v>
      </c>
      <c r="AK66">
        <v>0.1886026</v>
      </c>
    </row>
    <row r="67" spans="2:37">
      <c r="B67" s="42">
        <v>615</v>
      </c>
      <c r="C67" s="53">
        <v>0.07</v>
      </c>
      <c r="D67" s="40"/>
      <c r="E67" s="38">
        <f>HLOOKUP(E$19,CIE标准色度系统色匹配函数和色品坐标!$B$3:$I$84,($B67-370)/5,FALSE)</f>
        <v>0.95074</v>
      </c>
      <c r="F67" s="39">
        <f>HLOOKUP(F$19,CIE标准色度系统色匹配函数和色品坐标!$B$3:$I$84,($B67-370)/5,FALSE)</f>
        <v>0.461834</v>
      </c>
      <c r="G67" s="39">
        <f>HLOOKUP(G$19,CIE标准色度系统色匹配函数和色品坐标!$B$3:$I$84,($B67-370)/5,FALSE)</f>
        <v>0</v>
      </c>
      <c r="H67" s="40"/>
      <c r="I67" s="41">
        <f>HLOOKUP(I$19,'CIE标准照明体A、B、C、D相对光谱功率分布—S(λ)'!$B$2:$E$83,(B67-370)/5,FALSE)</f>
        <v>88.6</v>
      </c>
      <c r="AG67" s="16"/>
      <c r="AH67" s="6"/>
      <c r="AI67" s="76">
        <v>0.2410115</v>
      </c>
      <c r="AJ67">
        <v>0.6835475</v>
      </c>
      <c r="AK67">
        <v>0.075441</v>
      </c>
    </row>
    <row r="68" spans="2:37">
      <c r="B68" s="42">
        <v>620</v>
      </c>
      <c r="C68" s="53">
        <v>0.04</v>
      </c>
      <c r="D68" s="40"/>
      <c r="E68" s="38">
        <f>HLOOKUP(E$19,CIE标准色度系统色匹配函数和色品坐标!$B$3:$I$84,($B68-370)/5,FALSE)</f>
        <v>0.856297</v>
      </c>
      <c r="F68" s="39">
        <f>HLOOKUP(F$19,CIE标准色度系统色匹配函数和色品坐标!$B$3:$I$84,($B68-370)/5,FALSE)</f>
        <v>0.398057</v>
      </c>
      <c r="G68" s="39">
        <f>HLOOKUP(G$19,CIE标准色度系统色匹配函数和色品坐标!$B$3:$I$84,($B68-370)/5,FALSE)</f>
        <v>0</v>
      </c>
      <c r="H68" s="40"/>
      <c r="I68" s="41">
        <f>HLOOKUP(I$19,'CIE标准照明体A、B、C、D相对光谱功率分布—S(λ)'!$B$2:$E$83,(B68-370)/5,FALSE)</f>
        <v>87.7</v>
      </c>
      <c r="AG68" s="16"/>
      <c r="AH68" s="6"/>
      <c r="AI68" s="76">
        <v>0.0219101</v>
      </c>
      <c r="AJ68">
        <v>0.0736128</v>
      </c>
      <c r="AK68">
        <v>0.9933071</v>
      </c>
    </row>
    <row r="69" spans="2:16">
      <c r="B69" s="42">
        <v>625</v>
      </c>
      <c r="C69" s="53">
        <v>0.05</v>
      </c>
      <c r="D69" s="40"/>
      <c r="E69" s="38">
        <f>HLOOKUP(E$19,CIE标准色度系统色匹配函数和色品坐标!$B$3:$I$84,($B69-370)/5,FALSE)</f>
        <v>0.75493</v>
      </c>
      <c r="F69" s="39">
        <f>HLOOKUP(F$19,CIE标准色度系统色匹配函数和色品坐标!$B$3:$I$84,($B69-370)/5,FALSE)</f>
        <v>0.339554</v>
      </c>
      <c r="G69" s="39">
        <f>HLOOKUP(G$19,CIE标准色度系统色匹配函数和色品坐标!$B$3:$I$84,($B69-370)/5,FALSE)</f>
        <v>0</v>
      </c>
      <c r="H69" s="40"/>
      <c r="I69" s="41">
        <f>HLOOKUP(I$19,'CIE标准照明体A、B、C、D相对光谱功率分布—S(λ)'!$B$2:$E$83,(B69-370)/5,FALSE)</f>
        <v>85.5</v>
      </c>
      <c r="N69" s="44" t="s">
        <v>179</v>
      </c>
      <c r="O69" s="44" t="s">
        <v>180</v>
      </c>
      <c r="P69" s="44" t="s">
        <v>181</v>
      </c>
    </row>
    <row r="70" spans="2:16">
      <c r="B70" s="42">
        <v>630</v>
      </c>
      <c r="C70" s="53">
        <v>0.085</v>
      </c>
      <c r="D70" s="40"/>
      <c r="E70" s="38">
        <f>HLOOKUP(E$19,CIE标准色度系统色匹配函数和色品坐标!$B$3:$I$84,($B70-370)/5,FALSE)</f>
        <v>0.647467</v>
      </c>
      <c r="F70" s="39">
        <f>HLOOKUP(F$19,CIE标准色度系统色匹配函数和色品坐标!$B$3:$I$84,($B70-370)/5,FALSE)</f>
        <v>0.283493</v>
      </c>
      <c r="G70" s="39">
        <f>HLOOKUP(G$19,CIE标准色度系统色匹配函数和色品坐标!$B$3:$I$84,($B70-370)/5,FALSE)</f>
        <v>0</v>
      </c>
      <c r="H70" s="40"/>
      <c r="I70" s="41">
        <f>HLOOKUP(I$19,'CIE标准照明体A、B、C、D相对光谱功率分布—S(λ)'!$B$2:$E$83,(B70-370)/5,FALSE)</f>
        <v>83.3</v>
      </c>
      <c r="N70" s="45">
        <f>100*SUMPRODUCT(E20:E100,I20:I100)/SUMPRODUCT(F20:F100,I20:I100)</f>
        <v>94.8121141532067</v>
      </c>
      <c r="O70" s="45">
        <f>100*SUMPRODUCT(F20:F100,I20:I100)/SUMPRODUCT(F20:F100,I20:I100)</f>
        <v>100</v>
      </c>
      <c r="P70" s="45">
        <f>100*SUMPRODUCT(G20:G100,I20:I100)/SUMPRODUCT(F20:F100,I20:I100)</f>
        <v>107.336939932085</v>
      </c>
    </row>
    <row r="71" spans="2:9">
      <c r="B71" s="42">
        <v>635</v>
      </c>
      <c r="C71" s="53">
        <v>0.1</v>
      </c>
      <c r="D71" s="40"/>
      <c r="E71" s="38">
        <f>HLOOKUP(E$19,CIE标准色度系统色匹配函数和色品坐标!$B$3:$I$84,($B71-370)/5,FALSE)</f>
        <v>0.53511</v>
      </c>
      <c r="F71" s="39">
        <f>HLOOKUP(F$19,CIE标准色度系统色匹配函数和色品坐标!$B$3:$I$84,($B71-370)/5,FALSE)</f>
        <v>0.228254</v>
      </c>
      <c r="G71" s="39">
        <f>HLOOKUP(G$19,CIE标准色度系统色匹配函数和色品坐标!$B$3:$I$84,($B71-370)/5,FALSE)</f>
        <v>0</v>
      </c>
      <c r="H71" s="40"/>
      <c r="I71" s="41">
        <f>HLOOKUP(I$19,'CIE标准照明体A、B、C、D相对光谱功率分布—S(λ)'!$B$2:$E$83,(B71-370)/5,FALSE)</f>
        <v>83.5</v>
      </c>
    </row>
    <row r="72" spans="2:16">
      <c r="B72" s="42">
        <v>640</v>
      </c>
      <c r="C72" s="53">
        <v>0.165</v>
      </c>
      <c r="D72" s="40"/>
      <c r="E72" s="38">
        <f>HLOOKUP(E$19,CIE标准色度系统色匹配函数和色品坐标!$B$3:$I$84,($B72-370)/5,FALSE)</f>
        <v>0.431567</v>
      </c>
      <c r="F72" s="39">
        <f>HLOOKUP(F$19,CIE标准色度系统色匹配函数和色品坐标!$B$3:$I$84,($B72-370)/5,FALSE)</f>
        <v>0.179828</v>
      </c>
      <c r="G72" s="39">
        <f>HLOOKUP(G$19,CIE标准色度系统色匹配函数和色品坐标!$B$3:$I$84,($B72-370)/5,FALSE)</f>
        <v>0</v>
      </c>
      <c r="H72" s="40"/>
      <c r="I72" s="41">
        <f>HLOOKUP(I$19,'CIE标准照明体A、B、C、D相对光谱功率分布—S(λ)'!$B$2:$E$83,(B72-370)/5,FALSE)</f>
        <v>83.7</v>
      </c>
      <c r="N72" s="10" t="s">
        <v>183</v>
      </c>
      <c r="O72" s="10" t="s">
        <v>10</v>
      </c>
      <c r="P72" s="10" t="s">
        <v>184</v>
      </c>
    </row>
    <row r="73" spans="2:16">
      <c r="B73" s="42">
        <v>645</v>
      </c>
      <c r="C73" s="53">
        <v>0.175</v>
      </c>
      <c r="D73" s="40"/>
      <c r="E73" s="38">
        <f>HLOOKUP(E$19,CIE标准色度系统色匹配函数和色品坐标!$B$3:$I$84,($B73-370)/5,FALSE)</f>
        <v>0.34369</v>
      </c>
      <c r="F73" s="39">
        <f>HLOOKUP(F$19,CIE标准色度系统色匹配函数和色品坐标!$B$3:$I$84,($B73-370)/5,FALSE)</f>
        <v>0.140211</v>
      </c>
      <c r="G73" s="39">
        <f>HLOOKUP(G$19,CIE标准色度系统色匹配函数和色品坐标!$B$3:$I$84,($B73-370)/5,FALSE)</f>
        <v>0</v>
      </c>
      <c r="H73" s="40"/>
      <c r="I73" s="41">
        <f>HLOOKUP(I$19,'CIE标准照明体A、B、C、D相对光谱功率分布—S(λ)'!$B$2:$E$83,(B73-370)/5,FALSE)</f>
        <v>81.9</v>
      </c>
      <c r="N73" s="45">
        <f>N54</f>
        <v>0.57110653104508</v>
      </c>
      <c r="O73" s="45">
        <f>O54</f>
        <v>0.475393507743171</v>
      </c>
      <c r="P73" s="45">
        <f>P54</f>
        <v>2.42696648802384</v>
      </c>
    </row>
    <row r="74" spans="2:9">
      <c r="B74" s="42">
        <v>650</v>
      </c>
      <c r="C74" s="53">
        <v>0.18</v>
      </c>
      <c r="D74" s="40"/>
      <c r="E74" s="38">
        <f>HLOOKUP(E$19,CIE标准色度系统色匹配函数和色品坐标!$B$3:$I$84,($B74-370)/5,FALSE)</f>
        <v>0.268329</v>
      </c>
      <c r="F74" s="39">
        <f>HLOOKUP(F$19,CIE标准色度系统色匹配函数和色品坐标!$B$3:$I$84,($B74-370)/5,FALSE)</f>
        <v>0.107633</v>
      </c>
      <c r="G74" s="39">
        <f>HLOOKUP(G$19,CIE标准色度系统色匹配函数和色品坐标!$B$3:$I$84,($B74-370)/5,FALSE)</f>
        <v>0</v>
      </c>
      <c r="H74" s="40"/>
      <c r="I74" s="41">
        <f>HLOOKUP(I$19,'CIE标准照明体A、B、C、D相对光谱功率分布—S(λ)'!$B$2:$E$83,(B74-370)/5,FALSE)</f>
        <v>80</v>
      </c>
    </row>
    <row r="75" spans="2:9">
      <c r="B75" s="42">
        <v>655</v>
      </c>
      <c r="C75" s="53">
        <v>0.24</v>
      </c>
      <c r="D75" s="40"/>
      <c r="E75" s="38">
        <f>HLOOKUP(E$19,CIE标准色度系统色匹配函数和色品坐标!$B$3:$I$84,($B75-370)/5,FALSE)</f>
        <v>0.2043</v>
      </c>
      <c r="F75" s="39">
        <f>HLOOKUP(F$19,CIE标准色度系统色匹配函数和色品坐标!$B$3:$I$84,($B75-370)/5,FALSE)</f>
        <v>0.081187</v>
      </c>
      <c r="G75" s="39">
        <f>HLOOKUP(G$19,CIE标准色度系统色匹配函数和色品坐标!$B$3:$I$84,($B75-370)/5,FALSE)</f>
        <v>0</v>
      </c>
      <c r="H75" s="40"/>
      <c r="I75" s="41">
        <f>HLOOKUP(I$19,'CIE标准照明体A、B、C、D相对光谱功率分布—S(λ)'!$B$2:$E$83,(B75-370)/5,FALSE)</f>
        <v>80.1</v>
      </c>
    </row>
    <row r="76" spans="2:9">
      <c r="B76" s="42">
        <v>660</v>
      </c>
      <c r="C76" s="53">
        <v>0.295</v>
      </c>
      <c r="D76" s="40"/>
      <c r="E76" s="38">
        <f>HLOOKUP(E$19,CIE标准色度系统色匹配函数和色品坐标!$B$3:$I$84,($B76-370)/5,FALSE)</f>
        <v>0.152568</v>
      </c>
      <c r="F76" s="39">
        <f>HLOOKUP(F$19,CIE标准色度系统色匹配函数和色品坐标!$B$3:$I$84,($B76-370)/5,FALSE)</f>
        <v>0.060281</v>
      </c>
      <c r="G76" s="39">
        <f>HLOOKUP(G$19,CIE标准色度系统色匹配函数和色品坐标!$B$3:$I$84,($B76-370)/5,FALSE)</f>
        <v>0</v>
      </c>
      <c r="H76" s="40"/>
      <c r="I76" s="41">
        <f>HLOOKUP(I$19,'CIE标准照明体A、B、C、D相对光谱功率分布—S(λ)'!$B$2:$E$83,(B76-370)/5,FALSE)</f>
        <v>80.2</v>
      </c>
    </row>
    <row r="77" spans="2:16">
      <c r="B77" s="42">
        <v>665</v>
      </c>
      <c r="C77" s="53">
        <v>0.37</v>
      </c>
      <c r="D77" s="40"/>
      <c r="E77" s="38">
        <f>HLOOKUP(E$19,CIE标准色度系统色匹配函数和色品坐标!$B$3:$I$84,($B77-370)/5,FALSE)</f>
        <v>0.11221</v>
      </c>
      <c r="F77" s="39">
        <f>HLOOKUP(F$19,CIE标准色度系统色匹配函数和色品坐标!$B$3:$I$84,($B77-370)/5,FALSE)</f>
        <v>0.044096</v>
      </c>
      <c r="G77" s="39">
        <f>HLOOKUP(G$19,CIE标准色度系统色匹配函数和色品坐标!$B$3:$I$84,($B77-370)/5,FALSE)</f>
        <v>0</v>
      </c>
      <c r="H77" s="40"/>
      <c r="I77" s="41">
        <f>HLOOKUP(I$19,'CIE标准照明体A、B、C、D相对光谱功率分布—S(λ)'!$B$2:$E$83,(B77-370)/5,FALSE)</f>
        <v>81.2</v>
      </c>
      <c r="N77" s="9" t="s">
        <v>188</v>
      </c>
      <c r="O77" s="10" t="s">
        <v>189</v>
      </c>
      <c r="P77" s="10" t="s">
        <v>190</v>
      </c>
    </row>
    <row r="78" spans="2:16">
      <c r="B78" s="42">
        <v>670</v>
      </c>
      <c r="C78" s="53">
        <v>0.46</v>
      </c>
      <c r="D78" s="40"/>
      <c r="E78" s="38">
        <f>HLOOKUP(E$19,CIE标准色度系统色匹配函数和色品坐标!$B$3:$I$84,($B78-370)/5,FALSE)</f>
        <v>0.0812606</v>
      </c>
      <c r="F78" s="39">
        <f>HLOOKUP(F$19,CIE标准色度系统色匹配函数和色品坐标!$B$3:$I$84,($B78-370)/5,FALSE)</f>
        <v>0.0318004</v>
      </c>
      <c r="G78" s="39">
        <f>HLOOKUP(G$19,CIE标准色度系统色匹配函数和色品坐标!$B$3:$I$84,($B78-370)/5,FALSE)</f>
        <v>0</v>
      </c>
      <c r="H78" s="40"/>
      <c r="I78" s="41">
        <f>HLOOKUP(I$19,'CIE标准照明体A、B、C、D相对光谱功率分布—S(λ)'!$B$2:$E$83,(B78-370)/5,FALSE)</f>
        <v>82.3</v>
      </c>
      <c r="N78" s="12">
        <f>N73/N70</f>
        <v>0.00602356076695252</v>
      </c>
      <c r="O78" s="12">
        <f t="shared" ref="O78:P78" si="2">O73/O70</f>
        <v>0.00475393507743171</v>
      </c>
      <c r="P78" s="12">
        <f t="shared" si="2"/>
        <v>0.0226107292564837</v>
      </c>
    </row>
    <row r="79" spans="2:16">
      <c r="B79" s="42">
        <v>675</v>
      </c>
      <c r="C79" s="53">
        <v>0.54</v>
      </c>
      <c r="D79" s="40"/>
      <c r="E79" s="38">
        <f>HLOOKUP(E$19,CIE标准色度系统色匹配函数和色品坐标!$B$3:$I$84,($B79-370)/5,FALSE)</f>
        <v>0.05793</v>
      </c>
      <c r="F79" s="39">
        <f>HLOOKUP(F$19,CIE标准色度系统色匹配函数和色品坐标!$B$3:$I$84,($B79-370)/5,FALSE)</f>
        <v>0.0226017</v>
      </c>
      <c r="G79" s="39">
        <f>HLOOKUP(G$19,CIE标准色度系统色匹配函数和色品坐标!$B$3:$I$84,($B79-370)/5,FALSE)</f>
        <v>0</v>
      </c>
      <c r="H79" s="40"/>
      <c r="I79" s="41">
        <f>HLOOKUP(I$19,'CIE标准照明体A、B、C、D相对光谱功率分布—S(λ)'!$B$2:$E$83,(B79-370)/5,FALSE)</f>
        <v>80.3</v>
      </c>
      <c r="N79" s="9" t="s">
        <v>191</v>
      </c>
      <c r="O79" s="10" t="s">
        <v>192</v>
      </c>
      <c r="P79" s="10" t="s">
        <v>193</v>
      </c>
    </row>
    <row r="80" spans="2:16">
      <c r="B80" s="42">
        <v>680</v>
      </c>
      <c r="C80" s="53">
        <v>0.62</v>
      </c>
      <c r="D80" s="40"/>
      <c r="E80" s="38">
        <f>HLOOKUP(E$19,CIE标准色度系统色匹配函数和色品坐标!$B$3:$I$84,($B80-370)/5,FALSE)</f>
        <v>0.0408508</v>
      </c>
      <c r="F80" s="39">
        <f>HLOOKUP(F$19,CIE标准色度系统色匹配函数和色品坐标!$B$3:$I$84,($B80-370)/5,FALSE)</f>
        <v>0.0159051</v>
      </c>
      <c r="G80" s="39">
        <f>HLOOKUP(G$19,CIE标准色度系统色匹配函数和色品坐标!$B$3:$I$84,($B80-370)/5,FALSE)</f>
        <v>0</v>
      </c>
      <c r="H80" s="40"/>
      <c r="I80" s="41">
        <f>HLOOKUP(I$19,'CIE标准照明体A、B、C、D相对光谱功率分布—S(λ)'!$B$2:$E$83,(B80-370)/5,FALSE)</f>
        <v>78.3</v>
      </c>
      <c r="N80" s="12">
        <f>IF(N78&gt;0.008856,N78^(1/3),7.787*N78+16/116)</f>
        <v>0.184836502175018</v>
      </c>
      <c r="O80" s="12">
        <f>IF(O78&gt;0.008856,O78^(1/3),7.787*O78+16/116)</f>
        <v>0.174949926930719</v>
      </c>
      <c r="P80" s="12">
        <f>IF(P78&gt;0.008856,P78^(1/3),7.787*P78+16/116)</f>
        <v>0.282773163118053</v>
      </c>
    </row>
    <row r="81" spans="2:9">
      <c r="B81" s="42">
        <v>685</v>
      </c>
      <c r="C81" s="53">
        <v>0.72</v>
      </c>
      <c r="D81" s="40"/>
      <c r="E81" s="38">
        <f>HLOOKUP(E$19,CIE标准色度系统色匹配函数和色品坐标!$B$3:$I$84,($B81-370)/5,FALSE)</f>
        <v>0.028623</v>
      </c>
      <c r="F81" s="39">
        <f>HLOOKUP(F$19,CIE标准色度系统色匹配函数和色品坐标!$B$3:$I$84,($B81-370)/5,FALSE)</f>
        <v>0.0111303</v>
      </c>
      <c r="G81" s="39">
        <f>HLOOKUP(G$19,CIE标准色度系统色匹配函数和色品坐标!$B$3:$I$84,($B81-370)/5,FALSE)</f>
        <v>0</v>
      </c>
      <c r="H81" s="40"/>
      <c r="I81" s="41">
        <f>HLOOKUP(I$19,'CIE标准照明体A、B、C、D相对光谱功率分布—S(λ)'!$B$2:$E$83,(B81-370)/5,FALSE)</f>
        <v>74</v>
      </c>
    </row>
    <row r="82" spans="2:9">
      <c r="B82" s="42">
        <v>690</v>
      </c>
      <c r="C82" s="53">
        <v>0.88</v>
      </c>
      <c r="D82" s="40"/>
      <c r="E82" s="38">
        <f>HLOOKUP(E$19,CIE标准色度系统色匹配函数和色品坐标!$B$3:$I$84,($B82-370)/5,FALSE)</f>
        <v>0.0199413</v>
      </c>
      <c r="F82" s="39">
        <f>HLOOKUP(F$19,CIE标准色度系统色匹配函数和色品坐标!$B$3:$I$84,($B82-370)/5,FALSE)</f>
        <v>0.0077488</v>
      </c>
      <c r="G82" s="39">
        <f>HLOOKUP(G$19,CIE标准色度系统色匹配函数和色品坐标!$B$3:$I$84,($B82-370)/5,FALSE)</f>
        <v>0</v>
      </c>
      <c r="H82" s="40"/>
      <c r="I82" s="41">
        <f>HLOOKUP(I$19,'CIE标准照明体A、B、C、D相对光谱功率分布—S(λ)'!$B$2:$E$83,(B82-370)/5,FALSE)</f>
        <v>69.7</v>
      </c>
    </row>
    <row r="83" spans="2:16">
      <c r="B83" s="42">
        <v>695</v>
      </c>
      <c r="C83" s="53">
        <v>1.035</v>
      </c>
      <c r="D83" s="40"/>
      <c r="E83" s="38">
        <f>HLOOKUP(E$19,CIE标准色度系统色匹配函数和色品坐标!$B$3:$I$84,($B83-370)/5,FALSE)</f>
        <v>0.013842</v>
      </c>
      <c r="F83" s="39">
        <f>HLOOKUP(F$19,CIE标准色度系统色匹配函数和色品坐标!$B$3:$I$84,($B83-370)/5,FALSE)</f>
        <v>0.0053751</v>
      </c>
      <c r="G83" s="39">
        <f>HLOOKUP(G$19,CIE标准色度系统色匹配函数和色品坐标!$B$3:$I$84,($B83-370)/5,FALSE)</f>
        <v>0</v>
      </c>
      <c r="H83" s="40"/>
      <c r="I83" s="41">
        <f>HLOOKUP(I$19,'CIE标准照明体A、B、C、D相对光谱功率分布—S(λ)'!$B$2:$E$83,(B83-370)/5,FALSE)</f>
        <v>70.7</v>
      </c>
      <c r="N83" s="9" t="s">
        <v>27</v>
      </c>
      <c r="O83" s="9" t="s">
        <v>28</v>
      </c>
      <c r="P83" s="9" t="s">
        <v>29</v>
      </c>
    </row>
    <row r="84" spans="2:16">
      <c r="B84" s="42">
        <v>700</v>
      </c>
      <c r="C84" s="53">
        <v>1.18</v>
      </c>
      <c r="D84" s="40"/>
      <c r="E84" s="38">
        <f>HLOOKUP(E$19,CIE标准色度系统色匹配函数和色品坐标!$B$3:$I$84,($B84-370)/5,FALSE)</f>
        <v>0.00957688</v>
      </c>
      <c r="F84" s="39">
        <f>HLOOKUP(F$19,CIE标准色度系统色匹配函数和色品坐标!$B$3:$I$84,($B84-370)/5,FALSE)</f>
        <v>0.00371774</v>
      </c>
      <c r="G84" s="39">
        <f>HLOOKUP(G$19,CIE标准色度系统色匹配函数和色品坐标!$B$3:$I$84,($B84-370)/5,FALSE)</f>
        <v>0</v>
      </c>
      <c r="H84" s="40"/>
      <c r="I84" s="41">
        <f>HLOOKUP(I$19,'CIE标准照明体A、B、C、D相对光谱功率分布—S(λ)'!$B$2:$E$83,(B84-370)/5,FALSE)</f>
        <v>71.6</v>
      </c>
      <c r="N84" s="14">
        <f>IF(O78&gt;0.008856,116*O78^(1/3)-16,903.3*O78)</f>
        <v>4.29422955544407</v>
      </c>
      <c r="O84" s="14">
        <f>500*(N80-O80)</f>
        <v>4.94328762214928</v>
      </c>
      <c r="P84" s="14">
        <f>200*(O80-P80)</f>
        <v>-21.5646472374667</v>
      </c>
    </row>
    <row r="85" spans="2:9">
      <c r="B85" s="42">
        <v>705</v>
      </c>
      <c r="C85" s="53">
        <v>1.325</v>
      </c>
      <c r="D85" s="40"/>
      <c r="E85" s="38">
        <f>HLOOKUP(E$19,CIE标准色度系统色匹配函数和色品坐标!$B$3:$I$84,($B85-370)/5,FALSE)</f>
        <v>0.0066052</v>
      </c>
      <c r="F85" s="39">
        <f>HLOOKUP(F$19,CIE标准色度系统色匹配函数和色品坐标!$B$3:$I$84,($B85-370)/5,FALSE)</f>
        <v>0.00256456</v>
      </c>
      <c r="G85" s="39">
        <f>HLOOKUP(G$19,CIE标准色度系统色匹配函数和色品坐标!$B$3:$I$84,($B85-370)/5,FALSE)</f>
        <v>0</v>
      </c>
      <c r="H85" s="40"/>
      <c r="I85" s="41">
        <f>HLOOKUP(I$19,'CIE标准照明体A、B、C、D相对光谱功率分布—S(λ)'!$B$2:$E$83,(B85-370)/5,FALSE)</f>
        <v>73</v>
      </c>
    </row>
    <row r="86" spans="2:9">
      <c r="B86" s="42">
        <v>710</v>
      </c>
      <c r="C86" s="53">
        <v>1.46</v>
      </c>
      <c r="D86" s="40"/>
      <c r="E86" s="38">
        <f>HLOOKUP(E$19,CIE标准色度系统色匹配函数和色品坐标!$B$3:$I$84,($B86-370)/5,FALSE)</f>
        <v>0.00455263</v>
      </c>
      <c r="F86" s="39">
        <f>HLOOKUP(F$19,CIE标准色度系统色匹配函数和色品坐标!$B$3:$I$84,($B86-370)/5,FALSE)</f>
        <v>0.00176847</v>
      </c>
      <c r="G86" s="39">
        <f>HLOOKUP(G$19,CIE标准色度系统色匹配函数和色品坐标!$B$3:$I$84,($B86-370)/5,FALSE)</f>
        <v>0</v>
      </c>
      <c r="H86" s="40"/>
      <c r="I86" s="41">
        <f>HLOOKUP(I$19,'CIE标准照明体A、B、C、D相对光谱功率分布—S(λ)'!$B$2:$E$83,(B86-370)/5,FALSE)</f>
        <v>74.3</v>
      </c>
    </row>
    <row r="87" spans="2:9">
      <c r="B87" s="42">
        <v>715</v>
      </c>
      <c r="C87" s="53">
        <v>1.64</v>
      </c>
      <c r="D87" s="40"/>
      <c r="E87" s="38">
        <f>HLOOKUP(E$19,CIE标准色度系统色匹配函数和色品坐标!$B$3:$I$84,($B87-370)/5,FALSE)</f>
        <v>0.0031447</v>
      </c>
      <c r="F87" s="39">
        <f>HLOOKUP(F$19,CIE标准色度系统色匹配函数和色品坐标!$B$3:$I$84,($B87-370)/5,FALSE)</f>
        <v>0.00122239</v>
      </c>
      <c r="G87" s="39">
        <f>HLOOKUP(G$19,CIE标准色度系统色匹配函数和色品坐标!$B$3:$I$84,($B87-370)/5,FALSE)</f>
        <v>0</v>
      </c>
      <c r="H87" s="40"/>
      <c r="I87" s="41">
        <f>HLOOKUP(I$19,'CIE标准照明体A、B、C、D相对光谱功率分布—S(λ)'!$B$2:$E$83,(B87-370)/5,FALSE)</f>
        <v>68</v>
      </c>
    </row>
    <row r="88" spans="2:9">
      <c r="B88" s="42">
        <v>720</v>
      </c>
      <c r="C88" s="53">
        <v>1.82</v>
      </c>
      <c r="D88" s="40"/>
      <c r="E88" s="38">
        <f>HLOOKUP(E$19,CIE标准色度系统色匹配函数和色品坐标!$B$3:$I$84,($B88-370)/5,FALSE)</f>
        <v>0.00217496</v>
      </c>
      <c r="F88" s="39">
        <f>HLOOKUP(F$19,CIE标准色度系统色匹配函数和色品坐标!$B$3:$I$84,($B88-370)/5,FALSE)</f>
        <v>0.00084619</v>
      </c>
      <c r="G88" s="39">
        <f>HLOOKUP(G$19,CIE标准色度系统色匹配函数和色品坐标!$B$3:$I$84,($B88-370)/5,FALSE)</f>
        <v>0</v>
      </c>
      <c r="H88" s="40"/>
      <c r="I88" s="41">
        <f>HLOOKUP(I$19,'CIE标准照明体A、B、C、D相对光谱功率分布—S(λ)'!$B$2:$E$83,(B88-370)/5,FALSE)</f>
        <v>61.6</v>
      </c>
    </row>
    <row r="89" spans="2:9">
      <c r="B89" s="42">
        <v>725</v>
      </c>
      <c r="C89" s="53">
        <v>2</v>
      </c>
      <c r="D89" s="40"/>
      <c r="E89" s="38">
        <f>HLOOKUP(E$19,CIE标准色度系统色匹配函数和色品坐标!$B$3:$I$84,($B89-370)/5,FALSE)</f>
        <v>0.0015057</v>
      </c>
      <c r="F89" s="39">
        <f>HLOOKUP(F$19,CIE标准色度系统色匹配函数和色品坐标!$B$3:$I$84,($B89-370)/5,FALSE)</f>
        <v>0.00058644</v>
      </c>
      <c r="G89" s="39">
        <f>HLOOKUP(G$19,CIE标准色度系统色匹配函数和色品坐标!$B$3:$I$84,($B89-370)/5,FALSE)</f>
        <v>0</v>
      </c>
      <c r="H89" s="40"/>
      <c r="I89" s="41">
        <f>HLOOKUP(I$19,'CIE标准照明体A、B、C、D相对光谱功率分布—S(λ)'!$B$2:$E$83,(B89-370)/5,FALSE)</f>
        <v>65.7</v>
      </c>
    </row>
    <row r="90" spans="2:9">
      <c r="B90" s="42">
        <v>730</v>
      </c>
      <c r="C90" s="53">
        <v>2.185</v>
      </c>
      <c r="D90" s="40"/>
      <c r="E90" s="38">
        <f>HLOOKUP(E$19,CIE标准色度系统色匹配函数和色品坐标!$B$3:$I$84,($B90-370)/5,FALSE)</f>
        <v>0.00104476</v>
      </c>
      <c r="F90" s="39">
        <f>HLOOKUP(F$19,CIE标准色度系统色匹配函数和色品坐标!$B$3:$I$84,($B90-370)/5,FALSE)</f>
        <v>0.00040741</v>
      </c>
      <c r="G90" s="39">
        <f>HLOOKUP(G$19,CIE标准色度系统色匹配函数和色品坐标!$B$3:$I$84,($B90-370)/5,FALSE)</f>
        <v>0</v>
      </c>
      <c r="H90" s="40"/>
      <c r="I90" s="41">
        <f>HLOOKUP(I$19,'CIE标准照明体A、B、C、D相对光谱功率分布—S(λ)'!$B$2:$E$83,(B90-370)/5,FALSE)</f>
        <v>69.9</v>
      </c>
    </row>
    <row r="91" spans="2:9">
      <c r="B91" s="42">
        <v>735</v>
      </c>
      <c r="C91" s="53">
        <v>2.345</v>
      </c>
      <c r="D91" s="40"/>
      <c r="E91" s="38">
        <f>HLOOKUP(E$19,CIE标准色度系统色匹配函数和色品坐标!$B$3:$I$84,($B91-370)/5,FALSE)</f>
        <v>0.00072745</v>
      </c>
      <c r="F91" s="39">
        <f>HLOOKUP(F$19,CIE标准色度系统色匹配函数和色品坐标!$B$3:$I$84,($B91-370)/5,FALSE)</f>
        <v>0.000284041</v>
      </c>
      <c r="G91" s="39">
        <f>HLOOKUP(G$19,CIE标准色度系统色匹配函数和色品坐标!$B$3:$I$84,($B91-370)/5,FALSE)</f>
        <v>0</v>
      </c>
      <c r="H91" s="40"/>
      <c r="I91" s="41">
        <f>HLOOKUP(I$19,'CIE标准照明体A、B、C、D相对光谱功率分布—S(λ)'!$B$2:$E$83,(B91-370)/5,FALSE)</f>
        <v>72.5</v>
      </c>
    </row>
    <row r="92" spans="2:9">
      <c r="B92" s="42">
        <v>740</v>
      </c>
      <c r="C92" s="53">
        <v>2.565</v>
      </c>
      <c r="D92" s="40"/>
      <c r="E92" s="38">
        <f>HLOOKUP(E$19,CIE标准色度系统色匹配函数和色品坐标!$B$3:$I$84,($B92-370)/5,FALSE)</f>
        <v>0.000508258</v>
      </c>
      <c r="F92" s="39">
        <f>HLOOKUP(F$19,CIE标准色度系统色匹配函数和色品坐标!$B$3:$I$84,($B92-370)/5,FALSE)</f>
        <v>0.00019873</v>
      </c>
      <c r="G92" s="39">
        <f>HLOOKUP(G$19,CIE标准色度系统色匹配函数和色品坐标!$B$3:$I$84,($B92-370)/5,FALSE)</f>
        <v>0</v>
      </c>
      <c r="H92" s="40"/>
      <c r="I92" s="41">
        <f>HLOOKUP(I$19,'CIE标准照明体A、B、C、D相对光谱功率分布—S(λ)'!$B$2:$E$83,(B92-370)/5,FALSE)</f>
        <v>75.1</v>
      </c>
    </row>
    <row r="93" spans="2:9">
      <c r="B93" s="42">
        <v>745</v>
      </c>
      <c r="C93" s="53">
        <v>2.735</v>
      </c>
      <c r="D93" s="40"/>
      <c r="E93" s="38">
        <f>HLOOKUP(E$19,CIE标准色度系统色匹配函数和色品坐标!$B$3:$I$84,($B93-370)/5,FALSE)</f>
        <v>0.00035638</v>
      </c>
      <c r="F93" s="39">
        <f>HLOOKUP(F$19,CIE标准色度系统色匹配函数和色品坐标!$B$3:$I$84,($B93-370)/5,FALSE)</f>
        <v>0.00013955</v>
      </c>
      <c r="G93" s="39">
        <f>HLOOKUP(G$19,CIE标准色度系统色匹配函数和色品坐标!$B$3:$I$84,($B93-370)/5,FALSE)</f>
        <v>0</v>
      </c>
      <c r="H93" s="40"/>
      <c r="I93" s="41">
        <f>HLOOKUP(I$19,'CIE标准照明体A、B、C、D相对光谱功率分布—S(λ)'!$B$2:$E$83,(B93-370)/5,FALSE)</f>
        <v>69.3</v>
      </c>
    </row>
    <row r="94" spans="2:9">
      <c r="B94" s="42">
        <v>750</v>
      </c>
      <c r="C94" s="53">
        <v>2.915</v>
      </c>
      <c r="D94" s="40"/>
      <c r="E94" s="38">
        <f>HLOOKUP(E$19,CIE标准色度系统色匹配函数和色品坐标!$B$3:$I$84,($B94-370)/5,FALSE)</f>
        <v>0.000250969</v>
      </c>
      <c r="F94" s="39">
        <f>HLOOKUP(F$19,CIE标准色度系统色匹配函数和色品坐标!$B$3:$I$84,($B94-370)/5,FALSE)</f>
        <v>9.8428e-5</v>
      </c>
      <c r="G94" s="39">
        <f>HLOOKUP(G$19,CIE标准色度系统色匹配函数和色品坐标!$B$3:$I$84,($B94-370)/5,FALSE)</f>
        <v>0</v>
      </c>
      <c r="H94" s="40"/>
      <c r="I94" s="41">
        <f>HLOOKUP(I$19,'CIE标准照明体A、B、C、D相对光谱功率分布—S(λ)'!$B$2:$E$83,(B94-370)/5,FALSE)</f>
        <v>63.6</v>
      </c>
    </row>
    <row r="95" spans="2:9">
      <c r="B95" s="42">
        <v>755</v>
      </c>
      <c r="C95" s="53">
        <v>3.12</v>
      </c>
      <c r="D95" s="40"/>
      <c r="E95" s="38">
        <f>HLOOKUP(E$19,CIE标准色度系统色匹配函数和色品坐标!$B$3:$I$84,($B95-370)/5,FALSE)</f>
        <v>0.00017773</v>
      </c>
      <c r="F95" s="39">
        <f>HLOOKUP(F$19,CIE标准色度系统色匹配函数和色品坐标!$B$3:$I$84,($B95-370)/5,FALSE)</f>
        <v>6.9819e-5</v>
      </c>
      <c r="G95" s="39">
        <f>HLOOKUP(G$19,CIE标准色度系统色匹配函数和色品坐标!$B$3:$I$84,($B95-370)/5,FALSE)</f>
        <v>0</v>
      </c>
      <c r="H95" s="40"/>
      <c r="I95" s="41">
        <f>HLOOKUP(I$19,'CIE标准照明体A、B、C、D相对光谱功率分布—S(λ)'!$B$2:$E$83,(B95-370)/5,FALSE)</f>
        <v>55</v>
      </c>
    </row>
    <row r="96" spans="2:9">
      <c r="B96" s="42">
        <v>760</v>
      </c>
      <c r="C96" s="53">
        <v>3.325</v>
      </c>
      <c r="D96" s="40"/>
      <c r="E96" s="38">
        <f>HLOOKUP(E$19,CIE标准色度系统色匹配函数和色品坐标!$B$3:$I$84,($B96-370)/5,FALSE)</f>
        <v>0.00012639</v>
      </c>
      <c r="F96" s="39">
        <f>HLOOKUP(F$19,CIE标准色度系统色匹配函数和色品坐标!$B$3:$I$84,($B96-370)/5,FALSE)</f>
        <v>4.9737e-5</v>
      </c>
      <c r="G96" s="39">
        <f>HLOOKUP(G$19,CIE标准色度系统色匹配函数和色品坐标!$B$3:$I$84,($B96-370)/5,FALSE)</f>
        <v>0</v>
      </c>
      <c r="H96" s="40"/>
      <c r="I96" s="41">
        <f>HLOOKUP(I$19,'CIE标准照明体A、B、C、D相对光谱功率分布—S(λ)'!$B$2:$E$83,(B96-370)/5,FALSE)</f>
        <v>46.4</v>
      </c>
    </row>
    <row r="97" spans="2:9">
      <c r="B97" s="42">
        <v>765</v>
      </c>
      <c r="C97" s="53">
        <v>3.575</v>
      </c>
      <c r="D97" s="40"/>
      <c r="E97" s="38">
        <f>HLOOKUP(E$19,CIE标准色度系统色匹配函数和色品坐标!$B$3:$I$84,($B97-370)/5,FALSE)</f>
        <v>9.0151e-5</v>
      </c>
      <c r="F97" s="39">
        <f>HLOOKUP(F$19,CIE标准色度系统色匹配函数和色品坐标!$B$3:$I$84,($B97-370)/5,FALSE)</f>
        <v>3.55405e-5</v>
      </c>
      <c r="G97" s="39">
        <f>HLOOKUP(G$19,CIE标准色度系统色匹配函数和色品坐标!$B$3:$I$84,($B97-370)/5,FALSE)</f>
        <v>0</v>
      </c>
      <c r="H97" s="40"/>
      <c r="I97" s="41">
        <f>HLOOKUP(I$19,'CIE标准照明体A、B、C、D相对光谱功率分布—S(λ)'!$B$2:$E$83,(B97-370)/5,FALSE)</f>
        <v>56.6</v>
      </c>
    </row>
    <row r="98" spans="2:9">
      <c r="B98" s="42">
        <v>770</v>
      </c>
      <c r="C98" s="53">
        <v>3.855</v>
      </c>
      <c r="D98" s="40"/>
      <c r="E98" s="38">
        <f>HLOOKUP(E$19,CIE标准色度系统色匹配函数和色品坐标!$B$3:$I$84,($B98-370)/5,FALSE)</f>
        <v>6.45258e-5</v>
      </c>
      <c r="F98" s="39">
        <f>HLOOKUP(F$19,CIE标准色度系统色匹配函数和色品坐标!$B$3:$I$84,($B98-370)/5,FALSE)</f>
        <v>2.5486e-5</v>
      </c>
      <c r="G98" s="39">
        <f>HLOOKUP(G$19,CIE标准色度系统色匹配函数和色品坐标!$B$3:$I$84,($B98-370)/5,FALSE)</f>
        <v>0</v>
      </c>
      <c r="H98" s="40"/>
      <c r="I98" s="41">
        <f>HLOOKUP(I$19,'CIE标准照明体A、B、C、D相对光谱功率分布—S(λ)'!$B$2:$E$83,(B98-370)/5,FALSE)</f>
        <v>66.8</v>
      </c>
    </row>
    <row r="99" spans="2:9">
      <c r="B99" s="42">
        <v>775</v>
      </c>
      <c r="C99" s="53">
        <v>4.045</v>
      </c>
      <c r="D99" s="40"/>
      <c r="E99" s="38">
        <f>HLOOKUP(E$19,CIE标准色度系统色匹配函数和色品坐标!$B$3:$I$84,($B99-370)/5,FALSE)</f>
        <v>4.6339e-5</v>
      </c>
      <c r="F99" s="39">
        <f>HLOOKUP(F$19,CIE标准色度系统色匹配函数和色品坐标!$B$3:$I$84,($B99-370)/5,FALSE)</f>
        <v>1.83384e-5</v>
      </c>
      <c r="G99" s="39">
        <f>HLOOKUP(G$19,CIE标准色度系统色匹配函数和色品坐标!$B$3:$I$84,($B99-370)/5,FALSE)</f>
        <v>0</v>
      </c>
      <c r="H99" s="40"/>
      <c r="I99" s="41">
        <f>HLOOKUP(I$19,'CIE标准照明体A、B、C、D相对光谱功率分布—S(λ)'!$B$2:$E$83,(B99-370)/5,FALSE)</f>
        <v>65.1</v>
      </c>
    </row>
    <row r="100" ht="14.25" spans="2:9">
      <c r="B100" s="42">
        <v>780</v>
      </c>
      <c r="C100" s="53">
        <v>4.33</v>
      </c>
      <c r="D100" s="48"/>
      <c r="E100" s="38">
        <f>HLOOKUP(E$19,CIE标准色度系统色匹配函数和色品坐标!$B$3:$I$84,($B100-370)/5,FALSE)</f>
        <v>3.34117e-5</v>
      </c>
      <c r="F100" s="39">
        <f>HLOOKUP(F$19,CIE标准色度系统色匹配函数和色品坐标!$B$3:$I$84,($B100-370)/5,FALSE)</f>
        <v>1.3249e-5</v>
      </c>
      <c r="G100" s="39">
        <f>HLOOKUP(G$19,CIE标准色度系统色匹配函数和色品坐标!$B$3:$I$84,($B100-370)/5,FALSE)</f>
        <v>0</v>
      </c>
      <c r="H100" s="48"/>
      <c r="I100" s="41">
        <f>HLOOKUP(I$19,'CIE标准照明体A、B、C、D相对光谱功率分布—S(λ)'!$B$2:$E$83,(B100-370)/5,FALSE)</f>
        <v>63.4</v>
      </c>
    </row>
  </sheetData>
  <mergeCells count="34">
    <mergeCell ref="E17:G17"/>
    <mergeCell ref="E18:G18"/>
    <mergeCell ref="S40:T40"/>
    <mergeCell ref="S41:T41"/>
    <mergeCell ref="B17:B19"/>
    <mergeCell ref="C17:C19"/>
    <mergeCell ref="I17:I18"/>
    <mergeCell ref="L20:L27"/>
    <mergeCell ref="L34:L41"/>
    <mergeCell ref="M20:M21"/>
    <mergeCell ref="M23:M24"/>
    <mergeCell ref="M26:M27"/>
    <mergeCell ref="M29:M32"/>
    <mergeCell ref="M34:M41"/>
    <mergeCell ref="R20:R21"/>
    <mergeCell ref="R23:R24"/>
    <mergeCell ref="R26:R27"/>
    <mergeCell ref="R29:R32"/>
    <mergeCell ref="R34:R41"/>
    <mergeCell ref="AA47:AA49"/>
    <mergeCell ref="AG42:AG44"/>
    <mergeCell ref="AG46:AG48"/>
    <mergeCell ref="AG50:AG52"/>
    <mergeCell ref="AG54:AG56"/>
    <mergeCell ref="AG58:AG60"/>
    <mergeCell ref="AG62:AG64"/>
    <mergeCell ref="AG66:AG68"/>
    <mergeCell ref="AH42:AH44"/>
    <mergeCell ref="AH46:AH48"/>
    <mergeCell ref="AH50:AH52"/>
    <mergeCell ref="AH54:AH56"/>
    <mergeCell ref="AH58:AH60"/>
    <mergeCell ref="AH62:AH64"/>
    <mergeCell ref="AH66:AH68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M100"/>
  <sheetViews>
    <sheetView workbookViewId="0">
      <selection activeCell="K8" sqref="K8"/>
    </sheetView>
  </sheetViews>
  <sheetFormatPr defaultColWidth="9" defaultRowHeight="13.5"/>
  <cols>
    <col min="3" max="5" width="18.375" customWidth="1"/>
    <col min="6" max="6" width="4.75" customWidth="1"/>
    <col min="7" max="7" width="55.125" customWidth="1"/>
    <col min="9" max="9" width="13" customWidth="1"/>
    <col min="10" max="10" width="15.25" customWidth="1"/>
  </cols>
  <sheetData>
    <row r="3" ht="14.25" spans="3:7">
      <c r="C3" s="18" t="s">
        <v>43</v>
      </c>
      <c r="G3" s="19" t="s">
        <v>25</v>
      </c>
    </row>
    <row r="4" ht="14.25" spans="3:7">
      <c r="C4" s="18" t="s">
        <v>26</v>
      </c>
      <c r="G4" s="18" t="s">
        <v>159</v>
      </c>
    </row>
    <row r="5" ht="14.25" spans="7:7">
      <c r="G5" s="18" t="s">
        <v>160</v>
      </c>
    </row>
    <row r="6" ht="14.25" spans="7:7">
      <c r="G6" s="18" t="s">
        <v>161</v>
      </c>
    </row>
    <row r="16" ht="14.25"/>
    <row r="17" ht="20.25" spans="2:13">
      <c r="B17" s="20" t="s">
        <v>139</v>
      </c>
      <c r="C17" s="21" t="s">
        <v>176</v>
      </c>
      <c r="D17" s="22"/>
      <c r="E17" s="23"/>
      <c r="F17" s="24"/>
      <c r="G17" s="25" t="s">
        <v>157</v>
      </c>
      <c r="I17" s="43" t="s">
        <v>177</v>
      </c>
      <c r="J17" s="43" t="s">
        <v>178</v>
      </c>
      <c r="K17" s="44" t="s">
        <v>179</v>
      </c>
      <c r="L17" s="44" t="s">
        <v>180</v>
      </c>
      <c r="M17" s="44" t="s">
        <v>181</v>
      </c>
    </row>
    <row r="18" ht="20.25" spans="2:13">
      <c r="B18" s="26"/>
      <c r="C18" s="27" t="str">
        <f>膜厚记录及曲线对照表!N120</f>
        <v>/10</v>
      </c>
      <c r="D18" s="28"/>
      <c r="E18" s="29"/>
      <c r="F18" s="30"/>
      <c r="G18" s="31"/>
      <c r="I18" s="43"/>
      <c r="J18" s="43"/>
      <c r="K18" s="45">
        <f>100*SUMPRODUCT(C17:C97,G17:G97)/SUMPRODUCT(D17:D97,G17:G97)</f>
        <v>94.8118601514641</v>
      </c>
      <c r="L18" s="45">
        <f>100*SUMPRODUCT(D17:D97,G17:G97)/SUMPRODUCT(D17:D97,G17:G97)</f>
        <v>100</v>
      </c>
      <c r="M18" s="45">
        <f>100*SUMPRODUCT(E17:E97,G17:G97)/SUMPRODUCT(D17:D97,G17:G97)</f>
        <v>107.337112501548</v>
      </c>
    </row>
    <row r="19" ht="21" spans="2:11">
      <c r="B19" s="32"/>
      <c r="C19" s="33" t="str">
        <f>IF(C18="/10","X_bar","xbar")</f>
        <v>X_bar</v>
      </c>
      <c r="D19" s="34" t="str">
        <f>IF(C18="/10","Y_bar","ybar")</f>
        <v>Y_bar</v>
      </c>
      <c r="E19" s="35" t="str">
        <f>IF(C18="/10","Z_bar","zbar")</f>
        <v>Z_bar</v>
      </c>
      <c r="F19" s="30"/>
      <c r="G19" s="36" t="str">
        <f>膜厚记录及曲线对照表!M120</f>
        <v>D65</v>
      </c>
      <c r="I19" s="46"/>
      <c r="J19" s="47"/>
      <c r="K19" s="47"/>
    </row>
    <row r="20" spans="2:11">
      <c r="B20" s="37">
        <v>380</v>
      </c>
      <c r="C20" s="38">
        <f>HLOOKUP(C$19,CIE标准色度系统色匹配函数和色品坐标!$B$3:$I$84,($B20-370)/5,FALSE)</f>
        <v>0.000159952</v>
      </c>
      <c r="D20" s="39">
        <f>HLOOKUP(D$19,CIE标准色度系统色匹配函数和色品坐标!$B$3:$I$84,($B20-370)/5,FALSE)</f>
        <v>1.7364e-5</v>
      </c>
      <c r="E20" s="39">
        <f>HLOOKUP(E$19,CIE标准色度系统色匹配函数和色品坐标!$B$3:$I$84,($B20-370)/5,FALSE)</f>
        <v>0.000704776</v>
      </c>
      <c r="F20" s="40"/>
      <c r="G20" s="41">
        <f>HLOOKUP(G$19,'CIE标准照明体A、B、C、D相对光谱功率分布—S(λ)'!$B$2:$E$83,(B20-370)/5,FALSE)</f>
        <v>50</v>
      </c>
      <c r="I20" s="46"/>
      <c r="J20" s="47"/>
      <c r="K20" s="47"/>
    </row>
    <row r="21" spans="2:11">
      <c r="B21" s="42">
        <v>385</v>
      </c>
      <c r="C21" s="38">
        <f>HLOOKUP(C$19,CIE标准色度系统色匹配函数和色品坐标!$B$3:$I$84,($B21-370)/5,FALSE)</f>
        <v>0.00066244</v>
      </c>
      <c r="D21" s="39">
        <f>HLOOKUP(D$19,CIE标准色度系统色匹配函数和色品坐标!$B$3:$I$84,($B21-370)/5,FALSE)</f>
        <v>7.156e-5</v>
      </c>
      <c r="E21" s="39">
        <f>HLOOKUP(E$19,CIE标准色度系统色匹配函数和色品坐标!$B$3:$I$84,($B21-370)/5,FALSE)</f>
        <v>0.0029278</v>
      </c>
      <c r="F21" s="40"/>
      <c r="G21" s="41">
        <f>HLOOKUP(G$19,'CIE标准照明体A、B、C、D相对光谱功率分布—S(λ)'!$B$2:$E$83,(B21-370)/5,FALSE)</f>
        <v>52.3</v>
      </c>
      <c r="I21" s="46"/>
      <c r="J21" s="47"/>
      <c r="K21" s="47"/>
    </row>
    <row r="22" spans="2:11">
      <c r="B22" s="42">
        <v>390</v>
      </c>
      <c r="C22" s="38">
        <f>HLOOKUP(C$19,CIE标准色度系统色匹配函数和色品坐标!$B$3:$I$84,($B22-370)/5,FALSE)</f>
        <v>0.0023616</v>
      </c>
      <c r="D22" s="39">
        <f>HLOOKUP(D$19,CIE标准色度系统色匹配函数和色品坐标!$B$3:$I$84,($B22-370)/5,FALSE)</f>
        <v>0.0002534</v>
      </c>
      <c r="E22" s="39">
        <f>HLOOKUP(E$19,CIE标准色度系统色匹配函数和色品坐标!$B$3:$I$84,($B22-370)/5,FALSE)</f>
        <v>0.0104822</v>
      </c>
      <c r="F22" s="40"/>
      <c r="G22" s="41">
        <f>HLOOKUP(G$19,'CIE标准照明体A、B、C、D相对光谱功率分布—S(λ)'!$B$2:$E$83,(B22-370)/5,FALSE)</f>
        <v>54.6</v>
      </c>
      <c r="I22" s="46"/>
      <c r="J22" s="47"/>
      <c r="K22" s="47"/>
    </row>
    <row r="23" spans="2:11">
      <c r="B23" s="42">
        <v>395</v>
      </c>
      <c r="C23" s="38">
        <f>HLOOKUP(C$19,CIE标准色度系统色匹配函数和色品坐标!$B$3:$I$84,($B23-370)/5,FALSE)</f>
        <v>0.0072423</v>
      </c>
      <c r="D23" s="39">
        <f>HLOOKUP(D$19,CIE标准色度系统色匹配函数和色品坐标!$B$3:$I$84,($B23-370)/5,FALSE)</f>
        <v>0.0007685</v>
      </c>
      <c r="E23" s="39">
        <f>HLOOKUP(E$19,CIE标准色度系统色匹配函数和色品坐标!$B$3:$I$84,($B23-370)/5,FALSE)</f>
        <v>0.032344</v>
      </c>
      <c r="F23" s="40"/>
      <c r="G23" s="41">
        <f>HLOOKUP(G$19,'CIE标准照明体A、B、C、D相对光谱功率分布—S(λ)'!$B$2:$E$83,(B23-370)/5,FALSE)</f>
        <v>68.7</v>
      </c>
      <c r="I23" s="46"/>
      <c r="J23" s="47"/>
      <c r="K23" s="47"/>
    </row>
    <row r="24" spans="2:11">
      <c r="B24" s="42">
        <v>400</v>
      </c>
      <c r="C24" s="38">
        <f>HLOOKUP(C$19,CIE标准色度系统色匹配函数和色品坐标!$B$3:$I$84,($B24-370)/5,FALSE)</f>
        <v>0.0191097</v>
      </c>
      <c r="D24" s="39">
        <f>HLOOKUP(D$19,CIE标准色度系统色匹配函数和色品坐标!$B$3:$I$84,($B24-370)/5,FALSE)</f>
        <v>0.0020044</v>
      </c>
      <c r="E24" s="39">
        <f>HLOOKUP(E$19,CIE标准色度系统色匹配函数和色品坐标!$B$3:$I$84,($B24-370)/5,FALSE)</f>
        <v>0.0860109</v>
      </c>
      <c r="F24" s="40"/>
      <c r="G24" s="41">
        <f>HLOOKUP(G$19,'CIE标准照明体A、B、C、D相对光谱功率分布—S(λ)'!$B$2:$E$83,(B24-370)/5,FALSE)</f>
        <v>82.8</v>
      </c>
      <c r="I24" s="46"/>
      <c r="J24" s="47"/>
      <c r="K24" s="47"/>
    </row>
    <row r="25" spans="2:11">
      <c r="B25" s="42">
        <v>405</v>
      </c>
      <c r="C25" s="38">
        <f>HLOOKUP(C$19,CIE标准色度系统色匹配函数和色品坐标!$B$3:$I$84,($B25-370)/5,FALSE)</f>
        <v>0.0434</v>
      </c>
      <c r="D25" s="39">
        <f>HLOOKUP(D$19,CIE标准色度系统色匹配函数和色品坐标!$B$3:$I$84,($B25-370)/5,FALSE)</f>
        <v>0.004509</v>
      </c>
      <c r="E25" s="39">
        <f>HLOOKUP(E$19,CIE标准色度系统色匹配函数和色品坐标!$B$3:$I$84,($B25-370)/5,FALSE)</f>
        <v>0.19712</v>
      </c>
      <c r="F25" s="40"/>
      <c r="G25" s="41">
        <f>HLOOKUP(G$19,'CIE标准照明体A、B、C、D相对光谱功率分布—S(λ)'!$B$2:$E$83,(B25-370)/5,FALSE)</f>
        <v>87.1</v>
      </c>
      <c r="I25" s="47"/>
      <c r="J25" s="47"/>
      <c r="K25" s="47"/>
    </row>
    <row r="26" spans="2:7">
      <c r="B26" s="42">
        <v>410</v>
      </c>
      <c r="C26" s="38">
        <f>HLOOKUP(C$19,CIE标准色度系统色匹配函数和色品坐标!$B$3:$I$84,($B26-370)/5,FALSE)</f>
        <v>0.084736</v>
      </c>
      <c r="D26" s="39">
        <f>HLOOKUP(D$19,CIE标准色度系统色匹配函数和色品坐标!$B$3:$I$84,($B26-370)/5,FALSE)</f>
        <v>0.008756</v>
      </c>
      <c r="E26" s="39">
        <f>HLOOKUP(E$19,CIE标准色度系统色匹配函数和色品坐标!$B$3:$I$84,($B26-370)/5,FALSE)</f>
        <v>0.389366</v>
      </c>
      <c r="F26" s="40"/>
      <c r="G26" s="41">
        <f>HLOOKUP(G$19,'CIE标准照明体A、B、C、D相对光谱功率分布—S(λ)'!$B$2:$E$83,(B26-370)/5,FALSE)</f>
        <v>91.5</v>
      </c>
    </row>
    <row r="27" spans="2:7">
      <c r="B27" s="42">
        <v>415</v>
      </c>
      <c r="C27" s="38">
        <f>HLOOKUP(C$19,CIE标准色度系统色匹配函数和色品坐标!$B$3:$I$84,($B27-370)/5,FALSE)</f>
        <v>0.140638</v>
      </c>
      <c r="D27" s="39">
        <f>HLOOKUP(D$19,CIE标准色度系统色匹配函数和色品坐标!$B$3:$I$84,($B27-370)/5,FALSE)</f>
        <v>0.014456</v>
      </c>
      <c r="E27" s="39">
        <f>HLOOKUP(E$19,CIE标准色度系统色匹配函数和色品坐标!$B$3:$I$84,($B27-370)/5,FALSE)</f>
        <v>0.65676</v>
      </c>
      <c r="F27" s="40"/>
      <c r="G27" s="41">
        <f>HLOOKUP(G$19,'CIE标准照明体A、B、C、D相对光谱功率分布—S(λ)'!$B$2:$E$83,(B27-370)/5,FALSE)</f>
        <v>92.5</v>
      </c>
    </row>
    <row r="28" spans="2:7">
      <c r="B28" s="42">
        <v>420</v>
      </c>
      <c r="C28" s="38">
        <f>HLOOKUP(C$19,CIE标准色度系统色匹配函数和色品坐标!$B$3:$I$84,($B28-370)/5,FALSE)</f>
        <v>0.204492</v>
      </c>
      <c r="D28" s="39">
        <f>HLOOKUP(D$19,CIE标准色度系统色匹配函数和色品坐标!$B$3:$I$84,($B28-370)/5,FALSE)</f>
        <v>0.021391</v>
      </c>
      <c r="E28" s="39">
        <f>HLOOKUP(E$19,CIE标准色度系统色匹配函数和色品坐标!$B$3:$I$84,($B28-370)/5,FALSE)</f>
        <v>0.972542</v>
      </c>
      <c r="F28" s="40"/>
      <c r="G28" s="41">
        <f>HLOOKUP(G$19,'CIE标准照明体A、B、C、D相对光谱功率分布—S(λ)'!$B$2:$E$83,(B28-370)/5,FALSE)</f>
        <v>93.4</v>
      </c>
    </row>
    <row r="29" spans="2:7">
      <c r="B29" s="42">
        <v>425</v>
      </c>
      <c r="C29" s="38">
        <f>HLOOKUP(C$19,CIE标准色度系统色匹配函数和色品坐标!$B$3:$I$84,($B29-370)/5,FALSE)</f>
        <v>0.264737</v>
      </c>
      <c r="D29" s="39">
        <f>HLOOKUP(D$19,CIE标准色度系统色匹配函数和色品坐标!$B$3:$I$84,($B29-370)/5,FALSE)</f>
        <v>0.029497</v>
      </c>
      <c r="E29" s="39">
        <f>HLOOKUP(E$19,CIE标准色度系统色匹配函数和色品坐标!$B$3:$I$84,($B29-370)/5,FALSE)</f>
        <v>1.2825</v>
      </c>
      <c r="F29" s="40"/>
      <c r="G29" s="41">
        <f>HLOOKUP(G$19,'CIE标准照明体A、B、C、D相对光谱功率分布—S(λ)'!$B$2:$E$83,(B29-370)/5,FALSE)</f>
        <v>90.1</v>
      </c>
    </row>
    <row r="30" spans="2:7">
      <c r="B30" s="42">
        <v>430</v>
      </c>
      <c r="C30" s="38">
        <f>HLOOKUP(C$19,CIE标准色度系统色匹配函数和色品坐标!$B$3:$I$84,($B30-370)/5,FALSE)</f>
        <v>0.314679</v>
      </c>
      <c r="D30" s="39">
        <f>HLOOKUP(D$19,CIE标准色度系统色匹配函数和色品坐标!$B$3:$I$84,($B30-370)/5,FALSE)</f>
        <v>0.038676</v>
      </c>
      <c r="E30" s="39">
        <f>HLOOKUP(E$19,CIE标准色度系统色匹配函数和色品坐标!$B$3:$I$84,($B30-370)/5,FALSE)</f>
        <v>1.55348</v>
      </c>
      <c r="F30" s="40"/>
      <c r="G30" s="41">
        <f>HLOOKUP(G$19,'CIE标准照明体A、B、C、D相对光谱功率分布—S(λ)'!$B$2:$E$83,(B30-370)/5,FALSE)</f>
        <v>86.7</v>
      </c>
    </row>
    <row r="31" spans="2:7">
      <c r="B31" s="42">
        <v>435</v>
      </c>
      <c r="C31" s="38">
        <f>HLOOKUP(C$19,CIE标准色度系统色匹配函数和色品坐标!$B$3:$I$84,($B31-370)/5,FALSE)</f>
        <v>0.357719</v>
      </c>
      <c r="D31" s="39">
        <f>HLOOKUP(D$19,CIE标准色度系统色匹配函数和色品坐标!$B$3:$I$84,($B31-370)/5,FALSE)</f>
        <v>0.049602</v>
      </c>
      <c r="E31" s="39">
        <f>HLOOKUP(E$19,CIE标准色度系统色匹配函数和色品坐标!$B$3:$I$84,($B31-370)/5,FALSE)</f>
        <v>1.7985</v>
      </c>
      <c r="F31" s="40"/>
      <c r="G31" s="41">
        <f>HLOOKUP(G$19,'CIE标准照明体A、B、C、D相对光谱功率分布—S(λ)'!$B$2:$E$83,(B31-370)/5,FALSE)</f>
        <v>95.8</v>
      </c>
    </row>
    <row r="32" spans="2:7">
      <c r="B32" s="42">
        <v>440</v>
      </c>
      <c r="C32" s="38">
        <f>HLOOKUP(C$19,CIE标准色度系统色匹配函数和色品坐标!$B$3:$I$84,($B32-370)/5,FALSE)</f>
        <v>0.383734</v>
      </c>
      <c r="D32" s="39">
        <f>HLOOKUP(D$19,CIE标准色度系统色匹配函数和色品坐标!$B$3:$I$84,($B32-370)/5,FALSE)</f>
        <v>0.062077</v>
      </c>
      <c r="E32" s="39">
        <f>HLOOKUP(E$19,CIE标准色度系统色匹配函数和色品坐标!$B$3:$I$84,($B32-370)/5,FALSE)</f>
        <v>1.96728</v>
      </c>
      <c r="F32" s="40"/>
      <c r="G32" s="41">
        <f>HLOOKUP(G$19,'CIE标准照明体A、B、C、D相对光谱功率分布—S(λ)'!$B$2:$E$83,(B32-370)/5,FALSE)</f>
        <v>104.9</v>
      </c>
    </row>
    <row r="33" spans="2:7">
      <c r="B33" s="42">
        <v>445</v>
      </c>
      <c r="C33" s="38">
        <f>HLOOKUP(C$19,CIE标准色度系统色匹配函数和色品坐标!$B$3:$I$84,($B33-370)/5,FALSE)</f>
        <v>0.386726</v>
      </c>
      <c r="D33" s="39">
        <f>HLOOKUP(D$19,CIE标准色度系统色匹配函数和色品坐标!$B$3:$I$84,($B33-370)/5,FALSE)</f>
        <v>0.074704</v>
      </c>
      <c r="E33" s="39">
        <f>HLOOKUP(E$19,CIE标准色度系统色匹配函数和色品坐标!$B$3:$I$84,($B33-370)/5,FALSE)</f>
        <v>2.0273</v>
      </c>
      <c r="F33" s="40"/>
      <c r="G33" s="41">
        <f>HLOOKUP(G$19,'CIE标准照明体A、B、C、D相对光谱功率分布—S(λ)'!$B$2:$E$83,(B33-370)/5,FALSE)</f>
        <v>110.9</v>
      </c>
    </row>
    <row r="34" spans="2:7">
      <c r="B34" s="42">
        <v>450</v>
      </c>
      <c r="C34" s="38">
        <f>HLOOKUP(C$19,CIE标准色度系统色匹配函数和色品坐标!$B$3:$I$84,($B34-370)/5,FALSE)</f>
        <v>0.370702</v>
      </c>
      <c r="D34" s="39">
        <f>HLOOKUP(D$19,CIE标准色度系统色匹配函数和色品坐标!$B$3:$I$84,($B34-370)/5,FALSE)</f>
        <v>0.089456</v>
      </c>
      <c r="E34" s="39">
        <f>HLOOKUP(E$19,CIE标准色度系统色匹配函数和色品坐标!$B$3:$I$84,($B34-370)/5,FALSE)</f>
        <v>1.9948</v>
      </c>
      <c r="F34" s="40"/>
      <c r="G34" s="41">
        <f>HLOOKUP(G$19,'CIE标准照明体A、B、C、D相对光谱功率分布—S(λ)'!$B$2:$E$83,(B34-370)/5,FALSE)</f>
        <v>117</v>
      </c>
    </row>
    <row r="35" spans="2:7">
      <c r="B35" s="42">
        <v>455</v>
      </c>
      <c r="C35" s="38">
        <f>HLOOKUP(C$19,CIE标准色度系统色匹配函数和色品坐标!$B$3:$I$84,($B35-370)/5,FALSE)</f>
        <v>0.342957</v>
      </c>
      <c r="D35" s="39">
        <f>HLOOKUP(D$19,CIE标准色度系统色匹配函数和色品坐标!$B$3:$I$84,($B35-370)/5,FALSE)</f>
        <v>0.106256</v>
      </c>
      <c r="E35" s="39">
        <f>HLOOKUP(E$19,CIE标准色度系统色匹配函数和色品坐标!$B$3:$I$84,($B35-370)/5,FALSE)</f>
        <v>1.9007</v>
      </c>
      <c r="F35" s="40"/>
      <c r="G35" s="41">
        <f>HLOOKUP(G$19,'CIE标准照明体A、B、C、D相对光谱功率分布—S(λ)'!$B$2:$E$83,(B35-370)/5,FALSE)</f>
        <v>117.4</v>
      </c>
    </row>
    <row r="36" spans="2:7">
      <c r="B36" s="42">
        <v>460</v>
      </c>
      <c r="C36" s="38">
        <f>HLOOKUP(C$19,CIE标准色度系统色匹配函数和色品坐标!$B$3:$I$84,($B36-370)/5,FALSE)</f>
        <v>0.302273</v>
      </c>
      <c r="D36" s="39">
        <f>HLOOKUP(D$19,CIE标准色度系统色匹配函数和色品坐标!$B$3:$I$84,($B36-370)/5,FALSE)</f>
        <v>0.128201</v>
      </c>
      <c r="E36" s="39">
        <f>HLOOKUP(E$19,CIE标准色度系统色匹配函数和色品坐标!$B$3:$I$84,($B36-370)/5,FALSE)</f>
        <v>1.74537</v>
      </c>
      <c r="F36" s="40"/>
      <c r="G36" s="41">
        <f>HLOOKUP(G$19,'CIE标准照明体A、B、C、D相对光谱功率分布—S(λ)'!$B$2:$E$83,(B36-370)/5,FALSE)</f>
        <v>117.8</v>
      </c>
    </row>
    <row r="37" spans="2:7">
      <c r="B37" s="42">
        <v>465</v>
      </c>
      <c r="C37" s="38">
        <f>HLOOKUP(C$19,CIE标准色度系统色匹配函数和色品坐标!$B$3:$I$84,($B37-370)/5,FALSE)</f>
        <v>0.254085</v>
      </c>
      <c r="D37" s="39">
        <f>HLOOKUP(D$19,CIE标准色度系统色匹配函数和色品坐标!$B$3:$I$84,($B37-370)/5,FALSE)</f>
        <v>0.152761</v>
      </c>
      <c r="E37" s="39">
        <f>HLOOKUP(E$19,CIE标准色度系统色匹配函数和色品坐标!$B$3:$I$84,($B37-370)/5,FALSE)</f>
        <v>1.5549</v>
      </c>
      <c r="F37" s="40"/>
      <c r="G37" s="41">
        <f>HLOOKUP(G$19,'CIE标准照明体A、B、C、D相对光谱功率分布—S(λ)'!$B$2:$E$83,(B37-370)/5,FALSE)</f>
        <v>116.3</v>
      </c>
    </row>
    <row r="38" spans="2:7">
      <c r="B38" s="42">
        <v>470</v>
      </c>
      <c r="C38" s="38">
        <f>HLOOKUP(C$19,CIE标准色度系统色匹配函数和色品坐标!$B$3:$I$84,($B38-370)/5,FALSE)</f>
        <v>0.195618</v>
      </c>
      <c r="D38" s="39">
        <f>HLOOKUP(D$19,CIE标准色度系统色匹配函数和色品坐标!$B$3:$I$84,($B38-370)/5,FALSE)</f>
        <v>0.18519</v>
      </c>
      <c r="E38" s="39">
        <f>HLOOKUP(E$19,CIE标准色度系统色匹配函数和色品坐标!$B$3:$I$84,($B38-370)/5,FALSE)</f>
        <v>1.31756</v>
      </c>
      <c r="F38" s="40"/>
      <c r="G38" s="41">
        <f>HLOOKUP(G$19,'CIE标准照明体A、B、C、D相对光谱功率分布—S(λ)'!$B$2:$E$83,(B38-370)/5,FALSE)</f>
        <v>114.9</v>
      </c>
    </row>
    <row r="39" spans="2:7">
      <c r="B39" s="42">
        <v>475</v>
      </c>
      <c r="C39" s="38">
        <f>HLOOKUP(C$19,CIE标准色度系统色匹配函数和色品坐标!$B$3:$I$84,($B39-370)/5,FALSE)</f>
        <v>0.132349</v>
      </c>
      <c r="D39" s="39">
        <f>HLOOKUP(D$19,CIE标准色度系统色匹配函数和色品坐标!$B$3:$I$84,($B39-370)/5,FALSE)</f>
        <v>0.21994</v>
      </c>
      <c r="E39" s="39">
        <f>HLOOKUP(E$19,CIE标准色度系统色匹配函数和色品坐标!$B$3:$I$84,($B39-370)/5,FALSE)</f>
        <v>1.0302</v>
      </c>
      <c r="F39" s="40"/>
      <c r="G39" s="41">
        <f>HLOOKUP(G$19,'CIE标准照明体A、B、C、D相对光谱功率分布—S(λ)'!$B$2:$E$83,(B39-370)/5,FALSE)</f>
        <v>115.4</v>
      </c>
    </row>
    <row r="40" spans="2:7">
      <c r="B40" s="42">
        <v>480</v>
      </c>
      <c r="C40" s="38">
        <f>HLOOKUP(C$19,CIE标准色度系统色匹配函数和色品坐标!$B$3:$I$84,($B40-370)/5,FALSE)</f>
        <v>0.080507</v>
      </c>
      <c r="D40" s="39">
        <f>HLOOKUP(D$19,CIE标准色度系统色匹配函数和色品坐标!$B$3:$I$84,($B40-370)/5,FALSE)</f>
        <v>0.253589</v>
      </c>
      <c r="E40" s="39">
        <f>HLOOKUP(E$19,CIE标准色度系统色匹配函数和色品坐标!$B$3:$I$84,($B40-370)/5,FALSE)</f>
        <v>0.772125</v>
      </c>
      <c r="F40" s="40"/>
      <c r="G40" s="41">
        <f>HLOOKUP(G$19,'CIE标准照明体A、B、C、D相对光谱功率分布—S(λ)'!$B$2:$E$83,(B40-370)/5,FALSE)</f>
        <v>115.9</v>
      </c>
    </row>
    <row r="41" spans="2:7">
      <c r="B41" s="42">
        <v>485</v>
      </c>
      <c r="C41" s="38">
        <f>HLOOKUP(C$19,CIE标准色度系统色匹配函数和色品坐标!$B$3:$I$84,($B41-370)/5,FALSE)</f>
        <v>0.041072</v>
      </c>
      <c r="D41" s="39">
        <f>HLOOKUP(D$19,CIE标准色度系统色匹配函数和色品坐标!$B$3:$I$84,($B41-370)/5,FALSE)</f>
        <v>0.297665</v>
      </c>
      <c r="E41" s="39">
        <f>HLOOKUP(E$19,CIE标准色度系统色匹配函数和色品坐标!$B$3:$I$84,($B41-370)/5,FALSE)</f>
        <v>0.5706</v>
      </c>
      <c r="F41" s="40"/>
      <c r="G41" s="41">
        <f>HLOOKUP(G$19,'CIE标准照明体A、B、C、D相对光谱功率分布—S(λ)'!$B$2:$E$83,(B41-370)/5,FALSE)</f>
        <v>112.4</v>
      </c>
    </row>
    <row r="42" spans="2:7">
      <c r="B42" s="42">
        <v>490</v>
      </c>
      <c r="C42" s="38">
        <f>HLOOKUP(C$19,CIE标准色度系统色匹配函数和色品坐标!$B$3:$I$84,($B42-370)/5,FALSE)</f>
        <v>0.016172</v>
      </c>
      <c r="D42" s="39">
        <f>HLOOKUP(D$19,CIE标准色度系统色匹配函数和色品坐标!$B$3:$I$84,($B42-370)/5,FALSE)</f>
        <v>0.339133</v>
      </c>
      <c r="E42" s="39">
        <f>HLOOKUP(E$19,CIE标准色度系统色匹配函数和色品坐标!$B$3:$I$84,($B42-370)/5,FALSE)</f>
        <v>0.415254</v>
      </c>
      <c r="F42" s="40"/>
      <c r="G42" s="41">
        <f>HLOOKUP(G$19,'CIE标准照明体A、B、C、D相对光谱功率分布—S(λ)'!$B$2:$E$83,(B42-370)/5,FALSE)</f>
        <v>108.8</v>
      </c>
    </row>
    <row r="43" spans="2:7">
      <c r="B43" s="42">
        <v>495</v>
      </c>
      <c r="C43" s="38">
        <f>HLOOKUP(C$19,CIE标准色度系统色匹配函数和色品坐标!$B$3:$I$84,($B43-370)/5,FALSE)</f>
        <v>0.005132</v>
      </c>
      <c r="D43" s="39">
        <f>HLOOKUP(D$19,CIE标准色度系统色匹配函数和色品坐标!$B$3:$I$84,($B43-370)/5,FALSE)</f>
        <v>0.395379</v>
      </c>
      <c r="E43" s="39">
        <f>HLOOKUP(E$19,CIE标准色度系统色匹配函数和色品坐标!$B$3:$I$84,($B43-370)/5,FALSE)</f>
        <v>0.302356</v>
      </c>
      <c r="F43" s="40"/>
      <c r="G43" s="41">
        <f>HLOOKUP(G$19,'CIE标准照明体A、B、C、D相对光谱功率分布—S(λ)'!$B$2:$E$83,(B43-370)/5,FALSE)</f>
        <v>109.1</v>
      </c>
    </row>
    <row r="44" spans="2:7">
      <c r="B44" s="42">
        <v>500</v>
      </c>
      <c r="C44" s="38">
        <f>HLOOKUP(C$19,CIE标准色度系统色匹配函数和色品坐标!$B$3:$I$84,($B44-370)/5,FALSE)</f>
        <v>0.003816</v>
      </c>
      <c r="D44" s="39">
        <f>HLOOKUP(D$19,CIE标准色度系统色匹配函数和色品坐标!$B$3:$I$84,($B44-370)/5,FALSE)</f>
        <v>0.460777</v>
      </c>
      <c r="E44" s="39">
        <f>HLOOKUP(E$19,CIE标准色度系统色匹配函数和色品坐标!$B$3:$I$84,($B44-370)/5,FALSE)</f>
        <v>0.218502</v>
      </c>
      <c r="F44" s="40"/>
      <c r="G44" s="41">
        <f>HLOOKUP(G$19,'CIE标准照明体A、B、C、D相对光谱功率分布—S(λ)'!$B$2:$E$83,(B44-370)/5,FALSE)</f>
        <v>109.4</v>
      </c>
    </row>
    <row r="45" spans="2:7">
      <c r="B45" s="42">
        <v>505</v>
      </c>
      <c r="C45" s="38">
        <f>HLOOKUP(C$19,CIE标准色度系统色匹配函数和色品坐标!$B$3:$I$84,($B45-370)/5,FALSE)</f>
        <v>0.015444</v>
      </c>
      <c r="D45" s="39">
        <f>HLOOKUP(D$19,CIE标准色度系统色匹配函数和色品坐标!$B$3:$I$84,($B45-370)/5,FALSE)</f>
        <v>0.53136</v>
      </c>
      <c r="E45" s="39">
        <f>HLOOKUP(E$19,CIE标准色度系统色匹配函数和色品坐标!$B$3:$I$84,($B45-370)/5,FALSE)</f>
        <v>0.159249</v>
      </c>
      <c r="F45" s="40"/>
      <c r="G45" s="41">
        <f>HLOOKUP(G$19,'CIE标准照明体A、B、C、D相对光谱功率分布—S(λ)'!$B$2:$E$83,(B45-370)/5,FALSE)</f>
        <v>108.6</v>
      </c>
    </row>
    <row r="46" spans="2:7">
      <c r="B46" s="42">
        <v>510</v>
      </c>
      <c r="C46" s="38">
        <f>HLOOKUP(C$19,CIE标准色度系统色匹配函数和色品坐标!$B$3:$I$84,($B46-370)/5,FALSE)</f>
        <v>0.037465</v>
      </c>
      <c r="D46" s="39">
        <f>HLOOKUP(D$19,CIE标准色度系统色匹配函数和色品坐标!$B$3:$I$84,($B46-370)/5,FALSE)</f>
        <v>0.606741</v>
      </c>
      <c r="E46" s="39">
        <f>HLOOKUP(E$19,CIE标准色度系统色匹配函数和色品坐标!$B$3:$I$84,($B46-370)/5,FALSE)</f>
        <v>0.112044</v>
      </c>
      <c r="F46" s="40"/>
      <c r="G46" s="41">
        <f>HLOOKUP(G$19,'CIE标准照明体A、B、C、D相对光谱功率分布—S(λ)'!$B$2:$E$83,(B46-370)/5,FALSE)</f>
        <v>107.8</v>
      </c>
    </row>
    <row r="47" spans="2:7">
      <c r="B47" s="42">
        <v>515</v>
      </c>
      <c r="C47" s="38">
        <f>HLOOKUP(C$19,CIE标准色度系统色匹配函数和色品坐标!$B$3:$I$84,($B47-370)/5,FALSE)</f>
        <v>0.071358</v>
      </c>
      <c r="D47" s="39">
        <f>HLOOKUP(D$19,CIE标准色度系统色匹配函数和色品坐标!$B$3:$I$84,($B47-370)/5,FALSE)</f>
        <v>0.68566</v>
      </c>
      <c r="E47" s="39">
        <f>HLOOKUP(E$19,CIE标准色度系统色匹配函数和色品坐标!$B$3:$I$84,($B47-370)/5,FALSE)</f>
        <v>0.082248</v>
      </c>
      <c r="F47" s="40"/>
      <c r="G47" s="41">
        <f>HLOOKUP(G$19,'CIE标准照明体A、B、C、D相对光谱功率分布—S(λ)'!$B$2:$E$83,(B47-370)/5,FALSE)</f>
        <v>106.3</v>
      </c>
    </row>
    <row r="48" spans="2:7">
      <c r="B48" s="42">
        <v>520</v>
      </c>
      <c r="C48" s="38">
        <f>HLOOKUP(C$19,CIE标准色度系统色匹配函数和色品坐标!$B$3:$I$84,($B48-370)/5,FALSE)</f>
        <v>0.117749</v>
      </c>
      <c r="D48" s="39">
        <f>HLOOKUP(D$19,CIE标准色度系统色匹配函数和色品坐标!$B$3:$I$84,($B48-370)/5,FALSE)</f>
        <v>0.761757</v>
      </c>
      <c r="E48" s="39">
        <f>HLOOKUP(E$19,CIE标准色度系统色匹配函数和色品坐标!$B$3:$I$84,($B48-370)/5,FALSE)</f>
        <v>0.060709</v>
      </c>
      <c r="F48" s="40"/>
      <c r="G48" s="41">
        <f>HLOOKUP(G$19,'CIE标准照明体A、B、C、D相对光谱功率分布—S(λ)'!$B$2:$E$83,(B48-370)/5,FALSE)</f>
        <v>104.8</v>
      </c>
    </row>
    <row r="49" spans="2:7">
      <c r="B49" s="42">
        <v>525</v>
      </c>
      <c r="C49" s="38">
        <f>HLOOKUP(C$19,CIE标准色度系统色匹配函数和色品坐标!$B$3:$I$84,($B49-370)/5,FALSE)</f>
        <v>0.172953</v>
      </c>
      <c r="D49" s="39">
        <f>HLOOKUP(D$19,CIE标准色度系统色匹配函数和色品坐标!$B$3:$I$84,($B49-370)/5,FALSE)</f>
        <v>0.82333</v>
      </c>
      <c r="E49" s="39">
        <f>HLOOKUP(E$19,CIE标准色度系统色匹配函数和色品坐标!$B$3:$I$84,($B49-370)/5,FALSE)</f>
        <v>0.04305</v>
      </c>
      <c r="F49" s="40"/>
      <c r="G49" s="41">
        <f>HLOOKUP(G$19,'CIE标准照明体A、B、C、D相对光谱功率分布—S(λ)'!$B$2:$E$83,(B49-370)/5,FALSE)</f>
        <v>106.2</v>
      </c>
    </row>
    <row r="50" spans="2:7">
      <c r="B50" s="42">
        <v>530</v>
      </c>
      <c r="C50" s="38">
        <f>HLOOKUP(C$19,CIE标准色度系统色匹配函数和色品坐标!$B$3:$I$84,($B50-370)/5,FALSE)</f>
        <v>0.236491</v>
      </c>
      <c r="D50" s="39">
        <f>HLOOKUP(D$19,CIE标准色度系统色匹配函数和色品坐标!$B$3:$I$84,($B50-370)/5,FALSE)</f>
        <v>0.875211</v>
      </c>
      <c r="E50" s="39">
        <f>HLOOKUP(E$19,CIE标准色度系统色匹配函数和色品坐标!$B$3:$I$84,($B50-370)/5,FALSE)</f>
        <v>0.030451</v>
      </c>
      <c r="F50" s="40"/>
      <c r="G50" s="41">
        <f>HLOOKUP(G$19,'CIE标准照明体A、B、C、D相对光谱功率分布—S(λ)'!$B$2:$E$83,(B50-370)/5,FALSE)</f>
        <v>107.7</v>
      </c>
    </row>
    <row r="51" spans="2:7">
      <c r="B51" s="42">
        <v>535</v>
      </c>
      <c r="C51" s="38">
        <f>HLOOKUP(C$19,CIE标准色度系统色匹配函数和色品坐标!$B$3:$I$84,($B51-370)/5,FALSE)</f>
        <v>0.304213</v>
      </c>
      <c r="D51" s="39">
        <f>HLOOKUP(D$19,CIE标准色度系统色匹配函数和色品坐标!$B$3:$I$84,($B51-370)/5,FALSE)</f>
        <v>0.92381</v>
      </c>
      <c r="E51" s="39">
        <f>HLOOKUP(E$19,CIE标准色度系统色匹配函数和色品坐标!$B$3:$I$84,($B51-370)/5,FALSE)</f>
        <v>0.020584</v>
      </c>
      <c r="F51" s="40"/>
      <c r="G51" s="41">
        <f>HLOOKUP(G$19,'CIE标准照明体A、B、C、D相对光谱功率分布—S(λ)'!$B$2:$E$83,(B51-370)/5,FALSE)</f>
        <v>106</v>
      </c>
    </row>
    <row r="52" spans="2:7">
      <c r="B52" s="42">
        <v>540</v>
      </c>
      <c r="C52" s="38">
        <f>HLOOKUP(C$19,CIE标准色度系统色匹配函数和色品坐标!$B$3:$I$84,($B52-370)/5,FALSE)</f>
        <v>0.376772</v>
      </c>
      <c r="D52" s="39">
        <f>HLOOKUP(D$19,CIE标准色度系统色匹配函数和色品坐标!$B$3:$I$84,($B52-370)/5,FALSE)</f>
        <v>0.961988</v>
      </c>
      <c r="E52" s="39">
        <f>HLOOKUP(E$19,CIE标准色度系统色匹配函数和色品坐标!$B$3:$I$84,($B52-370)/5,FALSE)</f>
        <v>0.013676</v>
      </c>
      <c r="F52" s="40"/>
      <c r="G52" s="41">
        <f>HLOOKUP(G$19,'CIE标准照明体A、B、C、D相对光谱功率分布—S(λ)'!$B$2:$E$83,(B52-370)/5,FALSE)</f>
        <v>104.4</v>
      </c>
    </row>
    <row r="53" spans="2:7">
      <c r="B53" s="42">
        <v>545</v>
      </c>
      <c r="C53" s="38">
        <f>HLOOKUP(C$19,CIE标准色度系统色匹配函数和色品坐标!$B$3:$I$84,($B53-370)/5,FALSE)</f>
        <v>0.451584</v>
      </c>
      <c r="D53" s="39">
        <f>HLOOKUP(D$19,CIE标准色度系统色匹配函数和色品坐标!$B$3:$I$84,($B53-370)/5,FALSE)</f>
        <v>0.9822</v>
      </c>
      <c r="E53" s="39">
        <f>HLOOKUP(E$19,CIE标准色度系统色匹配函数和色品坐标!$B$3:$I$84,($B53-370)/5,FALSE)</f>
        <v>0.007918</v>
      </c>
      <c r="F53" s="40"/>
      <c r="G53" s="41">
        <f>HLOOKUP(G$19,'CIE标准照明体A、B、C、D相对光谱功率分布—S(λ)'!$B$2:$E$83,(B53-370)/5,FALSE)</f>
        <v>104.2</v>
      </c>
    </row>
    <row r="54" spans="2:7">
      <c r="B54" s="42">
        <v>550</v>
      </c>
      <c r="C54" s="38">
        <f>HLOOKUP(C$19,CIE标准色度系统色匹配函数和色品坐标!$B$3:$I$84,($B54-370)/5,FALSE)</f>
        <v>0.529826</v>
      </c>
      <c r="D54" s="39">
        <f>HLOOKUP(D$19,CIE标准色度系统色匹配函数和色品坐标!$B$3:$I$84,($B54-370)/5,FALSE)</f>
        <v>0.991761</v>
      </c>
      <c r="E54" s="39">
        <f>HLOOKUP(E$19,CIE标准色度系统色匹配函数和色品坐标!$B$3:$I$84,($B54-370)/5,FALSE)</f>
        <v>0.003988</v>
      </c>
      <c r="F54" s="40"/>
      <c r="G54" s="41">
        <f>HLOOKUP(G$19,'CIE标准照明体A、B、C、D相对光谱功率分布—S(λ)'!$B$2:$E$83,(B54-370)/5,FALSE)</f>
        <v>104</v>
      </c>
    </row>
    <row r="55" spans="2:7">
      <c r="B55" s="42">
        <v>555</v>
      </c>
      <c r="C55" s="38">
        <f>HLOOKUP(C$19,CIE标准色度系统色匹配函数和色品坐标!$B$3:$I$84,($B55-370)/5,FALSE)</f>
        <v>0.616053</v>
      </c>
      <c r="D55" s="39">
        <f>HLOOKUP(D$19,CIE标准色度系统色匹配函数和色品坐标!$B$3:$I$84,($B55-370)/5,FALSE)</f>
        <v>0.99911</v>
      </c>
      <c r="E55" s="39">
        <f>HLOOKUP(E$19,CIE标准色度系统色匹配函数和色品坐标!$B$3:$I$84,($B55-370)/5,FALSE)</f>
        <v>0.001091</v>
      </c>
      <c r="F55" s="40"/>
      <c r="G55" s="41">
        <f>HLOOKUP(G$19,'CIE标准照明体A、B、C、D相对光谱功率分布—S(λ)'!$B$2:$E$83,(B55-370)/5,FALSE)</f>
        <v>102</v>
      </c>
    </row>
    <row r="56" spans="2:7">
      <c r="B56" s="42">
        <v>560</v>
      </c>
      <c r="C56" s="38">
        <f>HLOOKUP(C$19,CIE标准色度系统色匹配函数和色品坐标!$B$3:$I$84,($B56-370)/5,FALSE)</f>
        <v>0.705224</v>
      </c>
      <c r="D56" s="39">
        <f>HLOOKUP(D$19,CIE标准色度系统色匹配函数和色品坐标!$B$3:$I$84,($B56-370)/5,FALSE)</f>
        <v>0.99734</v>
      </c>
      <c r="E56" s="39">
        <f>HLOOKUP(E$19,CIE标准色度系统色匹配函数和色品坐标!$B$3:$I$84,($B56-370)/5,FALSE)</f>
        <v>0</v>
      </c>
      <c r="F56" s="40"/>
      <c r="G56" s="41">
        <f>HLOOKUP(G$19,'CIE标准照明体A、B、C、D相对光谱功率分布—S(λ)'!$B$2:$E$83,(B56-370)/5,FALSE)</f>
        <v>100</v>
      </c>
    </row>
    <row r="57" spans="2:7">
      <c r="B57" s="42">
        <v>565</v>
      </c>
      <c r="C57" s="38">
        <f>HLOOKUP(C$19,CIE标准色度系统色匹配函数和色品坐标!$B$3:$I$84,($B57-370)/5,FALSE)</f>
        <v>0.793832</v>
      </c>
      <c r="D57" s="39">
        <f>HLOOKUP(D$19,CIE标准色度系统色匹配函数和色品坐标!$B$3:$I$84,($B57-370)/5,FALSE)</f>
        <v>0.98238</v>
      </c>
      <c r="E57" s="39">
        <f>HLOOKUP(E$19,CIE标准色度系统色匹配函数和色品坐标!$B$3:$I$84,($B57-370)/5,FALSE)</f>
        <v>0</v>
      </c>
      <c r="F57" s="40"/>
      <c r="G57" s="41">
        <f>HLOOKUP(G$19,'CIE标准照明体A、B、C、D相对光谱功率分布—S(λ)'!$B$2:$E$83,(B57-370)/5,FALSE)</f>
        <v>98.2</v>
      </c>
    </row>
    <row r="58" spans="2:7">
      <c r="B58" s="42">
        <v>570</v>
      </c>
      <c r="C58" s="38">
        <f>HLOOKUP(C$19,CIE标准色度系统色匹配函数和色品坐标!$B$3:$I$84,($B58-370)/5,FALSE)</f>
        <v>0.878655</v>
      </c>
      <c r="D58" s="39">
        <f>HLOOKUP(D$19,CIE标准色度系统色匹配函数和色品坐标!$B$3:$I$84,($B58-370)/5,FALSE)</f>
        <v>0.955552</v>
      </c>
      <c r="E58" s="39">
        <f>HLOOKUP(E$19,CIE标准色度系统色匹配函数和色品坐标!$B$3:$I$84,($B58-370)/5,FALSE)</f>
        <v>0</v>
      </c>
      <c r="F58" s="40"/>
      <c r="G58" s="41">
        <f>HLOOKUP(G$19,'CIE标准照明体A、B、C、D相对光谱功率分布—S(λ)'!$B$2:$E$83,(B58-370)/5,FALSE)</f>
        <v>96.3</v>
      </c>
    </row>
    <row r="59" spans="2:7">
      <c r="B59" s="42">
        <v>575</v>
      </c>
      <c r="C59" s="38">
        <f>HLOOKUP(C$19,CIE标准色度系统色匹配函数和色品坐标!$B$3:$I$84,($B59-370)/5,FALSE)</f>
        <v>0.951162</v>
      </c>
      <c r="D59" s="39">
        <f>HLOOKUP(D$19,CIE标准色度系统色匹配函数和色品坐标!$B$3:$I$84,($B59-370)/5,FALSE)</f>
        <v>0.915175</v>
      </c>
      <c r="E59" s="39">
        <f>HLOOKUP(E$19,CIE标准色度系统色匹配函数和色品坐标!$B$3:$I$84,($B59-370)/5,FALSE)</f>
        <v>0</v>
      </c>
      <c r="F59" s="40"/>
      <c r="G59" s="41">
        <f>HLOOKUP(G$19,'CIE标准照明体A、B、C、D相对光谱功率分布—S(λ)'!$B$2:$E$83,(B59-370)/5,FALSE)</f>
        <v>96.1</v>
      </c>
    </row>
    <row r="60" spans="2:7">
      <c r="B60" s="42">
        <v>580</v>
      </c>
      <c r="C60" s="38">
        <f>HLOOKUP(C$19,CIE标准色度系统色匹配函数和色品坐标!$B$3:$I$84,($B60-370)/5,FALSE)</f>
        <v>1.01416</v>
      </c>
      <c r="D60" s="39">
        <f>HLOOKUP(D$19,CIE标准色度系统色匹配函数和色品坐标!$B$3:$I$84,($B60-370)/5,FALSE)</f>
        <v>0.868934</v>
      </c>
      <c r="E60" s="39">
        <f>HLOOKUP(E$19,CIE标准色度系统色匹配函数和色品坐标!$B$3:$I$84,($B60-370)/5,FALSE)</f>
        <v>0</v>
      </c>
      <c r="F60" s="40"/>
      <c r="G60" s="41">
        <f>HLOOKUP(G$19,'CIE标准照明体A、B、C、D相对光谱功率分布—S(λ)'!$B$2:$E$83,(B60-370)/5,FALSE)</f>
        <v>95.8</v>
      </c>
    </row>
    <row r="61" spans="2:7">
      <c r="B61" s="42">
        <v>585</v>
      </c>
      <c r="C61" s="38">
        <f>HLOOKUP(C$19,CIE标准色度系统色匹配函数和色品坐标!$B$3:$I$84,($B61-370)/5,FALSE)</f>
        <v>1.0743</v>
      </c>
      <c r="D61" s="39">
        <f>HLOOKUP(D$19,CIE标准色度系统色匹配函数和色品坐标!$B$3:$I$84,($B61-370)/5,FALSE)</f>
        <v>0.825623</v>
      </c>
      <c r="E61" s="39">
        <f>HLOOKUP(E$19,CIE标准色度系统色匹配函数和色品坐标!$B$3:$I$84,($B61-370)/5,FALSE)</f>
        <v>0</v>
      </c>
      <c r="F61" s="40"/>
      <c r="G61" s="41">
        <f>HLOOKUP(G$19,'CIE标准照明体A、B、C、D相对光谱功率分布—S(λ)'!$B$2:$E$83,(B61-370)/5,FALSE)</f>
        <v>92.2</v>
      </c>
    </row>
    <row r="62" spans="2:7">
      <c r="B62" s="42">
        <v>590</v>
      </c>
      <c r="C62" s="38">
        <f>HLOOKUP(C$19,CIE标准色度系统色匹配函数和色品坐标!$B$3:$I$84,($B62-370)/5,FALSE)</f>
        <v>1.11852</v>
      </c>
      <c r="D62" s="39">
        <f>HLOOKUP(D$19,CIE标准色度系统色匹配函数和色品坐标!$B$3:$I$84,($B62-370)/5,FALSE)</f>
        <v>0.777405</v>
      </c>
      <c r="E62" s="39">
        <f>HLOOKUP(E$19,CIE标准色度系统色匹配函数和色品坐标!$B$3:$I$84,($B62-370)/5,FALSE)</f>
        <v>0</v>
      </c>
      <c r="F62" s="40"/>
      <c r="G62" s="41">
        <f>HLOOKUP(G$19,'CIE标准照明体A、B、C、D相对光谱功率分布—S(λ)'!$B$2:$E$83,(B62-370)/5,FALSE)</f>
        <v>88.7</v>
      </c>
    </row>
    <row r="63" spans="2:7">
      <c r="B63" s="42">
        <v>595</v>
      </c>
      <c r="C63" s="38">
        <f>HLOOKUP(C$19,CIE标准色度系统色匹配函数和色品坐标!$B$3:$I$84,($B63-370)/5,FALSE)</f>
        <v>1.1343</v>
      </c>
      <c r="D63" s="39">
        <f>HLOOKUP(D$19,CIE标准色度系统色匹配函数和色品坐标!$B$3:$I$84,($B63-370)/5,FALSE)</f>
        <v>0.720353</v>
      </c>
      <c r="E63" s="39">
        <f>HLOOKUP(E$19,CIE标准色度系统色匹配函数和色品坐标!$B$3:$I$84,($B63-370)/5,FALSE)</f>
        <v>0</v>
      </c>
      <c r="F63" s="40"/>
      <c r="G63" s="41">
        <f>HLOOKUP(G$19,'CIE标准照明体A、B、C、D相对光谱功率分布—S(λ)'!$B$2:$E$83,(B63-370)/5,FALSE)</f>
        <v>89.3</v>
      </c>
    </row>
    <row r="64" spans="2:7">
      <c r="B64" s="42">
        <v>600</v>
      </c>
      <c r="C64" s="38">
        <f>HLOOKUP(C$19,CIE标准色度系统色匹配函数和色品坐标!$B$3:$I$84,($B64-370)/5,FALSE)</f>
        <v>1.12399</v>
      </c>
      <c r="D64" s="39">
        <f>HLOOKUP(D$19,CIE标准色度系统色匹配函数和色品坐标!$B$3:$I$84,($B64-370)/5,FALSE)</f>
        <v>0.658341</v>
      </c>
      <c r="E64" s="39">
        <f>HLOOKUP(E$19,CIE标准色度系统色匹配函数和色品坐标!$B$3:$I$84,($B64-370)/5,FALSE)</f>
        <v>0</v>
      </c>
      <c r="F64" s="40"/>
      <c r="G64" s="41">
        <f>HLOOKUP(G$19,'CIE标准照明体A、B、C、D相对光谱功率分布—S(λ)'!$B$2:$E$83,(B64-370)/5,FALSE)</f>
        <v>90</v>
      </c>
    </row>
    <row r="65" spans="2:7">
      <c r="B65" s="42">
        <v>605</v>
      </c>
      <c r="C65" s="38">
        <f>HLOOKUP(C$19,CIE标准色度系统色匹配函数和色品坐标!$B$3:$I$84,($B65-370)/5,FALSE)</f>
        <v>1.0891</v>
      </c>
      <c r="D65" s="39">
        <f>HLOOKUP(D$19,CIE标准色度系统色匹配函数和色品坐标!$B$3:$I$84,($B65-370)/5,FALSE)</f>
        <v>0.593878</v>
      </c>
      <c r="E65" s="39">
        <f>HLOOKUP(E$19,CIE标准色度系统色匹配函数和色品坐标!$B$3:$I$84,($B65-370)/5,FALSE)</f>
        <v>0</v>
      </c>
      <c r="F65" s="40"/>
      <c r="G65" s="41">
        <f>HLOOKUP(G$19,'CIE标准照明体A、B、C、D相对光谱功率分布—S(λ)'!$B$2:$E$83,(B65-370)/5,FALSE)</f>
        <v>89.8</v>
      </c>
    </row>
    <row r="66" spans="2:7">
      <c r="B66" s="42">
        <v>610</v>
      </c>
      <c r="C66" s="38">
        <f>HLOOKUP(C$19,CIE标准色度系统色匹配函数和色品坐标!$B$3:$I$84,($B66-370)/5,FALSE)</f>
        <v>1.03048</v>
      </c>
      <c r="D66" s="39">
        <f>HLOOKUP(D$19,CIE标准色度系统色匹配函数和色品坐标!$B$3:$I$84,($B66-370)/5,FALSE)</f>
        <v>0.527963</v>
      </c>
      <c r="E66" s="39">
        <f>HLOOKUP(E$19,CIE标准色度系统色匹配函数和色品坐标!$B$3:$I$84,($B66-370)/5,FALSE)</f>
        <v>0</v>
      </c>
      <c r="F66" s="40"/>
      <c r="G66" s="41">
        <f>HLOOKUP(G$19,'CIE标准照明体A、B、C、D相对光谱功率分布—S(λ)'!$B$2:$E$83,(B66-370)/5,FALSE)</f>
        <v>89.6</v>
      </c>
    </row>
    <row r="67" spans="2:7">
      <c r="B67" s="42">
        <v>615</v>
      </c>
      <c r="C67" s="38">
        <f>HLOOKUP(C$19,CIE标准色度系统色匹配函数和色品坐标!$B$3:$I$84,($B67-370)/5,FALSE)</f>
        <v>0.95074</v>
      </c>
      <c r="D67" s="39">
        <f>HLOOKUP(D$19,CIE标准色度系统色匹配函数和色品坐标!$B$3:$I$84,($B67-370)/5,FALSE)</f>
        <v>0.461834</v>
      </c>
      <c r="E67" s="39">
        <f>HLOOKUP(E$19,CIE标准色度系统色匹配函数和色品坐标!$B$3:$I$84,($B67-370)/5,FALSE)</f>
        <v>0</v>
      </c>
      <c r="F67" s="40"/>
      <c r="G67" s="41">
        <f>HLOOKUP(G$19,'CIE标准照明体A、B、C、D相对光谱功率分布—S(λ)'!$B$2:$E$83,(B67-370)/5,FALSE)</f>
        <v>88.6</v>
      </c>
    </row>
    <row r="68" spans="2:7">
      <c r="B68" s="42">
        <v>620</v>
      </c>
      <c r="C68" s="38">
        <f>HLOOKUP(C$19,CIE标准色度系统色匹配函数和色品坐标!$B$3:$I$84,($B68-370)/5,FALSE)</f>
        <v>0.856297</v>
      </c>
      <c r="D68" s="39">
        <f>HLOOKUP(D$19,CIE标准色度系统色匹配函数和色品坐标!$B$3:$I$84,($B68-370)/5,FALSE)</f>
        <v>0.398057</v>
      </c>
      <c r="E68" s="39">
        <f>HLOOKUP(E$19,CIE标准色度系统色匹配函数和色品坐标!$B$3:$I$84,($B68-370)/5,FALSE)</f>
        <v>0</v>
      </c>
      <c r="F68" s="40"/>
      <c r="G68" s="41">
        <f>HLOOKUP(G$19,'CIE标准照明体A、B、C、D相对光谱功率分布—S(λ)'!$B$2:$E$83,(B68-370)/5,FALSE)</f>
        <v>87.7</v>
      </c>
    </row>
    <row r="69" spans="2:7">
      <c r="B69" s="42">
        <v>625</v>
      </c>
      <c r="C69" s="38">
        <f>HLOOKUP(C$19,CIE标准色度系统色匹配函数和色品坐标!$B$3:$I$84,($B69-370)/5,FALSE)</f>
        <v>0.75493</v>
      </c>
      <c r="D69" s="39">
        <f>HLOOKUP(D$19,CIE标准色度系统色匹配函数和色品坐标!$B$3:$I$84,($B69-370)/5,FALSE)</f>
        <v>0.339554</v>
      </c>
      <c r="E69" s="39">
        <f>HLOOKUP(E$19,CIE标准色度系统色匹配函数和色品坐标!$B$3:$I$84,($B69-370)/5,FALSE)</f>
        <v>0</v>
      </c>
      <c r="F69" s="40"/>
      <c r="G69" s="41">
        <f>HLOOKUP(G$19,'CIE标准照明体A、B、C、D相对光谱功率分布—S(λ)'!$B$2:$E$83,(B69-370)/5,FALSE)</f>
        <v>85.5</v>
      </c>
    </row>
    <row r="70" spans="2:7">
      <c r="B70" s="42">
        <v>630</v>
      </c>
      <c r="C70" s="38">
        <f>HLOOKUP(C$19,CIE标准色度系统色匹配函数和色品坐标!$B$3:$I$84,($B70-370)/5,FALSE)</f>
        <v>0.647467</v>
      </c>
      <c r="D70" s="39">
        <f>HLOOKUP(D$19,CIE标准色度系统色匹配函数和色品坐标!$B$3:$I$84,($B70-370)/5,FALSE)</f>
        <v>0.283493</v>
      </c>
      <c r="E70" s="39">
        <f>HLOOKUP(E$19,CIE标准色度系统色匹配函数和色品坐标!$B$3:$I$84,($B70-370)/5,FALSE)</f>
        <v>0</v>
      </c>
      <c r="F70" s="40"/>
      <c r="G70" s="41">
        <f>HLOOKUP(G$19,'CIE标准照明体A、B、C、D相对光谱功率分布—S(λ)'!$B$2:$E$83,(B70-370)/5,FALSE)</f>
        <v>83.3</v>
      </c>
    </row>
    <row r="71" spans="2:7">
      <c r="B71" s="42">
        <v>635</v>
      </c>
      <c r="C71" s="38">
        <f>HLOOKUP(C$19,CIE标准色度系统色匹配函数和色品坐标!$B$3:$I$84,($B71-370)/5,FALSE)</f>
        <v>0.53511</v>
      </c>
      <c r="D71" s="39">
        <f>HLOOKUP(D$19,CIE标准色度系统色匹配函数和色品坐标!$B$3:$I$84,($B71-370)/5,FALSE)</f>
        <v>0.228254</v>
      </c>
      <c r="E71" s="39">
        <f>HLOOKUP(E$19,CIE标准色度系统色匹配函数和色品坐标!$B$3:$I$84,($B71-370)/5,FALSE)</f>
        <v>0</v>
      </c>
      <c r="F71" s="40"/>
      <c r="G71" s="41">
        <f>HLOOKUP(G$19,'CIE标准照明体A、B、C、D相对光谱功率分布—S(λ)'!$B$2:$E$83,(B71-370)/5,FALSE)</f>
        <v>83.5</v>
      </c>
    </row>
    <row r="72" spans="2:7">
      <c r="B72" s="42">
        <v>640</v>
      </c>
      <c r="C72" s="38">
        <f>HLOOKUP(C$19,CIE标准色度系统色匹配函数和色品坐标!$B$3:$I$84,($B72-370)/5,FALSE)</f>
        <v>0.431567</v>
      </c>
      <c r="D72" s="39">
        <f>HLOOKUP(D$19,CIE标准色度系统色匹配函数和色品坐标!$B$3:$I$84,($B72-370)/5,FALSE)</f>
        <v>0.179828</v>
      </c>
      <c r="E72" s="39">
        <f>HLOOKUP(E$19,CIE标准色度系统色匹配函数和色品坐标!$B$3:$I$84,($B72-370)/5,FALSE)</f>
        <v>0</v>
      </c>
      <c r="F72" s="40"/>
      <c r="G72" s="41">
        <f>HLOOKUP(G$19,'CIE标准照明体A、B、C、D相对光谱功率分布—S(λ)'!$B$2:$E$83,(B72-370)/5,FALSE)</f>
        <v>83.7</v>
      </c>
    </row>
    <row r="73" spans="2:7">
      <c r="B73" s="42">
        <v>645</v>
      </c>
      <c r="C73" s="38">
        <f>HLOOKUP(C$19,CIE标准色度系统色匹配函数和色品坐标!$B$3:$I$84,($B73-370)/5,FALSE)</f>
        <v>0.34369</v>
      </c>
      <c r="D73" s="39">
        <f>HLOOKUP(D$19,CIE标准色度系统色匹配函数和色品坐标!$B$3:$I$84,($B73-370)/5,FALSE)</f>
        <v>0.140211</v>
      </c>
      <c r="E73" s="39">
        <f>HLOOKUP(E$19,CIE标准色度系统色匹配函数和色品坐标!$B$3:$I$84,($B73-370)/5,FALSE)</f>
        <v>0</v>
      </c>
      <c r="F73" s="40"/>
      <c r="G73" s="41">
        <f>HLOOKUP(G$19,'CIE标准照明体A、B、C、D相对光谱功率分布—S(λ)'!$B$2:$E$83,(B73-370)/5,FALSE)</f>
        <v>81.9</v>
      </c>
    </row>
    <row r="74" spans="2:7">
      <c r="B74" s="42">
        <v>650</v>
      </c>
      <c r="C74" s="38">
        <f>HLOOKUP(C$19,CIE标准色度系统色匹配函数和色品坐标!$B$3:$I$84,($B74-370)/5,FALSE)</f>
        <v>0.268329</v>
      </c>
      <c r="D74" s="39">
        <f>HLOOKUP(D$19,CIE标准色度系统色匹配函数和色品坐标!$B$3:$I$84,($B74-370)/5,FALSE)</f>
        <v>0.107633</v>
      </c>
      <c r="E74" s="39">
        <f>HLOOKUP(E$19,CIE标准色度系统色匹配函数和色品坐标!$B$3:$I$84,($B74-370)/5,FALSE)</f>
        <v>0</v>
      </c>
      <c r="F74" s="40"/>
      <c r="G74" s="41">
        <f>HLOOKUP(G$19,'CIE标准照明体A、B、C、D相对光谱功率分布—S(λ)'!$B$2:$E$83,(B74-370)/5,FALSE)</f>
        <v>80</v>
      </c>
    </row>
    <row r="75" spans="2:7">
      <c r="B75" s="42">
        <v>655</v>
      </c>
      <c r="C75" s="38">
        <f>HLOOKUP(C$19,CIE标准色度系统色匹配函数和色品坐标!$B$3:$I$84,($B75-370)/5,FALSE)</f>
        <v>0.2043</v>
      </c>
      <c r="D75" s="39">
        <f>HLOOKUP(D$19,CIE标准色度系统色匹配函数和色品坐标!$B$3:$I$84,($B75-370)/5,FALSE)</f>
        <v>0.081187</v>
      </c>
      <c r="E75" s="39">
        <f>HLOOKUP(E$19,CIE标准色度系统色匹配函数和色品坐标!$B$3:$I$84,($B75-370)/5,FALSE)</f>
        <v>0</v>
      </c>
      <c r="F75" s="40"/>
      <c r="G75" s="41">
        <f>HLOOKUP(G$19,'CIE标准照明体A、B、C、D相对光谱功率分布—S(λ)'!$B$2:$E$83,(B75-370)/5,FALSE)</f>
        <v>80.1</v>
      </c>
    </row>
    <row r="76" spans="2:7">
      <c r="B76" s="42">
        <v>660</v>
      </c>
      <c r="C76" s="38">
        <f>HLOOKUP(C$19,CIE标准色度系统色匹配函数和色品坐标!$B$3:$I$84,($B76-370)/5,FALSE)</f>
        <v>0.152568</v>
      </c>
      <c r="D76" s="39">
        <f>HLOOKUP(D$19,CIE标准色度系统色匹配函数和色品坐标!$B$3:$I$84,($B76-370)/5,FALSE)</f>
        <v>0.060281</v>
      </c>
      <c r="E76" s="39">
        <f>HLOOKUP(E$19,CIE标准色度系统色匹配函数和色品坐标!$B$3:$I$84,($B76-370)/5,FALSE)</f>
        <v>0</v>
      </c>
      <c r="F76" s="40"/>
      <c r="G76" s="41">
        <f>HLOOKUP(G$19,'CIE标准照明体A、B、C、D相对光谱功率分布—S(λ)'!$B$2:$E$83,(B76-370)/5,FALSE)</f>
        <v>80.2</v>
      </c>
    </row>
    <row r="77" spans="2:7">
      <c r="B77" s="42">
        <v>665</v>
      </c>
      <c r="C77" s="38">
        <f>HLOOKUP(C$19,CIE标准色度系统色匹配函数和色品坐标!$B$3:$I$84,($B77-370)/5,FALSE)</f>
        <v>0.11221</v>
      </c>
      <c r="D77" s="39">
        <f>HLOOKUP(D$19,CIE标准色度系统色匹配函数和色品坐标!$B$3:$I$84,($B77-370)/5,FALSE)</f>
        <v>0.044096</v>
      </c>
      <c r="E77" s="39">
        <f>HLOOKUP(E$19,CIE标准色度系统色匹配函数和色品坐标!$B$3:$I$84,($B77-370)/5,FALSE)</f>
        <v>0</v>
      </c>
      <c r="F77" s="40"/>
      <c r="G77" s="41">
        <f>HLOOKUP(G$19,'CIE标准照明体A、B、C、D相对光谱功率分布—S(λ)'!$B$2:$E$83,(B77-370)/5,FALSE)</f>
        <v>81.2</v>
      </c>
    </row>
    <row r="78" spans="2:7">
      <c r="B78" s="42">
        <v>670</v>
      </c>
      <c r="C78" s="38">
        <f>HLOOKUP(C$19,CIE标准色度系统色匹配函数和色品坐标!$B$3:$I$84,($B78-370)/5,FALSE)</f>
        <v>0.0812606</v>
      </c>
      <c r="D78" s="39">
        <f>HLOOKUP(D$19,CIE标准色度系统色匹配函数和色品坐标!$B$3:$I$84,($B78-370)/5,FALSE)</f>
        <v>0.0318004</v>
      </c>
      <c r="E78" s="39">
        <f>HLOOKUP(E$19,CIE标准色度系统色匹配函数和色品坐标!$B$3:$I$84,($B78-370)/5,FALSE)</f>
        <v>0</v>
      </c>
      <c r="F78" s="40"/>
      <c r="G78" s="41">
        <f>HLOOKUP(G$19,'CIE标准照明体A、B、C、D相对光谱功率分布—S(λ)'!$B$2:$E$83,(B78-370)/5,FALSE)</f>
        <v>82.3</v>
      </c>
    </row>
    <row r="79" spans="2:7">
      <c r="B79" s="42">
        <v>675</v>
      </c>
      <c r="C79" s="38">
        <f>HLOOKUP(C$19,CIE标准色度系统色匹配函数和色品坐标!$B$3:$I$84,($B79-370)/5,FALSE)</f>
        <v>0.05793</v>
      </c>
      <c r="D79" s="39">
        <f>HLOOKUP(D$19,CIE标准色度系统色匹配函数和色品坐标!$B$3:$I$84,($B79-370)/5,FALSE)</f>
        <v>0.0226017</v>
      </c>
      <c r="E79" s="39">
        <f>HLOOKUP(E$19,CIE标准色度系统色匹配函数和色品坐标!$B$3:$I$84,($B79-370)/5,FALSE)</f>
        <v>0</v>
      </c>
      <c r="F79" s="40"/>
      <c r="G79" s="41">
        <f>HLOOKUP(G$19,'CIE标准照明体A、B、C、D相对光谱功率分布—S(λ)'!$B$2:$E$83,(B79-370)/5,FALSE)</f>
        <v>80.3</v>
      </c>
    </row>
    <row r="80" spans="2:7">
      <c r="B80" s="42">
        <v>680</v>
      </c>
      <c r="C80" s="38">
        <f>HLOOKUP(C$19,CIE标准色度系统色匹配函数和色品坐标!$B$3:$I$84,($B80-370)/5,FALSE)</f>
        <v>0.0408508</v>
      </c>
      <c r="D80" s="39">
        <f>HLOOKUP(D$19,CIE标准色度系统色匹配函数和色品坐标!$B$3:$I$84,($B80-370)/5,FALSE)</f>
        <v>0.0159051</v>
      </c>
      <c r="E80" s="39">
        <f>HLOOKUP(E$19,CIE标准色度系统色匹配函数和色品坐标!$B$3:$I$84,($B80-370)/5,FALSE)</f>
        <v>0</v>
      </c>
      <c r="F80" s="40"/>
      <c r="G80" s="41">
        <f>HLOOKUP(G$19,'CIE标准照明体A、B、C、D相对光谱功率分布—S(λ)'!$B$2:$E$83,(B80-370)/5,FALSE)</f>
        <v>78.3</v>
      </c>
    </row>
    <row r="81" spans="2:7">
      <c r="B81" s="42">
        <v>685</v>
      </c>
      <c r="C81" s="38">
        <f>HLOOKUP(C$19,CIE标准色度系统色匹配函数和色品坐标!$B$3:$I$84,($B81-370)/5,FALSE)</f>
        <v>0.028623</v>
      </c>
      <c r="D81" s="39">
        <f>HLOOKUP(D$19,CIE标准色度系统色匹配函数和色品坐标!$B$3:$I$84,($B81-370)/5,FALSE)</f>
        <v>0.0111303</v>
      </c>
      <c r="E81" s="39">
        <f>HLOOKUP(E$19,CIE标准色度系统色匹配函数和色品坐标!$B$3:$I$84,($B81-370)/5,FALSE)</f>
        <v>0</v>
      </c>
      <c r="F81" s="40"/>
      <c r="G81" s="41">
        <f>HLOOKUP(G$19,'CIE标准照明体A、B、C、D相对光谱功率分布—S(λ)'!$B$2:$E$83,(B81-370)/5,FALSE)</f>
        <v>74</v>
      </c>
    </row>
    <row r="82" spans="2:7">
      <c r="B82" s="42">
        <v>690</v>
      </c>
      <c r="C82" s="38">
        <f>HLOOKUP(C$19,CIE标准色度系统色匹配函数和色品坐标!$B$3:$I$84,($B82-370)/5,FALSE)</f>
        <v>0.0199413</v>
      </c>
      <c r="D82" s="39">
        <f>HLOOKUP(D$19,CIE标准色度系统色匹配函数和色品坐标!$B$3:$I$84,($B82-370)/5,FALSE)</f>
        <v>0.0077488</v>
      </c>
      <c r="E82" s="39">
        <f>HLOOKUP(E$19,CIE标准色度系统色匹配函数和色品坐标!$B$3:$I$84,($B82-370)/5,FALSE)</f>
        <v>0</v>
      </c>
      <c r="F82" s="40"/>
      <c r="G82" s="41">
        <f>HLOOKUP(G$19,'CIE标准照明体A、B、C、D相对光谱功率分布—S(λ)'!$B$2:$E$83,(B82-370)/5,FALSE)</f>
        <v>69.7</v>
      </c>
    </row>
    <row r="83" spans="2:7">
      <c r="B83" s="42">
        <v>695</v>
      </c>
      <c r="C83" s="38">
        <f>HLOOKUP(C$19,CIE标准色度系统色匹配函数和色品坐标!$B$3:$I$84,($B83-370)/5,FALSE)</f>
        <v>0.013842</v>
      </c>
      <c r="D83" s="39">
        <f>HLOOKUP(D$19,CIE标准色度系统色匹配函数和色品坐标!$B$3:$I$84,($B83-370)/5,FALSE)</f>
        <v>0.0053751</v>
      </c>
      <c r="E83" s="39">
        <f>HLOOKUP(E$19,CIE标准色度系统色匹配函数和色品坐标!$B$3:$I$84,($B83-370)/5,FALSE)</f>
        <v>0</v>
      </c>
      <c r="F83" s="40"/>
      <c r="G83" s="41">
        <f>HLOOKUP(G$19,'CIE标准照明体A、B、C、D相对光谱功率分布—S(λ)'!$B$2:$E$83,(B83-370)/5,FALSE)</f>
        <v>70.7</v>
      </c>
    </row>
    <row r="84" spans="2:7">
      <c r="B84" s="42">
        <v>700</v>
      </c>
      <c r="C84" s="38">
        <f>HLOOKUP(C$19,CIE标准色度系统色匹配函数和色品坐标!$B$3:$I$84,($B84-370)/5,FALSE)</f>
        <v>0.00957688</v>
      </c>
      <c r="D84" s="39">
        <f>HLOOKUP(D$19,CIE标准色度系统色匹配函数和色品坐标!$B$3:$I$84,($B84-370)/5,FALSE)</f>
        <v>0.00371774</v>
      </c>
      <c r="E84" s="39">
        <f>HLOOKUP(E$19,CIE标准色度系统色匹配函数和色品坐标!$B$3:$I$84,($B84-370)/5,FALSE)</f>
        <v>0</v>
      </c>
      <c r="F84" s="40"/>
      <c r="G84" s="41">
        <f>HLOOKUP(G$19,'CIE标准照明体A、B、C、D相对光谱功率分布—S(λ)'!$B$2:$E$83,(B84-370)/5,FALSE)</f>
        <v>71.6</v>
      </c>
    </row>
    <row r="85" spans="2:7">
      <c r="B85" s="42">
        <v>705</v>
      </c>
      <c r="C85" s="38">
        <f>HLOOKUP(C$19,CIE标准色度系统色匹配函数和色品坐标!$B$3:$I$84,($B85-370)/5,FALSE)</f>
        <v>0.0066052</v>
      </c>
      <c r="D85" s="39">
        <f>HLOOKUP(D$19,CIE标准色度系统色匹配函数和色品坐标!$B$3:$I$84,($B85-370)/5,FALSE)</f>
        <v>0.00256456</v>
      </c>
      <c r="E85" s="39">
        <f>HLOOKUP(E$19,CIE标准色度系统色匹配函数和色品坐标!$B$3:$I$84,($B85-370)/5,FALSE)</f>
        <v>0</v>
      </c>
      <c r="F85" s="40"/>
      <c r="G85" s="41">
        <f>HLOOKUP(G$19,'CIE标准照明体A、B、C、D相对光谱功率分布—S(λ)'!$B$2:$E$83,(B85-370)/5,FALSE)</f>
        <v>73</v>
      </c>
    </row>
    <row r="86" spans="2:7">
      <c r="B86" s="42">
        <v>710</v>
      </c>
      <c r="C86" s="38">
        <f>HLOOKUP(C$19,CIE标准色度系统色匹配函数和色品坐标!$B$3:$I$84,($B86-370)/5,FALSE)</f>
        <v>0.00455263</v>
      </c>
      <c r="D86" s="39">
        <f>HLOOKUP(D$19,CIE标准色度系统色匹配函数和色品坐标!$B$3:$I$84,($B86-370)/5,FALSE)</f>
        <v>0.00176847</v>
      </c>
      <c r="E86" s="39">
        <f>HLOOKUP(E$19,CIE标准色度系统色匹配函数和色品坐标!$B$3:$I$84,($B86-370)/5,FALSE)</f>
        <v>0</v>
      </c>
      <c r="F86" s="40"/>
      <c r="G86" s="41">
        <f>HLOOKUP(G$19,'CIE标准照明体A、B、C、D相对光谱功率分布—S(λ)'!$B$2:$E$83,(B86-370)/5,FALSE)</f>
        <v>74.3</v>
      </c>
    </row>
    <row r="87" spans="2:7">
      <c r="B87" s="42">
        <v>715</v>
      </c>
      <c r="C87" s="38">
        <f>HLOOKUP(C$19,CIE标准色度系统色匹配函数和色品坐标!$B$3:$I$84,($B87-370)/5,FALSE)</f>
        <v>0.0031447</v>
      </c>
      <c r="D87" s="39">
        <f>HLOOKUP(D$19,CIE标准色度系统色匹配函数和色品坐标!$B$3:$I$84,($B87-370)/5,FALSE)</f>
        <v>0.00122239</v>
      </c>
      <c r="E87" s="39">
        <f>HLOOKUP(E$19,CIE标准色度系统色匹配函数和色品坐标!$B$3:$I$84,($B87-370)/5,FALSE)</f>
        <v>0</v>
      </c>
      <c r="F87" s="40"/>
      <c r="G87" s="41">
        <f>HLOOKUP(G$19,'CIE标准照明体A、B、C、D相对光谱功率分布—S(λ)'!$B$2:$E$83,(B87-370)/5,FALSE)</f>
        <v>68</v>
      </c>
    </row>
    <row r="88" spans="2:7">
      <c r="B88" s="42">
        <v>720</v>
      </c>
      <c r="C88" s="38">
        <f>HLOOKUP(C$19,CIE标准色度系统色匹配函数和色品坐标!$B$3:$I$84,($B88-370)/5,FALSE)</f>
        <v>0.00217496</v>
      </c>
      <c r="D88" s="39">
        <f>HLOOKUP(D$19,CIE标准色度系统色匹配函数和色品坐标!$B$3:$I$84,($B88-370)/5,FALSE)</f>
        <v>0.00084619</v>
      </c>
      <c r="E88" s="39">
        <f>HLOOKUP(E$19,CIE标准色度系统色匹配函数和色品坐标!$B$3:$I$84,($B88-370)/5,FALSE)</f>
        <v>0</v>
      </c>
      <c r="F88" s="40"/>
      <c r="G88" s="41">
        <f>HLOOKUP(G$19,'CIE标准照明体A、B、C、D相对光谱功率分布—S(λ)'!$B$2:$E$83,(B88-370)/5,FALSE)</f>
        <v>61.6</v>
      </c>
    </row>
    <row r="89" spans="2:7">
      <c r="B89" s="42">
        <v>725</v>
      </c>
      <c r="C89" s="38">
        <f>HLOOKUP(C$19,CIE标准色度系统色匹配函数和色品坐标!$B$3:$I$84,($B89-370)/5,FALSE)</f>
        <v>0.0015057</v>
      </c>
      <c r="D89" s="39">
        <f>HLOOKUP(D$19,CIE标准色度系统色匹配函数和色品坐标!$B$3:$I$84,($B89-370)/5,FALSE)</f>
        <v>0.00058644</v>
      </c>
      <c r="E89" s="39">
        <f>HLOOKUP(E$19,CIE标准色度系统色匹配函数和色品坐标!$B$3:$I$84,($B89-370)/5,FALSE)</f>
        <v>0</v>
      </c>
      <c r="F89" s="40"/>
      <c r="G89" s="41">
        <f>HLOOKUP(G$19,'CIE标准照明体A、B、C、D相对光谱功率分布—S(λ)'!$B$2:$E$83,(B89-370)/5,FALSE)</f>
        <v>65.7</v>
      </c>
    </row>
    <row r="90" spans="2:7">
      <c r="B90" s="42">
        <v>730</v>
      </c>
      <c r="C90" s="38">
        <f>HLOOKUP(C$19,CIE标准色度系统色匹配函数和色品坐标!$B$3:$I$84,($B90-370)/5,FALSE)</f>
        <v>0.00104476</v>
      </c>
      <c r="D90" s="39">
        <f>HLOOKUP(D$19,CIE标准色度系统色匹配函数和色品坐标!$B$3:$I$84,($B90-370)/5,FALSE)</f>
        <v>0.00040741</v>
      </c>
      <c r="E90" s="39">
        <f>HLOOKUP(E$19,CIE标准色度系统色匹配函数和色品坐标!$B$3:$I$84,($B90-370)/5,FALSE)</f>
        <v>0</v>
      </c>
      <c r="F90" s="40"/>
      <c r="G90" s="41">
        <f>HLOOKUP(G$19,'CIE标准照明体A、B、C、D相对光谱功率分布—S(λ)'!$B$2:$E$83,(B90-370)/5,FALSE)</f>
        <v>69.9</v>
      </c>
    </row>
    <row r="91" spans="2:7">
      <c r="B91" s="42">
        <v>735</v>
      </c>
      <c r="C91" s="38">
        <f>HLOOKUP(C$19,CIE标准色度系统色匹配函数和色品坐标!$B$3:$I$84,($B91-370)/5,FALSE)</f>
        <v>0.00072745</v>
      </c>
      <c r="D91" s="39">
        <f>HLOOKUP(D$19,CIE标准色度系统色匹配函数和色品坐标!$B$3:$I$84,($B91-370)/5,FALSE)</f>
        <v>0.000284041</v>
      </c>
      <c r="E91" s="39">
        <f>HLOOKUP(E$19,CIE标准色度系统色匹配函数和色品坐标!$B$3:$I$84,($B91-370)/5,FALSE)</f>
        <v>0</v>
      </c>
      <c r="F91" s="40"/>
      <c r="G91" s="41">
        <f>HLOOKUP(G$19,'CIE标准照明体A、B、C、D相对光谱功率分布—S(λ)'!$B$2:$E$83,(B91-370)/5,FALSE)</f>
        <v>72.5</v>
      </c>
    </row>
    <row r="92" spans="2:7">
      <c r="B92" s="42">
        <v>740</v>
      </c>
      <c r="C92" s="38">
        <f>HLOOKUP(C$19,CIE标准色度系统色匹配函数和色品坐标!$B$3:$I$84,($B92-370)/5,FALSE)</f>
        <v>0.000508258</v>
      </c>
      <c r="D92" s="39">
        <f>HLOOKUP(D$19,CIE标准色度系统色匹配函数和色品坐标!$B$3:$I$84,($B92-370)/5,FALSE)</f>
        <v>0.00019873</v>
      </c>
      <c r="E92" s="39">
        <f>HLOOKUP(E$19,CIE标准色度系统色匹配函数和色品坐标!$B$3:$I$84,($B92-370)/5,FALSE)</f>
        <v>0</v>
      </c>
      <c r="F92" s="40"/>
      <c r="G92" s="41">
        <f>HLOOKUP(G$19,'CIE标准照明体A、B、C、D相对光谱功率分布—S(λ)'!$B$2:$E$83,(B92-370)/5,FALSE)</f>
        <v>75.1</v>
      </c>
    </row>
    <row r="93" spans="2:7">
      <c r="B93" s="42">
        <v>745</v>
      </c>
      <c r="C93" s="38">
        <f>HLOOKUP(C$19,CIE标准色度系统色匹配函数和色品坐标!$B$3:$I$84,($B93-370)/5,FALSE)</f>
        <v>0.00035638</v>
      </c>
      <c r="D93" s="39">
        <f>HLOOKUP(D$19,CIE标准色度系统色匹配函数和色品坐标!$B$3:$I$84,($B93-370)/5,FALSE)</f>
        <v>0.00013955</v>
      </c>
      <c r="E93" s="39">
        <f>HLOOKUP(E$19,CIE标准色度系统色匹配函数和色品坐标!$B$3:$I$84,($B93-370)/5,FALSE)</f>
        <v>0</v>
      </c>
      <c r="F93" s="40"/>
      <c r="G93" s="41">
        <f>HLOOKUP(G$19,'CIE标准照明体A、B、C、D相对光谱功率分布—S(λ)'!$B$2:$E$83,(B93-370)/5,FALSE)</f>
        <v>69.3</v>
      </c>
    </row>
    <row r="94" spans="2:7">
      <c r="B94" s="42">
        <v>750</v>
      </c>
      <c r="C94" s="38">
        <f>HLOOKUP(C$19,CIE标准色度系统色匹配函数和色品坐标!$B$3:$I$84,($B94-370)/5,FALSE)</f>
        <v>0.000250969</v>
      </c>
      <c r="D94" s="39">
        <f>HLOOKUP(D$19,CIE标准色度系统色匹配函数和色品坐标!$B$3:$I$84,($B94-370)/5,FALSE)</f>
        <v>9.8428e-5</v>
      </c>
      <c r="E94" s="39">
        <f>HLOOKUP(E$19,CIE标准色度系统色匹配函数和色品坐标!$B$3:$I$84,($B94-370)/5,FALSE)</f>
        <v>0</v>
      </c>
      <c r="F94" s="40"/>
      <c r="G94" s="41">
        <f>HLOOKUP(G$19,'CIE标准照明体A、B、C、D相对光谱功率分布—S(λ)'!$B$2:$E$83,(B94-370)/5,FALSE)</f>
        <v>63.6</v>
      </c>
    </row>
    <row r="95" spans="2:7">
      <c r="B95" s="42">
        <v>755</v>
      </c>
      <c r="C95" s="38">
        <f>HLOOKUP(C$19,CIE标准色度系统色匹配函数和色品坐标!$B$3:$I$84,($B95-370)/5,FALSE)</f>
        <v>0.00017773</v>
      </c>
      <c r="D95" s="39">
        <f>HLOOKUP(D$19,CIE标准色度系统色匹配函数和色品坐标!$B$3:$I$84,($B95-370)/5,FALSE)</f>
        <v>6.9819e-5</v>
      </c>
      <c r="E95" s="39">
        <f>HLOOKUP(E$19,CIE标准色度系统色匹配函数和色品坐标!$B$3:$I$84,($B95-370)/5,FALSE)</f>
        <v>0</v>
      </c>
      <c r="F95" s="40"/>
      <c r="G95" s="41">
        <f>HLOOKUP(G$19,'CIE标准照明体A、B、C、D相对光谱功率分布—S(λ)'!$B$2:$E$83,(B95-370)/5,FALSE)</f>
        <v>55</v>
      </c>
    </row>
    <row r="96" spans="2:7">
      <c r="B96" s="42">
        <v>760</v>
      </c>
      <c r="C96" s="38">
        <f>HLOOKUP(C$19,CIE标准色度系统色匹配函数和色品坐标!$B$3:$I$84,($B96-370)/5,FALSE)</f>
        <v>0.00012639</v>
      </c>
      <c r="D96" s="39">
        <f>HLOOKUP(D$19,CIE标准色度系统色匹配函数和色品坐标!$B$3:$I$84,($B96-370)/5,FALSE)</f>
        <v>4.9737e-5</v>
      </c>
      <c r="E96" s="39">
        <f>HLOOKUP(E$19,CIE标准色度系统色匹配函数和色品坐标!$B$3:$I$84,($B96-370)/5,FALSE)</f>
        <v>0</v>
      </c>
      <c r="F96" s="40"/>
      <c r="G96" s="41">
        <f>HLOOKUP(G$19,'CIE标准照明体A、B、C、D相对光谱功率分布—S(λ)'!$B$2:$E$83,(B96-370)/5,FALSE)</f>
        <v>46.4</v>
      </c>
    </row>
    <row r="97" spans="2:7">
      <c r="B97" s="42">
        <v>765</v>
      </c>
      <c r="C97" s="38">
        <f>HLOOKUP(C$19,CIE标准色度系统色匹配函数和色品坐标!$B$3:$I$84,($B97-370)/5,FALSE)</f>
        <v>9.0151e-5</v>
      </c>
      <c r="D97" s="39">
        <f>HLOOKUP(D$19,CIE标准色度系统色匹配函数和色品坐标!$B$3:$I$84,($B97-370)/5,FALSE)</f>
        <v>3.55405e-5</v>
      </c>
      <c r="E97" s="39">
        <f>HLOOKUP(E$19,CIE标准色度系统色匹配函数和色品坐标!$B$3:$I$84,($B97-370)/5,FALSE)</f>
        <v>0</v>
      </c>
      <c r="F97" s="40"/>
      <c r="G97" s="41">
        <f>HLOOKUP(G$19,'CIE标准照明体A、B、C、D相对光谱功率分布—S(λ)'!$B$2:$E$83,(B97-370)/5,FALSE)</f>
        <v>56.6</v>
      </c>
    </row>
    <row r="98" spans="2:7">
      <c r="B98" s="42">
        <v>770</v>
      </c>
      <c r="C98" s="38">
        <f>HLOOKUP(C$19,CIE标准色度系统色匹配函数和色品坐标!$B$3:$I$84,($B98-370)/5,FALSE)</f>
        <v>6.45258e-5</v>
      </c>
      <c r="D98" s="39">
        <f>HLOOKUP(D$19,CIE标准色度系统色匹配函数和色品坐标!$B$3:$I$84,($B98-370)/5,FALSE)</f>
        <v>2.5486e-5</v>
      </c>
      <c r="E98" s="39">
        <f>HLOOKUP(E$19,CIE标准色度系统色匹配函数和色品坐标!$B$3:$I$84,($B98-370)/5,FALSE)</f>
        <v>0</v>
      </c>
      <c r="F98" s="40"/>
      <c r="G98" s="41">
        <f>HLOOKUP(G$19,'CIE标准照明体A、B、C、D相对光谱功率分布—S(λ)'!$B$2:$E$83,(B98-370)/5,FALSE)</f>
        <v>66.8</v>
      </c>
    </row>
    <row r="99" spans="2:7">
      <c r="B99" s="42">
        <v>775</v>
      </c>
      <c r="C99" s="38">
        <f>HLOOKUP(C$19,CIE标准色度系统色匹配函数和色品坐标!$B$3:$I$84,($B99-370)/5,FALSE)</f>
        <v>4.6339e-5</v>
      </c>
      <c r="D99" s="39">
        <f>HLOOKUP(D$19,CIE标准色度系统色匹配函数和色品坐标!$B$3:$I$84,($B99-370)/5,FALSE)</f>
        <v>1.83384e-5</v>
      </c>
      <c r="E99" s="39">
        <f>HLOOKUP(E$19,CIE标准色度系统色匹配函数和色品坐标!$B$3:$I$84,($B99-370)/5,FALSE)</f>
        <v>0</v>
      </c>
      <c r="F99" s="40"/>
      <c r="G99" s="41">
        <f>HLOOKUP(G$19,'CIE标准照明体A、B、C、D相对光谱功率分布—S(λ)'!$B$2:$E$83,(B99-370)/5,FALSE)</f>
        <v>65.1</v>
      </c>
    </row>
    <row r="100" ht="14.25" spans="2:7">
      <c r="B100" s="42">
        <v>780</v>
      </c>
      <c r="C100" s="38">
        <f>HLOOKUP(C$19,CIE标准色度系统色匹配函数和色品坐标!$B$3:$I$84,($B100-370)/5,FALSE)</f>
        <v>3.34117e-5</v>
      </c>
      <c r="D100" s="39">
        <f>HLOOKUP(D$19,CIE标准色度系统色匹配函数和色品坐标!$B$3:$I$84,($B100-370)/5,FALSE)</f>
        <v>1.3249e-5</v>
      </c>
      <c r="E100" s="39">
        <f>HLOOKUP(E$19,CIE标准色度系统色匹配函数和色品坐标!$B$3:$I$84,($B100-370)/5,FALSE)</f>
        <v>0</v>
      </c>
      <c r="F100" s="48"/>
      <c r="G100" s="41">
        <f>HLOOKUP(G$19,'CIE标准照明体A、B、C、D相对光谱功率分布—S(λ)'!$B$2:$E$83,(B100-370)/5,FALSE)</f>
        <v>63.4</v>
      </c>
    </row>
  </sheetData>
  <mergeCells count="6">
    <mergeCell ref="C17:E17"/>
    <mergeCell ref="C18:E18"/>
    <mergeCell ref="B17:B19"/>
    <mergeCell ref="G17:G18"/>
    <mergeCell ref="I17:I18"/>
    <mergeCell ref="J17:J18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Filmetrics数据转换</vt:lpstr>
      <vt:lpstr>膜厚记录及曲线对照表</vt:lpstr>
      <vt:lpstr>Title Infomation</vt:lpstr>
      <vt:lpstr>Product Material</vt:lpstr>
      <vt:lpstr>MCS standard curve</vt:lpstr>
      <vt:lpstr>CIE标准照明体A、B、C、D相对光谱功率分布—S(λ)</vt:lpstr>
      <vt:lpstr>CIE标准色度系统色匹配函数和色品坐标</vt:lpstr>
      <vt:lpstr>Lab value_Cal.</vt:lpstr>
      <vt:lpstr>计算光源Xn，Yn，Zn的数值</vt:lpstr>
      <vt:lpstr>RGB→Lab</vt:lpstr>
      <vt:lpstr>RUV cal.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Alex</dc:creator>
  <cp:lastModifiedBy>ChenJ</cp:lastModifiedBy>
  <dcterms:created xsi:type="dcterms:W3CDTF">2006-09-16T00:00:00Z</dcterms:created>
  <dcterms:modified xsi:type="dcterms:W3CDTF">2021-08-26T13:45:14Z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